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PEO\Раскрытие информации_тепло\План 2024\3. Корректировка ИП 2023-2027 (кор.2024г)\"/>
    </mc:Choice>
  </mc:AlternateContent>
  <bookViews>
    <workbookView xWindow="0" yWindow="0" windowWidth="28800" windowHeight="11730" tabRatio="852" activeTab="1"/>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Детализация'!#REF!</definedName>
    <definedName name="IP_DETAILED_ip_51">'ИП. Детализация'!$14:$232</definedName>
    <definedName name="IP_DETAILED_ip_511">'ИП. Детализация'!$233:$426</definedName>
    <definedName name="IP_DETAILED_IST_FIN_FACT_COLUMN_MARKER">'ИП. Детализация'!$AD$7</definedName>
    <definedName name="IP_DETAILED_LIST_IP_ID">'ИП. Детализация'!$A$427:$A$427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план'!#REF!</definedName>
    <definedName name="IP_FIN_PLAN_ip_51">'ИП. Финансовый план'!$K$11:$Q$11</definedName>
    <definedName name="IP_FIN_PLAN_ip_511">'ИП. Финансовый план'!$R$11:$X$11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ИП!$I$11:$I$17</definedName>
    <definedName name="IP_MAIN_CHANGE_DATE">ИП!$J$11:$J$17</definedName>
    <definedName name="IP_MAIN_CLAIM">ИП!$K$11:$K$17</definedName>
    <definedName name="IP_MAIN_DATE_PARKING">ИП!$L$5</definedName>
    <definedName name="IP_MAIN_DELETE_HL_COLUMN_MARKER">ИП!$E$7</definedName>
    <definedName name="IP_MAIN_DIFFERENTIATION_EVENTS_FLAG">ИП!$H$11:$H$17</definedName>
    <definedName name="IP_MAIN_END_DATE">ИП!$O$11:$O$17</definedName>
    <definedName name="IP_MAIN_FLAG_KS">ИП!$Y$11:$Y$17</definedName>
    <definedName name="IP_MAIN_FLAG_KS_COLUMN_MARKER">ИП!$Y$7</definedName>
    <definedName name="IP_MAIN_ip_5">ИП!#REF!</definedName>
    <definedName name="IP_MAIN_ip_51">ИП!$13:$14</definedName>
    <definedName name="IP_MAIN_ip_511">ИП!$15:$16</definedName>
    <definedName name="IP_MAIN_IP_FIN_PLAN_VISIBLE_FLAG">ИП!$H$19</definedName>
    <definedName name="IP_MAIN_LIST_IP_ID">ИП!$AD$11:$AD$17</definedName>
    <definedName name="IP_MAIN_LIST_NAME_IP">ИП!$G$11:$G$17</definedName>
    <definedName name="IP_MAIN_PERIOD_REALIZ_DATE">ИП!$P$11:$P$17</definedName>
    <definedName name="IP_MAIN_PR_IP_CHANGE_DATE">ИП!$X$11:$X$17</definedName>
    <definedName name="IP_MAIN_PR_IP_DATE">ИП!$T$11:$T$17</definedName>
    <definedName name="IP_MAIN_PR_IP_NAME">ИП!$Q$11:$Q$17</definedName>
    <definedName name="IP_MAIN_PR_IP_NUMBER">ИП!$S$11:$S$17</definedName>
    <definedName name="IP_MAIN_PR_IP_TYPE">ИП!$R$11:$R$17</definedName>
    <definedName name="IP_MAIN_START_DATE">ИП!$N$11:$N$17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КНЭ'!#REF!</definedName>
    <definedName name="IP_QRE_ip_51">'ИП. КНЭ'!$21:$23</definedName>
    <definedName name="IP_QRE_ip_511">'ИП. КНЭ'!$24:$26</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ИП!$E$11:$E$17</definedName>
    <definedName name="pDel_IP_MAIN_PROPERTY">ИП!$Z$11:$Z$17</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Детализация'!$F$427</definedName>
    <definedName name="pIns_IP_FIN_PLAN">'ИП. Финансовый план'!$Y$8</definedName>
    <definedName name="pIns_IP_MAIN">ИП!$G$17</definedName>
    <definedName name="pIns_IP_QRE">'ИП. КНЭ'!$F$27</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REESTR_OBJ_INFR!$A$2:$AL$5</definedName>
    <definedName name="REESTR_IP_RANGE">REESTR_IP!$A$2:$I$48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Детализация'!$AH$427</definedName>
    <definedName name="tblEnd_1_IP_FIN_PLAN">'ИП. Финансовый план'!$Y$58</definedName>
    <definedName name="tblEnd_1_IP_MAIN">ИП!$AB$18</definedName>
    <definedName name="tblEnd_1_IP_QRE">'ИП. КНЭ'!$FX$27</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E12" i="46" s="1"/>
  <c r="N101" i="63"/>
  <c r="J130" i="33" s="1"/>
  <c r="M101" i="63"/>
  <c r="F130" i="33" s="1"/>
  <c r="L101" i="63"/>
  <c r="E130" i="33" s="1"/>
  <c r="K101" i="63"/>
  <c r="J101" i="63"/>
  <c r="I101" i="63"/>
  <c r="N100" i="63"/>
  <c r="J129" i="33" s="1"/>
  <c r="M100" i="63"/>
  <c r="F129" i="33" s="1"/>
  <c r="L100" i="63"/>
  <c r="E129" i="33" s="1"/>
  <c r="K100" i="63"/>
  <c r="J100" i="63"/>
  <c r="I100" i="63"/>
  <c r="N99" i="63"/>
  <c r="J128" i="33" s="1"/>
  <c r="M99" i="63"/>
  <c r="L99" i="63"/>
  <c r="K99" i="63"/>
  <c r="J99" i="63"/>
  <c r="I99" i="63"/>
  <c r="N98" i="63"/>
  <c r="M98" i="63"/>
  <c r="L98" i="63"/>
  <c r="K98" i="63"/>
  <c r="J98" i="63"/>
  <c r="I98" i="63"/>
  <c r="K97" i="63"/>
  <c r="N97" i="63" s="1"/>
  <c r="J126" i="33" s="1"/>
  <c r="J97" i="63"/>
  <c r="M97" i="63" s="1"/>
  <c r="F126" i="33" s="1"/>
  <c r="I97" i="63"/>
  <c r="L97" i="63" s="1"/>
  <c r="E126" i="33" s="1"/>
  <c r="M96" i="63"/>
  <c r="L96" i="63"/>
  <c r="K96" i="63"/>
  <c r="N96" i="63" s="1"/>
  <c r="J123" i="33" s="1"/>
  <c r="J96" i="63"/>
  <c r="I96" i="63"/>
  <c r="N95" i="63"/>
  <c r="M95" i="63"/>
  <c r="L95" i="63"/>
  <c r="K95" i="63"/>
  <c r="J95" i="63"/>
  <c r="I95" i="63"/>
  <c r="N94" i="63"/>
  <c r="M94" i="63"/>
  <c r="L94" i="63"/>
  <c r="K94" i="63"/>
  <c r="J94" i="63"/>
  <c r="I94" i="63"/>
  <c r="N93" i="63"/>
  <c r="M93" i="63"/>
  <c r="L93" i="63"/>
  <c r="K93" i="63"/>
  <c r="J93" i="63"/>
  <c r="I93" i="63"/>
  <c r="N92" i="63"/>
  <c r="M92" i="63"/>
  <c r="K92" i="63"/>
  <c r="J92" i="63"/>
  <c r="I92" i="63"/>
  <c r="L92" i="63" s="1"/>
  <c r="E115" i="33" s="1"/>
  <c r="N91" i="63"/>
  <c r="J114" i="33" s="1"/>
  <c r="K91" i="63"/>
  <c r="J91" i="63"/>
  <c r="M91" i="63" s="1"/>
  <c r="F114" i="33" s="1"/>
  <c r="I91" i="63"/>
  <c r="L91" i="63" s="1"/>
  <c r="E114" i="33" s="1"/>
  <c r="N90" i="63"/>
  <c r="J113" i="33" s="1"/>
  <c r="M90" i="63"/>
  <c r="F113" i="33" s="1"/>
  <c r="L90" i="63"/>
  <c r="E113" i="33" s="1"/>
  <c r="K90" i="63"/>
  <c r="J90" i="63"/>
  <c r="I90" i="63"/>
  <c r="N89" i="63"/>
  <c r="J112" i="33" s="1"/>
  <c r="M89" i="63"/>
  <c r="F112" i="33" s="1"/>
  <c r="L89" i="63"/>
  <c r="E112" i="33" s="1"/>
  <c r="K89" i="63"/>
  <c r="J89" i="63"/>
  <c r="I89" i="63"/>
  <c r="N88" i="63"/>
  <c r="M88" i="63"/>
  <c r="L88" i="63"/>
  <c r="K88" i="63"/>
  <c r="J88" i="63"/>
  <c r="I88" i="63"/>
  <c r="N87" i="63"/>
  <c r="K87" i="63"/>
  <c r="J87" i="63"/>
  <c r="M87" i="63" s="1"/>
  <c r="F110" i="33" s="1"/>
  <c r="I87" i="63"/>
  <c r="L87" i="63" s="1"/>
  <c r="E110" i="33" s="1"/>
  <c r="L86" i="63"/>
  <c r="K86" i="63"/>
  <c r="N86" i="63" s="1"/>
  <c r="J109" i="33" s="1"/>
  <c r="J86" i="63"/>
  <c r="M86" i="63" s="1"/>
  <c r="F109" i="33" s="1"/>
  <c r="I86" i="63"/>
  <c r="N85" i="63"/>
  <c r="M85" i="63"/>
  <c r="L85" i="63"/>
  <c r="K85" i="63"/>
  <c r="J85" i="63"/>
  <c r="I85" i="63"/>
  <c r="N84" i="63"/>
  <c r="M84" i="63"/>
  <c r="L84" i="63"/>
  <c r="K84" i="63"/>
  <c r="J84" i="63"/>
  <c r="I84" i="63"/>
  <c r="N83" i="63"/>
  <c r="M83" i="63"/>
  <c r="L83" i="63"/>
  <c r="K83" i="63"/>
  <c r="J83" i="63"/>
  <c r="I83" i="63"/>
  <c r="N82" i="63"/>
  <c r="M82" i="63"/>
  <c r="L82" i="63"/>
  <c r="K82" i="63"/>
  <c r="J82" i="63"/>
  <c r="I82" i="63"/>
  <c r="K81" i="63"/>
  <c r="N81" i="63" s="1"/>
  <c r="J104" i="33" s="1"/>
  <c r="J81" i="63"/>
  <c r="M81" i="63" s="1"/>
  <c r="F104" i="33" s="1"/>
  <c r="I81" i="63"/>
  <c r="L81" i="63" s="1"/>
  <c r="E104" i="33" s="1"/>
  <c r="M80" i="63"/>
  <c r="F103" i="33" s="1"/>
  <c r="L80" i="63"/>
  <c r="E103" i="33" s="1"/>
  <c r="K80" i="63"/>
  <c r="N80" i="63" s="1"/>
  <c r="J103" i="33" s="1"/>
  <c r="J80" i="63"/>
  <c r="I80" i="63"/>
  <c r="N79" i="63"/>
  <c r="J102" i="33" s="1"/>
  <c r="M79" i="63"/>
  <c r="F102" i="33" s="1"/>
  <c r="L79" i="63"/>
  <c r="E102" i="33" s="1"/>
  <c r="K79" i="63"/>
  <c r="J79" i="63"/>
  <c r="I79" i="63"/>
  <c r="N78" i="63"/>
  <c r="J99" i="33" s="1"/>
  <c r="M78" i="63"/>
  <c r="L78" i="63"/>
  <c r="K78" i="63"/>
  <c r="J78" i="63"/>
  <c r="I78" i="63"/>
  <c r="N77" i="63"/>
  <c r="M77" i="63"/>
  <c r="L77" i="63"/>
  <c r="K77" i="63"/>
  <c r="J77" i="63"/>
  <c r="I77" i="63"/>
  <c r="M76" i="63"/>
  <c r="K76" i="63"/>
  <c r="N76" i="63" s="1"/>
  <c r="J97" i="33" s="1"/>
  <c r="J76" i="63"/>
  <c r="I76" i="63"/>
  <c r="L76" i="63" s="1"/>
  <c r="E97" i="33" s="1"/>
  <c r="N75" i="63"/>
  <c r="K75" i="63"/>
  <c r="J75" i="63"/>
  <c r="M75" i="63" s="1"/>
  <c r="I75" i="63"/>
  <c r="L75" i="63" s="1"/>
  <c r="E96" i="33" s="1"/>
  <c r="N74" i="63"/>
  <c r="M74" i="63"/>
  <c r="L74" i="63"/>
  <c r="K74" i="63"/>
  <c r="J74" i="63"/>
  <c r="I74" i="63"/>
  <c r="N73" i="63"/>
  <c r="M73" i="63"/>
  <c r="L73" i="63"/>
  <c r="K73" i="63"/>
  <c r="J73" i="63"/>
  <c r="I73" i="63"/>
  <c r="N72" i="63"/>
  <c r="M72" i="63"/>
  <c r="L72" i="63"/>
  <c r="K72" i="63"/>
  <c r="J72" i="63"/>
  <c r="I72" i="63"/>
  <c r="N71" i="63"/>
  <c r="M71" i="63"/>
  <c r="K71" i="63"/>
  <c r="J71" i="63"/>
  <c r="I71" i="63"/>
  <c r="L71" i="63" s="1"/>
  <c r="E92" i="33" s="1"/>
  <c r="L70" i="63"/>
  <c r="E91" i="33" s="1"/>
  <c r="K70" i="63"/>
  <c r="N70" i="63" s="1"/>
  <c r="J91" i="33" s="1"/>
  <c r="J70" i="63"/>
  <c r="M70" i="63" s="1"/>
  <c r="F91" i="33" s="1"/>
  <c r="I70" i="63"/>
  <c r="N69" i="63"/>
  <c r="J90" i="33" s="1"/>
  <c r="M69" i="63"/>
  <c r="F90" i="33" s="1"/>
  <c r="L69" i="63"/>
  <c r="E90" i="33" s="1"/>
  <c r="K69" i="63"/>
  <c r="J69" i="63"/>
  <c r="I69" i="63"/>
  <c r="N68" i="63"/>
  <c r="J89" i="33" s="1"/>
  <c r="M68" i="63"/>
  <c r="F89" i="33" s="1"/>
  <c r="L68" i="63"/>
  <c r="E89" i="33" s="1"/>
  <c r="K68" i="63"/>
  <c r="J68" i="63"/>
  <c r="I68" i="63"/>
  <c r="N67" i="63"/>
  <c r="M67" i="63"/>
  <c r="L67" i="63"/>
  <c r="K67" i="63"/>
  <c r="J67" i="63"/>
  <c r="I67" i="63"/>
  <c r="N66" i="63"/>
  <c r="M66" i="63"/>
  <c r="L66" i="63"/>
  <c r="K66" i="63"/>
  <c r="J66" i="63"/>
  <c r="I66" i="63"/>
  <c r="K65" i="63"/>
  <c r="N65" i="63" s="1"/>
  <c r="J65" i="63"/>
  <c r="M65" i="63" s="1"/>
  <c r="I65" i="63"/>
  <c r="L65" i="63" s="1"/>
  <c r="E86" i="33" s="1"/>
  <c r="M64" i="63"/>
  <c r="L64" i="63"/>
  <c r="E85" i="33" s="1"/>
  <c r="K64" i="63"/>
  <c r="N64" i="63" s="1"/>
  <c r="J64" i="63"/>
  <c r="I64" i="63"/>
  <c r="N63" i="63"/>
  <c r="M63" i="63"/>
  <c r="L63" i="63"/>
  <c r="K63" i="63"/>
  <c r="J63" i="63"/>
  <c r="I63" i="63"/>
  <c r="N62" i="63"/>
  <c r="M62" i="63"/>
  <c r="L62" i="63"/>
  <c r="K62" i="63"/>
  <c r="J62" i="63"/>
  <c r="I62" i="63"/>
  <c r="N61" i="63"/>
  <c r="M61" i="63"/>
  <c r="L61" i="63"/>
  <c r="K61" i="63"/>
  <c r="J61" i="63"/>
  <c r="I61" i="63"/>
  <c r="K60" i="63"/>
  <c r="N60" i="63" s="1"/>
  <c r="J81" i="33" s="1"/>
  <c r="J60" i="63"/>
  <c r="M60" i="63" s="1"/>
  <c r="F81" i="33" s="1"/>
  <c r="I60" i="63"/>
  <c r="L60" i="63" s="1"/>
  <c r="E81" i="33" s="1"/>
  <c r="N59" i="63"/>
  <c r="J80" i="33" s="1"/>
  <c r="K59" i="63"/>
  <c r="J59" i="63"/>
  <c r="M59" i="63" s="1"/>
  <c r="F80" i="33" s="1"/>
  <c r="I59" i="63"/>
  <c r="L59" i="63" s="1"/>
  <c r="E80" i="33" s="1"/>
  <c r="T58" i="63"/>
  <c r="J58" i="63" s="1"/>
  <c r="M58" i="63" s="1"/>
  <c r="F79" i="33" s="1"/>
  <c r="N58" i="63"/>
  <c r="J79" i="33" s="1"/>
  <c r="L58" i="63"/>
  <c r="E79" i="33" s="1"/>
  <c r="K58" i="63"/>
  <c r="I58" i="63"/>
  <c r="T57" i="63"/>
  <c r="J57" i="63" s="1"/>
  <c r="M57" i="63" s="1"/>
  <c r="F78" i="33" s="1"/>
  <c r="N57" i="63"/>
  <c r="J78" i="33" s="1"/>
  <c r="L57" i="63"/>
  <c r="K57" i="63"/>
  <c r="I57" i="63"/>
  <c r="T56" i="63"/>
  <c r="J56" i="63" s="1"/>
  <c r="M56" i="63" s="1"/>
  <c r="F77" i="33" s="1"/>
  <c r="N56" i="63"/>
  <c r="L56" i="63"/>
  <c r="K56" i="63"/>
  <c r="I56" i="63"/>
  <c r="T55" i="63"/>
  <c r="K55" i="63"/>
  <c r="N55" i="63" s="1"/>
  <c r="J76" i="33" s="1"/>
  <c r="J55" i="63"/>
  <c r="M55" i="63" s="1"/>
  <c r="F76" i="33" s="1"/>
  <c r="I55" i="63"/>
  <c r="L55" i="63" s="1"/>
  <c r="M54" i="63"/>
  <c r="L54" i="63"/>
  <c r="K54" i="63"/>
  <c r="N54" i="63" s="1"/>
  <c r="J54" i="63"/>
  <c r="I54" i="63"/>
  <c r="N53" i="63"/>
  <c r="M53" i="63"/>
  <c r="L53" i="63"/>
  <c r="K53" i="63"/>
  <c r="J53" i="63"/>
  <c r="I53" i="63"/>
  <c r="N52" i="63"/>
  <c r="M52" i="63"/>
  <c r="L52" i="63"/>
  <c r="K52" i="63"/>
  <c r="J52" i="63"/>
  <c r="I52" i="63"/>
  <c r="N51" i="63"/>
  <c r="M51" i="63"/>
  <c r="L51" i="63"/>
  <c r="K51" i="63"/>
  <c r="J51" i="63"/>
  <c r="I51" i="63"/>
  <c r="K50" i="63"/>
  <c r="N50" i="63" s="1"/>
  <c r="J69" i="33" s="1"/>
  <c r="J50" i="63"/>
  <c r="M50" i="63" s="1"/>
  <c r="F69" i="33" s="1"/>
  <c r="I50" i="63"/>
  <c r="L50" i="63" s="1"/>
  <c r="E69" i="33" s="1"/>
  <c r="K49" i="63"/>
  <c r="N49" i="63" s="1"/>
  <c r="J68" i="33" s="1"/>
  <c r="L68" i="33" s="1"/>
  <c r="J49" i="63"/>
  <c r="M49" i="63" s="1"/>
  <c r="F68" i="33" s="1"/>
  <c r="I49" i="63"/>
  <c r="L49" i="63" s="1"/>
  <c r="E68" i="33" s="1"/>
  <c r="K68" i="33" s="1"/>
  <c r="N48" i="63"/>
  <c r="M48" i="63"/>
  <c r="L48" i="63"/>
  <c r="K48" i="63"/>
  <c r="J48" i="63"/>
  <c r="I48" i="63"/>
  <c r="N47" i="63"/>
  <c r="M47" i="63"/>
  <c r="L47" i="63"/>
  <c r="K47" i="63"/>
  <c r="J47" i="63"/>
  <c r="I47" i="63"/>
  <c r="T46" i="63"/>
  <c r="J46" i="63" s="1"/>
  <c r="M46" i="63" s="1"/>
  <c r="F65" i="33" s="1"/>
  <c r="N46" i="63"/>
  <c r="L46" i="63"/>
  <c r="K46" i="63"/>
  <c r="I46" i="63"/>
  <c r="N45" i="63"/>
  <c r="K45" i="63"/>
  <c r="J45" i="63"/>
  <c r="M45" i="63" s="1"/>
  <c r="F64" i="33" s="1"/>
  <c r="I45" i="63"/>
  <c r="L45" i="63" s="1"/>
  <c r="E64" i="33" s="1"/>
  <c r="K64" i="33" s="1"/>
  <c r="K44" i="63"/>
  <c r="N44" i="63" s="1"/>
  <c r="J63" i="33" s="1"/>
  <c r="J44" i="63"/>
  <c r="M44" i="63" s="1"/>
  <c r="F63" i="33" s="1"/>
  <c r="I44" i="63"/>
  <c r="L44" i="63" s="1"/>
  <c r="E63" i="33" s="1"/>
  <c r="K63" i="33" s="1"/>
  <c r="N43" i="63"/>
  <c r="J62" i="33" s="1"/>
  <c r="M43" i="63"/>
  <c r="F62" i="33" s="1"/>
  <c r="L43" i="63"/>
  <c r="E62" i="33" s="1"/>
  <c r="K62" i="33" s="1"/>
  <c r="K43" i="63"/>
  <c r="J43" i="63"/>
  <c r="I43" i="63"/>
  <c r="N42" i="63"/>
  <c r="J61" i="33" s="1"/>
  <c r="M42" i="63"/>
  <c r="F61" i="33" s="1"/>
  <c r="L42" i="63"/>
  <c r="E61" i="33" s="1"/>
  <c r="K61" i="33" s="1"/>
  <c r="K42" i="63"/>
  <c r="J42" i="63"/>
  <c r="I42" i="63"/>
  <c r="N41" i="63"/>
  <c r="M41" i="63"/>
  <c r="L41" i="63"/>
  <c r="K41" i="63"/>
  <c r="J41" i="63"/>
  <c r="I41" i="63"/>
  <c r="N40" i="63"/>
  <c r="M40" i="63"/>
  <c r="L40" i="63"/>
  <c r="K40" i="63"/>
  <c r="J40" i="63"/>
  <c r="I40" i="63"/>
  <c r="K39" i="63"/>
  <c r="N39" i="63" s="1"/>
  <c r="J39" i="63"/>
  <c r="M39" i="63" s="1"/>
  <c r="I39" i="63"/>
  <c r="L39" i="63" s="1"/>
  <c r="E58" i="33" s="1"/>
  <c r="K58" i="33" s="1"/>
  <c r="L38" i="63"/>
  <c r="E57" i="33" s="1"/>
  <c r="K38" i="63"/>
  <c r="N38" i="63" s="1"/>
  <c r="J57" i="33" s="1"/>
  <c r="J38" i="63"/>
  <c r="M38" i="63" s="1"/>
  <c r="F57" i="33" s="1"/>
  <c r="I38" i="63"/>
  <c r="N37" i="63"/>
  <c r="M37" i="63"/>
  <c r="F56" i="33" s="1"/>
  <c r="L37" i="63"/>
  <c r="K37" i="63"/>
  <c r="J37" i="63"/>
  <c r="I37" i="63"/>
  <c r="N36" i="63"/>
  <c r="M36" i="63"/>
  <c r="F55" i="33" s="1"/>
  <c r="L36" i="63"/>
  <c r="E55" i="33" s="1"/>
  <c r="K55" i="33" s="1"/>
  <c r="K36" i="63"/>
  <c r="J36" i="63"/>
  <c r="I36" i="63"/>
  <c r="T35" i="63"/>
  <c r="J35" i="63" s="1"/>
  <c r="M35" i="63" s="1"/>
  <c r="F54" i="33" s="1"/>
  <c r="N35" i="63"/>
  <c r="L35" i="63"/>
  <c r="K35" i="63"/>
  <c r="I35" i="63"/>
  <c r="K34" i="63"/>
  <c r="N34" i="63" s="1"/>
  <c r="J53" i="33" s="1"/>
  <c r="J34" i="63"/>
  <c r="M34" i="63" s="1"/>
  <c r="F53" i="33" s="1"/>
  <c r="I34" i="63"/>
  <c r="L34" i="63" s="1"/>
  <c r="E53" i="33" s="1"/>
  <c r="K53" i="33" s="1"/>
  <c r="T33" i="63"/>
  <c r="L33" i="63"/>
  <c r="E52" i="33" s="1"/>
  <c r="K52" i="33" s="1"/>
  <c r="K33" i="63"/>
  <c r="N33" i="63" s="1"/>
  <c r="J52" i="33" s="1"/>
  <c r="J33" i="63"/>
  <c r="M33" i="63" s="1"/>
  <c r="F52" i="33" s="1"/>
  <c r="I33" i="63"/>
  <c r="T32" i="63"/>
  <c r="J32" i="63" s="1"/>
  <c r="M32" i="63" s="1"/>
  <c r="F51" i="33" s="1"/>
  <c r="N32" i="63"/>
  <c r="L32" i="63"/>
  <c r="K32" i="63"/>
  <c r="I32" i="63"/>
  <c r="N31" i="63"/>
  <c r="M31" i="63"/>
  <c r="L31" i="63"/>
  <c r="K31" i="63"/>
  <c r="J31" i="63"/>
  <c r="I31" i="63"/>
  <c r="N30" i="63"/>
  <c r="M30" i="63"/>
  <c r="L30" i="63"/>
  <c r="K30" i="63"/>
  <c r="J30" i="63"/>
  <c r="I30" i="63"/>
  <c r="T29" i="63"/>
  <c r="K29" i="63"/>
  <c r="N29" i="63" s="1"/>
  <c r="J48" i="33" s="1"/>
  <c r="J29" i="63"/>
  <c r="M29" i="63" s="1"/>
  <c r="F48" i="33" s="1"/>
  <c r="I29" i="63"/>
  <c r="L29" i="63" s="1"/>
  <c r="E48" i="33" s="1"/>
  <c r="K48" i="33" s="1"/>
  <c r="L28" i="63"/>
  <c r="E47" i="33" s="1"/>
  <c r="K47" i="33" s="1"/>
  <c r="K28" i="63"/>
  <c r="N28" i="63" s="1"/>
  <c r="J47" i="33" s="1"/>
  <c r="J28" i="63"/>
  <c r="M28" i="63" s="1"/>
  <c r="F47" i="33" s="1"/>
  <c r="I28" i="63"/>
  <c r="N27" i="63"/>
  <c r="J46" i="33" s="1"/>
  <c r="M27" i="63"/>
  <c r="F46" i="33" s="1"/>
  <c r="L27" i="63"/>
  <c r="E46" i="33" s="1"/>
  <c r="K46" i="33" s="1"/>
  <c r="K27" i="63"/>
  <c r="J27" i="63"/>
  <c r="I27" i="63"/>
  <c r="T26" i="63"/>
  <c r="J26" i="63" s="1"/>
  <c r="M26" i="63" s="1"/>
  <c r="F45" i="33" s="1"/>
  <c r="N26" i="63"/>
  <c r="J45" i="33" s="1"/>
  <c r="L26" i="63"/>
  <c r="K26" i="63"/>
  <c r="I26" i="63"/>
  <c r="N25" i="63"/>
  <c r="M25" i="63"/>
  <c r="L25" i="63"/>
  <c r="K25" i="63"/>
  <c r="J25" i="63"/>
  <c r="I25" i="63"/>
  <c r="K24" i="63"/>
  <c r="N24" i="63" s="1"/>
  <c r="J43" i="33" s="1"/>
  <c r="J24" i="63"/>
  <c r="M24" i="63" s="1"/>
  <c r="F43" i="33" s="1"/>
  <c r="I24" i="63"/>
  <c r="L24" i="63" s="1"/>
  <c r="E43" i="33" s="1"/>
  <c r="K43" i="33" s="1"/>
  <c r="K23" i="63"/>
  <c r="N23" i="63" s="1"/>
  <c r="J23" i="63"/>
  <c r="M23" i="63" s="1"/>
  <c r="F42" i="33" s="1"/>
  <c r="I23" i="63"/>
  <c r="L23" i="63" s="1"/>
  <c r="E42" i="33" s="1"/>
  <c r="K42" i="33" s="1"/>
  <c r="N22" i="63"/>
  <c r="M22" i="63"/>
  <c r="F41" i="33" s="1"/>
  <c r="L22" i="63"/>
  <c r="K22" i="63"/>
  <c r="J22" i="63"/>
  <c r="I22" i="63"/>
  <c r="N21" i="63"/>
  <c r="J33" i="33" s="1"/>
  <c r="M21" i="63"/>
  <c r="F33" i="33" s="1"/>
  <c r="L21" i="63"/>
  <c r="E33" i="33" s="1"/>
  <c r="K21" i="63"/>
  <c r="J21" i="63"/>
  <c r="I21" i="63"/>
  <c r="L20" i="63"/>
  <c r="K20" i="63"/>
  <c r="N20" i="63" s="1"/>
  <c r="J32" i="33" s="1"/>
  <c r="J20" i="63"/>
  <c r="M20" i="63" s="1"/>
  <c r="F32" i="33" s="1"/>
  <c r="I20" i="63"/>
  <c r="K19" i="63"/>
  <c r="N19" i="63" s="1"/>
  <c r="J31" i="33" s="1"/>
  <c r="J19" i="63"/>
  <c r="M19" i="63" s="1"/>
  <c r="F31" i="33" s="1"/>
  <c r="I19" i="63"/>
  <c r="L19" i="63" s="1"/>
  <c r="E31" i="33" s="1"/>
  <c r="K18" i="63"/>
  <c r="N18" i="63" s="1"/>
  <c r="J30" i="33" s="1"/>
  <c r="J18" i="63"/>
  <c r="M18" i="63" s="1"/>
  <c r="F30" i="33" s="1"/>
  <c r="I18" i="63"/>
  <c r="L18" i="63" s="1"/>
  <c r="AA16" i="63"/>
  <c r="N16" i="63"/>
  <c r="I21" i="45" s="1"/>
  <c r="AA15" i="63"/>
  <c r="U15" i="63"/>
  <c r="N15" i="63"/>
  <c r="I19" i="45" s="1"/>
  <c r="M15" i="63"/>
  <c r="E19" i="45" s="1"/>
  <c r="U14" i="63"/>
  <c r="N14" i="63"/>
  <c r="I18" i="45" s="1"/>
  <c r="M14" i="63"/>
  <c r="E18" i="45" s="1"/>
  <c r="N13" i="63"/>
  <c r="M13" i="63"/>
  <c r="N12" i="63"/>
  <c r="M12" i="63"/>
  <c r="N11" i="63"/>
  <c r="M11" i="63"/>
  <c r="N3" i="63"/>
  <c r="C34" i="62"/>
  <c r="C32" i="62"/>
  <c r="C31" i="62"/>
  <c r="C30" i="62"/>
  <c r="D14" i="47" s="1"/>
  <c r="E29" i="62"/>
  <c r="C29" i="62"/>
  <c r="D5" i="49" s="1"/>
  <c r="C8" i="62"/>
  <c r="D22" i="40" s="1"/>
  <c r="C7" i="62"/>
  <c r="E5" i="34" s="1"/>
  <c r="E6" i="62"/>
  <c r="D6" i="62"/>
  <c r="C6" i="62" s="1"/>
  <c r="E21" i="33" s="1"/>
  <c r="E5" i="62"/>
  <c r="C5" i="62"/>
  <c r="D5" i="46" s="1"/>
  <c r="E4" i="62"/>
  <c r="C4" i="62"/>
  <c r="D4" i="7" s="1"/>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8" i="61"/>
  <c r="D47" i="61"/>
  <c r="D49" i="61" s="1"/>
  <c r="I29" i="61"/>
  <c r="I23" i="61"/>
  <c r="O19" i="61"/>
  <c r="M19" i="61" a="1"/>
  <c r="M19" i="61" s="1"/>
  <c r="F19" i="61"/>
  <c r="O14" i="61"/>
  <c r="M14" i="61" a="1"/>
  <c r="M14" i="61" s="1"/>
  <c r="F14" i="61"/>
  <c r="E14" i="61"/>
  <c r="E13" i="61"/>
  <c r="G13" i="61" s="1"/>
  <c r="F13" i="56"/>
  <c r="E7" i="56"/>
  <c r="F2" i="56"/>
  <c r="P10" i="55" a="1"/>
  <c r="P10" i="55" s="1"/>
  <c r="K8" i="55"/>
  <c r="L10" i="55" s="1"/>
  <c r="R10" i="55" s="1"/>
  <c r="E5" i="55"/>
  <c r="R2" i="55"/>
  <c r="P2" i="55" a="1"/>
  <c r="P2" i="55"/>
  <c r="F2" i="55"/>
  <c r="R10" i="54"/>
  <c r="P10" i="54" a="1"/>
  <c r="P10" i="54" s="1"/>
  <c r="L10" i="54"/>
  <c r="K8" i="54"/>
  <c r="J8" i="54"/>
  <c r="G8" i="54"/>
  <c r="F8" i="54"/>
  <c r="R2" i="54"/>
  <c r="P2" i="54" a="1"/>
  <c r="P2" i="54" s="1"/>
  <c r="N9" i="53" a="1"/>
  <c r="N9" i="53" s="1"/>
  <c r="J9" i="53"/>
  <c r="P9" i="53" s="1"/>
  <c r="E5" i="53"/>
  <c r="P2" i="53"/>
  <c r="N2" i="53" a="1"/>
  <c r="N2" i="53"/>
  <c r="G24" i="52"/>
  <c r="E24" i="52"/>
  <c r="G12" i="52"/>
  <c r="F12" i="52"/>
  <c r="F2" i="54" s="1"/>
  <c r="E12" i="52"/>
  <c r="D6" i="52"/>
  <c r="D5" i="52"/>
  <c r="BA115" i="51"/>
  <c r="BA114" i="51"/>
  <c r="BA113" i="51"/>
  <c r="BA102" i="51"/>
  <c r="BA100" i="51"/>
  <c r="BA99" i="51"/>
  <c r="I53" i="51"/>
  <c r="H53" i="51"/>
  <c r="G53" i="51"/>
  <c r="I52" i="51"/>
  <c r="I51" i="51"/>
  <c r="I50" i="51"/>
  <c r="H50" i="51"/>
  <c r="G50" i="51"/>
  <c r="I49" i="51"/>
  <c r="H49" i="51"/>
  <c r="G49" i="51"/>
  <c r="I48" i="51"/>
  <c r="H48" i="51"/>
  <c r="G48" i="51"/>
  <c r="J47" i="51"/>
  <c r="I47" i="51"/>
  <c r="H47" i="51"/>
  <c r="G47" i="51"/>
  <c r="J46" i="51"/>
  <c r="I46" i="51"/>
  <c r="K45" i="51"/>
  <c r="I45" i="51"/>
  <c r="G44" i="51"/>
  <c r="H51" i="51" s="1"/>
  <c r="G36" i="51"/>
  <c r="E31" i="62" s="1"/>
  <c r="F36" i="51"/>
  <c r="G15" i="10" s="1"/>
  <c r="F32" i="51"/>
  <c r="E32" i="51"/>
  <c r="F29" i="51"/>
  <c r="E29" i="51"/>
  <c r="L5" i="51"/>
  <c r="L4" i="51"/>
  <c r="L3" i="51"/>
  <c r="L6" i="51" s="1"/>
  <c r="I14" i="50"/>
  <c r="G14" i="50"/>
  <c r="G11" i="50"/>
  <c r="G10" i="50"/>
  <c r="I9" i="50"/>
  <c r="G9" i="50"/>
  <c r="D6" i="50"/>
  <c r="E13" i="49"/>
  <c r="H12" i="49"/>
  <c r="E12" i="49"/>
  <c r="E11" i="49"/>
  <c r="E10" i="49"/>
  <c r="D6" i="49"/>
  <c r="G327" i="48"/>
  <c r="G321" i="48"/>
  <c r="G294" i="48"/>
  <c r="F294" i="48"/>
  <c r="F288" i="48"/>
  <c r="G285" i="48"/>
  <c r="F285" i="48"/>
  <c r="G282" i="48"/>
  <c r="G276" i="48"/>
  <c r="F276" i="48"/>
  <c r="F270" i="48"/>
  <c r="F269" i="48"/>
  <c r="G248" i="48"/>
  <c r="F248" i="48"/>
  <c r="F242" i="48"/>
  <c r="G239" i="48"/>
  <c r="F239" i="48"/>
  <c r="G233" i="48"/>
  <c r="F233" i="48"/>
  <c r="F224" i="48"/>
  <c r="F208" i="48"/>
  <c r="G199" i="48"/>
  <c r="F199" i="48"/>
  <c r="G196" i="48"/>
  <c r="F196" i="48"/>
  <c r="G190" i="48"/>
  <c r="F190" i="48"/>
  <c r="G187" i="48"/>
  <c r="F187" i="48"/>
  <c r="F181" i="48"/>
  <c r="G154" i="48"/>
  <c r="F154" i="48"/>
  <c r="M148" i="48"/>
  <c r="G148" i="48"/>
  <c r="F148" i="48"/>
  <c r="F147" i="48"/>
  <c r="G144" i="48"/>
  <c r="G138" i="48"/>
  <c r="F138" i="48"/>
  <c r="G129" i="48"/>
  <c r="F105" i="48"/>
  <c r="G102" i="48"/>
  <c r="F102" i="48"/>
  <c r="G99" i="48"/>
  <c r="F99" i="48"/>
  <c r="G93" i="48"/>
  <c r="F93" i="48"/>
  <c r="M87" i="48"/>
  <c r="G87" i="48"/>
  <c r="F84" i="48"/>
  <c r="F57" i="48"/>
  <c r="G54" i="48"/>
  <c r="F54" i="48"/>
  <c r="G48" i="48"/>
  <c r="F48" i="48"/>
  <c r="G45" i="48"/>
  <c r="G39" i="48"/>
  <c r="F39" i="48"/>
  <c r="G17" i="48"/>
  <c r="F17" i="48"/>
  <c r="G16" i="48"/>
  <c r="F16" i="48"/>
  <c r="E14" i="48"/>
  <c r="N7" i="48"/>
  <c r="G5" i="48"/>
  <c r="N4" i="48"/>
  <c r="G2" i="48"/>
  <c r="N1" i="48"/>
  <c r="E42" i="47"/>
  <c r="E38" i="47"/>
  <c r="E35" i="47"/>
  <c r="E32" i="47"/>
  <c r="E31" i="47"/>
  <c r="E28" i="47"/>
  <c r="E25" i="47"/>
  <c r="E24" i="47"/>
  <c r="D15" i="47"/>
  <c r="E16" i="46"/>
  <c r="G14" i="46"/>
  <c r="E13" i="46"/>
  <c r="D6" i="46"/>
  <c r="F21" i="45"/>
  <c r="H19" i="45"/>
  <c r="G19" i="45"/>
  <c r="F19" i="45"/>
  <c r="I17" i="45"/>
  <c r="E17" i="45"/>
  <c r="I16" i="45"/>
  <c r="E16" i="45"/>
  <c r="I15" i="45"/>
  <c r="E15" i="45"/>
  <c r="H14" i="45"/>
  <c r="G14" i="45"/>
  <c r="H11" i="45"/>
  <c r="G11" i="45"/>
  <c r="G10" i="45"/>
  <c r="H9" i="45"/>
  <c r="G9" i="45"/>
  <c r="D6" i="45"/>
  <c r="D5" i="45"/>
  <c r="F2" i="45"/>
  <c r="F24" i="44"/>
  <c r="F21" i="44"/>
  <c r="F6" i="44"/>
  <c r="R57" i="43"/>
  <c r="K57" i="43"/>
  <c r="H57" i="43"/>
  <c r="R56" i="43"/>
  <c r="K56" i="43"/>
  <c r="H56" i="43"/>
  <c r="R55" i="43"/>
  <c r="K55" i="43"/>
  <c r="H55" i="43"/>
  <c r="W54" i="43"/>
  <c r="V54" i="43"/>
  <c r="U54" i="43"/>
  <c r="T54" i="43"/>
  <c r="R54" i="43" s="1"/>
  <c r="S54" i="43"/>
  <c r="P54" i="43"/>
  <c r="O54" i="43"/>
  <c r="N54" i="43"/>
  <c r="M54" i="43"/>
  <c r="L54" i="43"/>
  <c r="K54" i="43" s="1"/>
  <c r="I54" i="43"/>
  <c r="H54" i="43" s="1"/>
  <c r="R53" i="43"/>
  <c r="K53" i="43"/>
  <c r="H53" i="43"/>
  <c r="R52" i="43"/>
  <c r="K52" i="43"/>
  <c r="H52" i="43"/>
  <c r="R51" i="43"/>
  <c r="K51" i="43"/>
  <c r="H51" i="43"/>
  <c r="R50" i="43"/>
  <c r="K50" i="43"/>
  <c r="H50" i="43"/>
  <c r="W49" i="43"/>
  <c r="W48" i="43" s="1"/>
  <c r="V49" i="43"/>
  <c r="V48" i="43" s="1"/>
  <c r="U49" i="43"/>
  <c r="U48" i="43" s="1"/>
  <c r="T49" i="43"/>
  <c r="T48" i="43" s="1"/>
  <c r="S49" i="43"/>
  <c r="P49" i="43"/>
  <c r="P48" i="43" s="1"/>
  <c r="O49" i="43"/>
  <c r="O48" i="43" s="1"/>
  <c r="N49" i="43"/>
  <c r="N48" i="43" s="1"/>
  <c r="M49" i="43"/>
  <c r="M48" i="43" s="1"/>
  <c r="L49" i="43"/>
  <c r="L48" i="43" s="1"/>
  <c r="I49" i="43"/>
  <c r="H49" i="43" s="1"/>
  <c r="I48" i="43"/>
  <c r="H48" i="43"/>
  <c r="R47" i="43"/>
  <c r="K47" i="43"/>
  <c r="H47" i="43"/>
  <c r="R46" i="43"/>
  <c r="K46" i="43"/>
  <c r="H46" i="43"/>
  <c r="R45" i="43"/>
  <c r="K45" i="43"/>
  <c r="H45" i="43"/>
  <c r="W44" i="43"/>
  <c r="V44" i="43"/>
  <c r="U44" i="43"/>
  <c r="T44" i="43"/>
  <c r="S44" i="43"/>
  <c r="R44" i="43" s="1"/>
  <c r="P44" i="43"/>
  <c r="O44" i="43"/>
  <c r="N44" i="43"/>
  <c r="M44" i="43"/>
  <c r="L44" i="43"/>
  <c r="K44" i="43" s="1"/>
  <c r="I44" i="43"/>
  <c r="H44" i="43"/>
  <c r="R43" i="43"/>
  <c r="K43" i="43"/>
  <c r="H43" i="43"/>
  <c r="R42" i="43"/>
  <c r="K42" i="43"/>
  <c r="H42" i="43"/>
  <c r="R41" i="43"/>
  <c r="K41" i="43"/>
  <c r="H41" i="43"/>
  <c r="R40" i="43"/>
  <c r="K40" i="43"/>
  <c r="H40" i="43"/>
  <c r="W39" i="43"/>
  <c r="W38" i="43" s="1"/>
  <c r="W58" i="43" s="1"/>
  <c r="V39" i="43"/>
  <c r="V38" i="43" s="1"/>
  <c r="U39" i="43"/>
  <c r="U38" i="43" s="1"/>
  <c r="T39" i="43"/>
  <c r="T38" i="43" s="1"/>
  <c r="T58" i="43" s="1"/>
  <c r="S39" i="43"/>
  <c r="S38" i="43" s="1"/>
  <c r="P39" i="43"/>
  <c r="P38" i="43" s="1"/>
  <c r="O39" i="43"/>
  <c r="O38" i="43" s="1"/>
  <c r="N39" i="43"/>
  <c r="N38" i="43" s="1"/>
  <c r="M39" i="43"/>
  <c r="M38" i="43" s="1"/>
  <c r="L39" i="43"/>
  <c r="L38" i="43" s="1"/>
  <c r="I39" i="43"/>
  <c r="I38" i="43" s="1"/>
  <c r="H39" i="43"/>
  <c r="V36" i="43"/>
  <c r="M36" i="43"/>
  <c r="R35" i="43"/>
  <c r="K35" i="43"/>
  <c r="H35" i="43"/>
  <c r="R34" i="43"/>
  <c r="K34" i="43"/>
  <c r="H34" i="43"/>
  <c r="R33" i="43"/>
  <c r="K33" i="43"/>
  <c r="H33" i="43"/>
  <c r="W32" i="43"/>
  <c r="R32" i="43" s="1"/>
  <c r="V32" i="43"/>
  <c r="U32" i="43"/>
  <c r="T32" i="43"/>
  <c r="S32" i="43"/>
  <c r="P32" i="43"/>
  <c r="O32" i="43"/>
  <c r="N32" i="43"/>
  <c r="M32" i="43"/>
  <c r="L32" i="43"/>
  <c r="K32" i="43"/>
  <c r="I32" i="43"/>
  <c r="H32" i="43"/>
  <c r="R31" i="43"/>
  <c r="K31" i="43"/>
  <c r="H31" i="43"/>
  <c r="R30" i="43"/>
  <c r="K30" i="43"/>
  <c r="H30" i="43"/>
  <c r="R29" i="43"/>
  <c r="K29" i="43"/>
  <c r="H29" i="43"/>
  <c r="W28" i="43"/>
  <c r="V28" i="43"/>
  <c r="U28" i="43"/>
  <c r="T28" i="43"/>
  <c r="S28" i="43"/>
  <c r="R28" i="43" s="1"/>
  <c r="P28" i="43"/>
  <c r="O28" i="43"/>
  <c r="N28" i="43"/>
  <c r="M28" i="43"/>
  <c r="L28" i="43"/>
  <c r="K28" i="43" s="1"/>
  <c r="I28" i="43"/>
  <c r="H28" i="43"/>
  <c r="R27" i="43"/>
  <c r="K27" i="43"/>
  <c r="H27" i="43"/>
  <c r="R26" i="43"/>
  <c r="K26" i="43"/>
  <c r="H26" i="43"/>
  <c r="R25" i="43"/>
  <c r="K25" i="43"/>
  <c r="H25" i="43"/>
  <c r="R24" i="43"/>
  <c r="K24" i="43"/>
  <c r="H24" i="43"/>
  <c r="R23" i="43"/>
  <c r="K23" i="43"/>
  <c r="H23" i="43"/>
  <c r="R22" i="43"/>
  <c r="K22" i="43"/>
  <c r="H22" i="43"/>
  <c r="R21" i="43"/>
  <c r="K21" i="43"/>
  <c r="H21" i="43"/>
  <c r="R20" i="43"/>
  <c r="K20" i="43"/>
  <c r="H20" i="43"/>
  <c r="R19" i="43"/>
  <c r="K19" i="43"/>
  <c r="H19" i="43"/>
  <c r="R18" i="43"/>
  <c r="K18" i="43"/>
  <c r="H18" i="43"/>
  <c r="R17" i="43"/>
  <c r="K17" i="43"/>
  <c r="H17" i="43"/>
  <c r="R16" i="43"/>
  <c r="K16" i="43"/>
  <c r="H16" i="43"/>
  <c r="W15" i="43"/>
  <c r="W36" i="43" s="1"/>
  <c r="V15" i="43"/>
  <c r="U15" i="43"/>
  <c r="U36" i="43" s="1"/>
  <c r="T15" i="43"/>
  <c r="T36" i="43" s="1"/>
  <c r="S15" i="43"/>
  <c r="S36" i="43" s="1"/>
  <c r="R15" i="43"/>
  <c r="P15" i="43"/>
  <c r="P36" i="43" s="1"/>
  <c r="O15" i="43"/>
  <c r="O36" i="43" s="1"/>
  <c r="N15" i="43"/>
  <c r="N36" i="43" s="1"/>
  <c r="M15" i="43"/>
  <c r="L15" i="43"/>
  <c r="L36" i="43" s="1"/>
  <c r="I15" i="43"/>
  <c r="I36" i="43" s="1"/>
  <c r="H36" i="43" s="1"/>
  <c r="H15" i="43"/>
  <c r="R11" i="43"/>
  <c r="K11" i="43"/>
  <c r="H11" i="43"/>
  <c r="F6" i="43"/>
  <c r="F5" i="43"/>
  <c r="AD423" i="42"/>
  <c r="AD418" i="42"/>
  <c r="AD413" i="42"/>
  <c r="AD408" i="42"/>
  <c r="AD397" i="42"/>
  <c r="AD392" i="42"/>
  <c r="AD387" i="42"/>
  <c r="AD382" i="42"/>
  <c r="AD377" i="42"/>
  <c r="AD372" i="42"/>
  <c r="AD367" i="42"/>
  <c r="AD366" i="42"/>
  <c r="AD355" i="42"/>
  <c r="AD350" i="42"/>
  <c r="AD345" i="42"/>
  <c r="AD340" i="42"/>
  <c r="AD335" i="42"/>
  <c r="AD330" i="42"/>
  <c r="AD329" i="42"/>
  <c r="AD324" i="42"/>
  <c r="AD319" i="42"/>
  <c r="AD308" i="42"/>
  <c r="AD307" i="42"/>
  <c r="AD302" i="42"/>
  <c r="AD297" i="42"/>
  <c r="AD292" i="42"/>
  <c r="AD287" i="42"/>
  <c r="AD282" i="42"/>
  <c r="AD277" i="42"/>
  <c r="AD266" i="42"/>
  <c r="AD261" i="42"/>
  <c r="AD256" i="42"/>
  <c r="AD251" i="42"/>
  <c r="AD246" i="42"/>
  <c r="AD241" i="42"/>
  <c r="F233" i="42"/>
  <c r="AD229" i="42"/>
  <c r="AD224" i="42"/>
  <c r="AD219" i="42"/>
  <c r="AD214" i="42"/>
  <c r="AD209" i="42"/>
  <c r="AD198" i="42"/>
  <c r="AD193" i="42"/>
  <c r="AD188" i="42"/>
  <c r="AD183" i="42"/>
  <c r="AD178" i="42"/>
  <c r="AD173" i="42"/>
  <c r="AD168" i="42"/>
  <c r="AD167" i="42"/>
  <c r="AD162" i="42"/>
  <c r="AD151" i="42"/>
  <c r="AD146" i="42"/>
  <c r="AD141" i="42"/>
  <c r="AD136" i="42"/>
  <c r="AD131" i="42"/>
  <c r="AD126" i="42"/>
  <c r="AD125" i="42"/>
  <c r="AD120" i="42"/>
  <c r="AD115" i="42"/>
  <c r="AD110" i="42"/>
  <c r="AD99" i="42"/>
  <c r="AD98" i="42"/>
  <c r="AD93" i="42"/>
  <c r="AD88" i="42"/>
  <c r="AD83" i="42"/>
  <c r="AD78" i="42"/>
  <c r="AD73" i="42"/>
  <c r="AD68" i="42"/>
  <c r="AD63" i="42"/>
  <c r="AD52" i="42"/>
  <c r="AD47" i="42"/>
  <c r="AD42" i="42"/>
  <c r="AD37" i="42"/>
  <c r="AD32" i="42"/>
  <c r="AD27" i="42"/>
  <c r="AD22" i="42"/>
  <c r="F14" i="42"/>
  <c r="F6" i="42"/>
  <c r="F5" i="42"/>
  <c r="H19" i="41"/>
  <c r="P15" i="41"/>
  <c r="P13" i="41"/>
  <c r="F6" i="41"/>
  <c r="F5" i="41"/>
  <c r="I28" i="40"/>
  <c r="G28" i="40"/>
  <c r="G27" i="40"/>
  <c r="I26" i="40"/>
  <c r="G26" i="40"/>
  <c r="D23" i="40"/>
  <c r="D14" i="40"/>
  <c r="D13" i="40"/>
  <c r="D11" i="40"/>
  <c r="D10" i="40"/>
  <c r="D9" i="40"/>
  <c r="D7" i="40"/>
  <c r="D6" i="40"/>
  <c r="D4" i="40"/>
  <c r="D3" i="40"/>
  <c r="J12" i="39"/>
  <c r="I12" i="39"/>
  <c r="H12" i="39"/>
  <c r="G12" i="39"/>
  <c r="G9" i="39"/>
  <c r="G8" i="39"/>
  <c r="I7" i="39"/>
  <c r="G7" i="39"/>
  <c r="D4" i="39"/>
  <c r="D3" i="39"/>
  <c r="E28" i="38"/>
  <c r="I27" i="38"/>
  <c r="H27" i="38"/>
  <c r="H16" i="38" s="1"/>
  <c r="I16" i="38"/>
  <c r="I12" i="38"/>
  <c r="H12" i="38"/>
  <c r="H11" i="38"/>
  <c r="I10" i="38"/>
  <c r="H10" i="38"/>
  <c r="E7" i="38"/>
  <c r="E33" i="37"/>
  <c r="I32" i="37"/>
  <c r="I16" i="37" s="1"/>
  <c r="H32" i="37"/>
  <c r="H16" i="37" s="1"/>
  <c r="H12" i="37"/>
  <c r="H11" i="37"/>
  <c r="H10" i="37"/>
  <c r="E7" i="37"/>
  <c r="I6" i="36"/>
  <c r="F2" i="36"/>
  <c r="E2" i="36"/>
  <c r="M12" i="35"/>
  <c r="L12" i="35"/>
  <c r="L11" i="35"/>
  <c r="M10" i="35"/>
  <c r="L10" i="35"/>
  <c r="I7" i="35"/>
  <c r="L3" i="35"/>
  <c r="F2" i="35"/>
  <c r="E2" i="35"/>
  <c r="V20" i="34"/>
  <c r="Q20" i="34"/>
  <c r="V17" i="34"/>
  <c r="Q17" i="34"/>
  <c r="H16" i="34"/>
  <c r="H14" i="34"/>
  <c r="E6" i="34"/>
  <c r="F128" i="33"/>
  <c r="E128" i="33"/>
  <c r="J127" i="33"/>
  <c r="F127" i="33"/>
  <c r="E127" i="33"/>
  <c r="F123" i="33"/>
  <c r="E123" i="33"/>
  <c r="E124" i="33" s="1"/>
  <c r="E121" i="33"/>
  <c r="J120" i="33"/>
  <c r="F120" i="33"/>
  <c r="E120" i="33"/>
  <c r="E118" i="33"/>
  <c r="J117" i="33"/>
  <c r="F117" i="33"/>
  <c r="E117" i="33"/>
  <c r="J116" i="33"/>
  <c r="F116" i="33"/>
  <c r="E116" i="33"/>
  <c r="J115" i="33"/>
  <c r="F115" i="33"/>
  <c r="J111" i="33"/>
  <c r="F111" i="33"/>
  <c r="E111" i="33"/>
  <c r="J110" i="33"/>
  <c r="E109" i="33"/>
  <c r="J108" i="33"/>
  <c r="F108" i="33"/>
  <c r="E108" i="33"/>
  <c r="J107" i="33"/>
  <c r="F107" i="33"/>
  <c r="E107" i="33"/>
  <c r="J106" i="33"/>
  <c r="F106" i="33"/>
  <c r="E106" i="33"/>
  <c r="J105" i="33"/>
  <c r="F105" i="33"/>
  <c r="E105" i="33"/>
  <c r="F99" i="33"/>
  <c r="E99" i="33"/>
  <c r="E100" i="33" s="1"/>
  <c r="J98" i="33"/>
  <c r="F98" i="33"/>
  <c r="E98" i="33"/>
  <c r="F97" i="33"/>
  <c r="J96" i="33"/>
  <c r="F96" i="33"/>
  <c r="J95" i="33"/>
  <c r="F95" i="33"/>
  <c r="E95" i="33"/>
  <c r="J94" i="33"/>
  <c r="F94" i="33"/>
  <c r="E94" i="33"/>
  <c r="J93" i="33"/>
  <c r="F93" i="33"/>
  <c r="E93" i="33"/>
  <c r="J92" i="33"/>
  <c r="F92" i="33"/>
  <c r="J88" i="33"/>
  <c r="F88" i="33"/>
  <c r="E88" i="33"/>
  <c r="J87" i="33"/>
  <c r="I87" i="33"/>
  <c r="H87" i="33"/>
  <c r="F87" i="33"/>
  <c r="E87" i="33"/>
  <c r="J86" i="33"/>
  <c r="F86" i="33"/>
  <c r="J85" i="33"/>
  <c r="F85" i="33"/>
  <c r="J84" i="33"/>
  <c r="F84" i="33"/>
  <c r="E84" i="33"/>
  <c r="J83" i="33"/>
  <c r="F83" i="33"/>
  <c r="E83" i="33"/>
  <c r="J82" i="33"/>
  <c r="F82" i="33"/>
  <c r="E82" i="33"/>
  <c r="E78" i="33"/>
  <c r="J77" i="33"/>
  <c r="E77" i="33"/>
  <c r="E76" i="33"/>
  <c r="J75" i="33"/>
  <c r="F75" i="33"/>
  <c r="E75" i="33"/>
  <c r="J74" i="33"/>
  <c r="F74" i="33"/>
  <c r="E74" i="33"/>
  <c r="J73" i="33"/>
  <c r="F73" i="33"/>
  <c r="E73" i="33"/>
  <c r="J72" i="33"/>
  <c r="F72" i="33"/>
  <c r="E72" i="33"/>
  <c r="I69" i="33"/>
  <c r="H69" i="33"/>
  <c r="J67" i="33"/>
  <c r="F67" i="33"/>
  <c r="E67" i="33"/>
  <c r="K67" i="33" s="1"/>
  <c r="K66" i="33"/>
  <c r="J66" i="33"/>
  <c r="L66" i="33" s="1"/>
  <c r="F66" i="33"/>
  <c r="E66" i="33"/>
  <c r="K65" i="33"/>
  <c r="J65" i="33"/>
  <c r="E65" i="33"/>
  <c r="J64" i="33"/>
  <c r="J60" i="33"/>
  <c r="F60" i="33"/>
  <c r="E60" i="33"/>
  <c r="K60" i="33" s="1"/>
  <c r="J59" i="33"/>
  <c r="F59" i="33"/>
  <c r="E59" i="33"/>
  <c r="K59" i="33" s="1"/>
  <c r="J58" i="33"/>
  <c r="F58" i="33"/>
  <c r="K57" i="33"/>
  <c r="K56" i="33"/>
  <c r="J56" i="33"/>
  <c r="E56" i="33"/>
  <c r="J55" i="33"/>
  <c r="J54" i="33"/>
  <c r="E54" i="33"/>
  <c r="K54" i="33" s="1"/>
  <c r="J51" i="33"/>
  <c r="E51" i="33"/>
  <c r="K51" i="33" s="1"/>
  <c r="K50" i="33"/>
  <c r="J50" i="33"/>
  <c r="F50" i="33"/>
  <c r="E50" i="33"/>
  <c r="K49" i="33"/>
  <c r="J49" i="33"/>
  <c r="F49" i="33"/>
  <c r="E49" i="33"/>
  <c r="E45" i="33"/>
  <c r="K45" i="33" s="1"/>
  <c r="J44" i="33"/>
  <c r="F44" i="33"/>
  <c r="E44" i="33"/>
  <c r="K44" i="33" s="1"/>
  <c r="J42" i="33"/>
  <c r="K41" i="33"/>
  <c r="J41" i="33"/>
  <c r="E41" i="33"/>
  <c r="K40" i="33"/>
  <c r="K39" i="33"/>
  <c r="K38" i="33"/>
  <c r="K37" i="33"/>
  <c r="K36" i="33"/>
  <c r="K35" i="33"/>
  <c r="K34" i="33"/>
  <c r="I33" i="33"/>
  <c r="H33" i="33"/>
  <c r="E32" i="33"/>
  <c r="K32" i="33" s="1"/>
  <c r="E30" i="33"/>
  <c r="I27" i="33"/>
  <c r="H27" i="33"/>
  <c r="I26" i="33"/>
  <c r="H26" i="33"/>
  <c r="I25" i="33"/>
  <c r="H25" i="33"/>
  <c r="E22" i="33"/>
  <c r="E7" i="33"/>
  <c r="E6" i="33"/>
  <c r="E5" i="33"/>
  <c r="E4" i="33"/>
  <c r="I3" i="33"/>
  <c r="H3" i="33"/>
  <c r="E2" i="33"/>
  <c r="BF63" i="32"/>
  <c r="BF62" i="32"/>
  <c r="BF61" i="32"/>
  <c r="BF60" i="32"/>
  <c r="BF59" i="32"/>
  <c r="BF58" i="32"/>
  <c r="BF57" i="32"/>
  <c r="BF56" i="32"/>
  <c r="BB56" i="32"/>
  <c r="AW56" i="32"/>
  <c r="AU56" i="32"/>
  <c r="Y56" i="32"/>
  <c r="W56" i="32"/>
  <c r="BF52" i="32"/>
  <c r="K52" i="32"/>
  <c r="S52" i="32" s="1"/>
  <c r="BF51" i="32"/>
  <c r="J51" i="32"/>
  <c r="BF50" i="32"/>
  <c r="I50" i="32"/>
  <c r="BF49" i="32"/>
  <c r="BF48" i="32"/>
  <c r="AD48" i="32"/>
  <c r="S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G44" i="31"/>
  <c r="S44" i="31"/>
  <c r="I45" i="31" s="1"/>
  <c r="AV43" i="31"/>
  <c r="S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G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S7" i="30"/>
  <c r="K7" i="30"/>
  <c r="AV6" i="30"/>
  <c r="S6" i="30"/>
  <c r="J6" i="30"/>
  <c r="AV5" i="30"/>
  <c r="S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S52" i="29"/>
  <c r="K52" i="29"/>
  <c r="BF51" i="29"/>
  <c r="J51" i="29"/>
  <c r="BF50" i="29"/>
  <c r="I50" i="29"/>
  <c r="BF49" i="29"/>
  <c r="BF48" i="29"/>
  <c r="AD48" i="29"/>
  <c r="S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C43" i="27"/>
  <c r="S43" i="27"/>
  <c r="I44" i="27" s="1"/>
  <c r="AN42" i="27"/>
  <c r="AC42" i="27"/>
  <c r="S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K48" i="25"/>
  <c r="S48" i="25" s="1"/>
  <c r="AN47" i="25"/>
  <c r="J47" i="25"/>
  <c r="AN46" i="25"/>
  <c r="I46" i="25"/>
  <c r="AN45" i="25"/>
  <c r="AC45" i="25"/>
  <c r="S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S6" i="23"/>
  <c r="J6" i="23"/>
  <c r="AN5" i="23"/>
  <c r="S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C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S6" i="22"/>
  <c r="AN5" i="22"/>
  <c r="S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I44" i="21"/>
  <c r="S44" i="21" s="1"/>
  <c r="AN43" i="21"/>
  <c r="AC43" i="21"/>
  <c r="S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S48" i="20"/>
  <c r="I49" i="20" s="1"/>
  <c r="AX47" i="20"/>
  <c r="AB47" i="20"/>
  <c r="S47" i="20"/>
  <c r="AX46" i="20"/>
  <c r="AB46" i="20"/>
  <c r="S46" i="20"/>
  <c r="AX45" i="20"/>
  <c r="AU45" i="20"/>
  <c r="AB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D45" i="18"/>
  <c r="S45" i="18"/>
  <c r="AP44" i="18"/>
  <c r="AD44" i="18"/>
  <c r="S44" i="18"/>
  <c r="AP43" i="18"/>
  <c r="AM43" i="18"/>
  <c r="AD43" i="18"/>
  <c r="S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J48" i="17"/>
  <c r="K49" i="17" s="1"/>
  <c r="S49" i="17" s="1"/>
  <c r="AP47" i="17"/>
  <c r="AP46" i="17"/>
  <c r="S46" i="17"/>
  <c r="I47" i="17" s="1"/>
  <c r="AP45" i="17"/>
  <c r="S45" i="17"/>
  <c r="AP44" i="17"/>
  <c r="AD44" i="17"/>
  <c r="S44" i="17"/>
  <c r="AP43" i="17"/>
  <c r="AM43" i="17"/>
  <c r="AD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D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S7" i="14" s="1"/>
  <c r="AP6" i="14"/>
  <c r="S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I47" i="12"/>
  <c r="J48" i="12" s="1"/>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K8" i="12" s="1"/>
  <c r="S8"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1" i="7"/>
  <c r="D19" i="7"/>
  <c r="D22" i="7" s="1"/>
  <c r="E18" i="7"/>
  <c r="G17" i="7"/>
  <c r="E17" i="7"/>
  <c r="G16" i="7"/>
  <c r="E16" i="7"/>
  <c r="F15" i="7"/>
  <c r="F14" i="7"/>
  <c r="G13" i="7"/>
  <c r="E13" i="7"/>
  <c r="E12" i="7"/>
  <c r="F11" i="7"/>
  <c r="D5" i="7"/>
  <c r="D5" i="6"/>
  <c r="AQ131" i="5"/>
  <c r="AP131" i="5"/>
  <c r="AO131" i="5"/>
  <c r="S47" i="29" s="1"/>
  <c r="AN131" i="5"/>
  <c r="S46" i="29" s="1"/>
  <c r="AM131" i="5"/>
  <c r="AL131" i="5"/>
  <c r="AK131" i="5"/>
  <c r="AJ131" i="5"/>
  <c r="G205" i="48" s="1"/>
  <c r="AI131" i="5"/>
  <c r="AH131" i="5"/>
  <c r="F205" i="48" s="1"/>
  <c r="AQ126" i="5"/>
  <c r="AP126" i="5"/>
  <c r="S43" i="28" s="1"/>
  <c r="I44" i="28" s="1"/>
  <c r="AO126" i="5"/>
  <c r="S42" i="28" s="1"/>
  <c r="AN126" i="5"/>
  <c r="S41" i="28" s="1"/>
  <c r="AM126" i="5"/>
  <c r="AL126" i="5"/>
  <c r="AC43" i="28" s="1"/>
  <c r="AK126" i="5"/>
  <c r="AC42" i="28" s="1"/>
  <c r="AJ126" i="5"/>
  <c r="G141" i="48" s="1"/>
  <c r="AI126" i="5"/>
  <c r="AH126" i="5"/>
  <c r="AQ121" i="5"/>
  <c r="AP121" i="5"/>
  <c r="AO121" i="5"/>
  <c r="AN121" i="5"/>
  <c r="S41" i="27" s="1"/>
  <c r="AM121" i="5"/>
  <c r="AL121" i="5"/>
  <c r="AK121" i="5"/>
  <c r="AJ121" i="5"/>
  <c r="G260" i="48" s="1"/>
  <c r="AI121" i="5"/>
  <c r="AH121" i="5"/>
  <c r="F75" i="48" s="1"/>
  <c r="AQ115" i="5"/>
  <c r="AP115" i="5"/>
  <c r="AO115" i="5"/>
  <c r="AN115" i="5"/>
  <c r="S46" i="32" s="1"/>
  <c r="AM115" i="5"/>
  <c r="AL115" i="5"/>
  <c r="AK115" i="5"/>
  <c r="AD47" i="32" s="1"/>
  <c r="AJ115" i="5"/>
  <c r="G72" i="48" s="1"/>
  <c r="AI115" i="5"/>
  <c r="AH115" i="5"/>
  <c r="F72" i="48" s="1"/>
  <c r="AQ110" i="5"/>
  <c r="AP110" i="5"/>
  <c r="AO110" i="5"/>
  <c r="AN110" i="5"/>
  <c r="S42" i="31" s="1"/>
  <c r="AM110" i="5"/>
  <c r="AL110" i="5"/>
  <c r="AK110" i="5"/>
  <c r="AG43" i="31" s="1"/>
  <c r="AJ110" i="5"/>
  <c r="AI110" i="5"/>
  <c r="AH110" i="5"/>
  <c r="AQ105" i="5"/>
  <c r="AP105" i="5"/>
  <c r="S44" i="30" s="1"/>
  <c r="I45" i="30" s="1"/>
  <c r="AO105" i="5"/>
  <c r="S43" i="30" s="1"/>
  <c r="AN105" i="5"/>
  <c r="AM105" i="5"/>
  <c r="AL105" i="5"/>
  <c r="AG44" i="30" s="1"/>
  <c r="AK105" i="5"/>
  <c r="AG43" i="30" s="1"/>
  <c r="AJ105" i="5"/>
  <c r="G66" i="48" s="1"/>
  <c r="AI105" i="5"/>
  <c r="AH105" i="5"/>
  <c r="F66" i="48" s="1"/>
  <c r="AQ99" i="5"/>
  <c r="AP99" i="5"/>
  <c r="S48" i="26" s="1"/>
  <c r="K52" i="26" s="1"/>
  <c r="S52" i="26" s="1"/>
  <c r="AO99" i="5"/>
  <c r="S47" i="26" s="1"/>
  <c r="AN99" i="5"/>
  <c r="AM99" i="5"/>
  <c r="AL99" i="5"/>
  <c r="AD48" i="26" s="1"/>
  <c r="AK99" i="5"/>
  <c r="AD47" i="26" s="1"/>
  <c r="AJ99" i="5"/>
  <c r="G63" i="48" s="1"/>
  <c r="AI99" i="5"/>
  <c r="AH99" i="5"/>
  <c r="F309" i="48" s="1"/>
  <c r="AQ94" i="5"/>
  <c r="AP94" i="5"/>
  <c r="S43" i="24" s="1"/>
  <c r="I44" i="24" s="1"/>
  <c r="AO94" i="5"/>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F120" i="48" s="1"/>
  <c r="AQ84" i="5"/>
  <c r="AP84" i="5"/>
  <c r="S43" i="22" s="1"/>
  <c r="I44" i="22" s="1"/>
  <c r="AO84" i="5"/>
  <c r="S42" i="22" s="1"/>
  <c r="AN84" i="5"/>
  <c r="S41" i="22" s="1"/>
  <c r="AM84" i="5"/>
  <c r="AL84" i="5"/>
  <c r="AK84" i="5"/>
  <c r="AC42" i="22" s="1"/>
  <c r="AJ84" i="5"/>
  <c r="G117" i="48" s="1"/>
  <c r="AI84" i="5"/>
  <c r="AH84" i="5"/>
  <c r="F117" i="48" s="1"/>
  <c r="AQ79" i="5"/>
  <c r="AP79" i="5"/>
  <c r="AO79" i="5"/>
  <c r="S42" i="21" s="1"/>
  <c r="AN79" i="5"/>
  <c r="S41" i="21" s="1"/>
  <c r="AM79" i="5"/>
  <c r="AL79" i="5"/>
  <c r="AK79" i="5"/>
  <c r="AC42" i="21" s="1"/>
  <c r="AJ79" i="5"/>
  <c r="G236" i="48" s="1"/>
  <c r="AI79" i="5"/>
  <c r="AH79" i="5"/>
  <c r="AQ63" i="5"/>
  <c r="S46" i="13" s="1"/>
  <c r="I47" i="13" s="1"/>
  <c r="S47" i="13" s="1"/>
  <c r="AP63" i="5"/>
  <c r="AO63" i="5"/>
  <c r="AN63" i="5"/>
  <c r="AM63" i="5"/>
  <c r="AL63" i="5"/>
  <c r="AK63" i="5"/>
  <c r="AD44" i="14" s="1"/>
  <c r="AJ63" i="5"/>
  <c r="AD43" i="13" s="1"/>
  <c r="AI63" i="5"/>
  <c r="AH63" i="5"/>
  <c r="AQ58" i="5"/>
  <c r="AP58" i="5"/>
  <c r="S44" i="25" s="1"/>
  <c r="AO58" i="5"/>
  <c r="S43" i="25" s="1"/>
  <c r="AN58" i="5"/>
  <c r="S42" i="25" s="1"/>
  <c r="AM58" i="5"/>
  <c r="AL58" i="5"/>
  <c r="AC44" i="25" s="1"/>
  <c r="AK58" i="5"/>
  <c r="AC43" i="25" s="1"/>
  <c r="AJ58" i="5"/>
  <c r="AC42" i="25" s="1"/>
  <c r="AI58" i="5"/>
  <c r="AH58" i="5"/>
  <c r="F111" i="48" s="1"/>
  <c r="AQ53" i="5"/>
  <c r="AP53" i="5"/>
  <c r="AO53" i="5"/>
  <c r="AN53" i="5"/>
  <c r="AM53" i="5"/>
  <c r="AL53" i="5"/>
  <c r="AK53" i="5"/>
  <c r="AJ53" i="5"/>
  <c r="G108" i="48" s="1"/>
  <c r="AI53" i="5"/>
  <c r="AH53" i="5"/>
  <c r="AQ48" i="5"/>
  <c r="S46" i="15" s="1"/>
  <c r="I47" i="15" s="1"/>
  <c r="AP48" i="5"/>
  <c r="S45" i="15" s="1"/>
  <c r="AO48" i="5"/>
  <c r="S44" i="15" s="1"/>
  <c r="AN48" i="5"/>
  <c r="S43" i="15" s="1"/>
  <c r="AM48" i="5"/>
  <c r="AD46" i="15" s="1"/>
  <c r="AL48" i="5"/>
  <c r="AD45" i="15" s="1"/>
  <c r="AK48" i="5"/>
  <c r="AD44" i="15" s="1"/>
  <c r="AJ48" i="5"/>
  <c r="AI48" i="5"/>
  <c r="AH48" i="5"/>
  <c r="F166" i="48" s="1"/>
  <c r="AQ43" i="5"/>
  <c r="S46" i="18" s="1"/>
  <c r="AP43" i="5"/>
  <c r="AO43" i="5"/>
  <c r="AN43" i="5"/>
  <c r="AM43" i="5"/>
  <c r="AL43" i="5"/>
  <c r="AK43" i="5"/>
  <c r="AJ43" i="5"/>
  <c r="G163" i="48" s="1"/>
  <c r="AI43" i="5"/>
  <c r="AH43" i="5"/>
  <c r="F163" i="48" s="1"/>
  <c r="AQ38" i="5"/>
  <c r="AP38" i="5"/>
  <c r="AO38" i="5"/>
  <c r="AN38" i="5"/>
  <c r="AM38" i="5"/>
  <c r="AD46" i="17" s="1"/>
  <c r="AL38" i="5"/>
  <c r="AD45" i="17" s="1"/>
  <c r="AK38" i="5"/>
  <c r="AJ38" i="5"/>
  <c r="G160" i="48" s="1"/>
  <c r="AI38" i="5"/>
  <c r="AH38" i="5"/>
  <c r="F160" i="48" s="1"/>
  <c r="AQ33" i="5"/>
  <c r="U52" i="19" s="1"/>
  <c r="I53" i="19" s="1"/>
  <c r="J54" i="19" s="1"/>
  <c r="AP33" i="5"/>
  <c r="U51" i="19" s="1"/>
  <c r="AO33" i="5"/>
  <c r="U50" i="19" s="1"/>
  <c r="AN33" i="5"/>
  <c r="U49" i="19" s="1"/>
  <c r="AM33" i="5"/>
  <c r="AG52" i="19" s="1"/>
  <c r="AL33" i="5"/>
  <c r="AG51" i="19" s="1"/>
  <c r="AK33" i="5"/>
  <c r="AG50" i="19" s="1"/>
  <c r="AJ33" i="5"/>
  <c r="AI33" i="5"/>
  <c r="AH33" i="5"/>
  <c r="AQ28" i="5"/>
  <c r="S46" i="16" s="1"/>
  <c r="AP28" i="5"/>
  <c r="S45" i="16" s="1"/>
  <c r="AO28" i="5"/>
  <c r="S44" i="16" s="1"/>
  <c r="AN28" i="5"/>
  <c r="L19" i="64" s="1"/>
  <c r="AM28" i="5"/>
  <c r="O22" i="64" s="1"/>
  <c r="AL28" i="5"/>
  <c r="AD45" i="16" s="1"/>
  <c r="AK28" i="5"/>
  <c r="O20" i="64" s="1"/>
  <c r="AJ28" i="5"/>
  <c r="O19" i="64" s="1"/>
  <c r="AI28" i="5"/>
  <c r="AH28" i="5"/>
  <c r="F215" i="48" s="1"/>
  <c r="AQ23" i="5"/>
  <c r="AP23" i="5"/>
  <c r="AO23" i="5"/>
  <c r="AN23" i="5"/>
  <c r="AM23" i="5"/>
  <c r="AL23" i="5"/>
  <c r="AK23" i="5"/>
  <c r="AJ23" i="5"/>
  <c r="AI23" i="5"/>
  <c r="AH23" i="5"/>
  <c r="AQ18" i="5"/>
  <c r="S46"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L13" i="5"/>
  <c r="AD45" i="11" s="1"/>
  <c r="AK13" i="5"/>
  <c r="AD44" i="11" s="1"/>
  <c r="AJ13" i="5"/>
  <c r="G24" i="48" s="1"/>
  <c r="AI13" i="5"/>
  <c r="AH13" i="5"/>
  <c r="F24" i="48" s="1"/>
  <c r="D6" i="5"/>
  <c r="D5" i="5"/>
  <c r="R13" i="4"/>
  <c r="I11" i="50" s="1"/>
  <c r="P13" i="4"/>
  <c r="I10" i="37" s="1"/>
  <c r="I13" i="4"/>
  <c r="Q13" i="4" s="1"/>
  <c r="E7" i="4"/>
  <c r="D5" i="4"/>
  <c r="O13" i="3"/>
  <c r="M13" i="3" a="1"/>
  <c r="M13" i="3"/>
  <c r="E13" i="3"/>
  <c r="E12" i="3"/>
  <c r="G12" i="3" s="1"/>
  <c r="E4" i="3"/>
  <c r="E59" i="2"/>
  <c r="E49" i="2"/>
  <c r="E41" i="2"/>
  <c r="E31" i="2"/>
  <c r="E27" i="2"/>
  <c r="E26" i="2"/>
  <c r="F25" i="2"/>
  <c r="E22" i="2"/>
  <c r="E21" i="2"/>
  <c r="F20" i="2"/>
  <c r="E19" i="2"/>
  <c r="I9" i="2"/>
  <c r="E3" i="2"/>
  <c r="E2" i="2"/>
  <c r="M2" i="54"/>
  <c r="AV8" i="20"/>
  <c r="AN49" i="18"/>
  <c r="AL7" i="28"/>
  <c r="AL8" i="25"/>
  <c r="AR8" i="19"/>
  <c r="AR55" i="19"/>
  <c r="AN8" i="11"/>
  <c r="AN49" i="11"/>
  <c r="AT47" i="31"/>
  <c r="AL7" i="21"/>
  <c r="AV51" i="20"/>
  <c r="AL46" i="28"/>
  <c r="M10" i="55"/>
  <c r="J13" i="3"/>
  <c r="AT7" i="30"/>
  <c r="AL7" i="22"/>
  <c r="M2" i="55"/>
  <c r="M10" i="54"/>
  <c r="AN49" i="15"/>
  <c r="AL46" i="23"/>
  <c r="AT47" i="30"/>
  <c r="AN49" i="16"/>
  <c r="AL7" i="27"/>
  <c r="AN8" i="17"/>
  <c r="AL7" i="24"/>
  <c r="AN8" i="12"/>
  <c r="AL46" i="21"/>
  <c r="AT7" i="31"/>
  <c r="AN49" i="17"/>
  <c r="Y25" i="64"/>
  <c r="AN8" i="18"/>
  <c r="AL46" i="27"/>
  <c r="AL46" i="24"/>
  <c r="AR56" i="19"/>
  <c r="AL48" i="25"/>
  <c r="AN49" i="14"/>
  <c r="AN8" i="14"/>
  <c r="AN8" i="15"/>
  <c r="AN49" i="12"/>
  <c r="AN49" i="13"/>
  <c r="AL46" i="22"/>
  <c r="AN8" i="13"/>
  <c r="AL7" i="23"/>
  <c r="AN8" i="16"/>
  <c r="G46" i="51" l="1"/>
  <c r="H46" i="51"/>
  <c r="J45" i="28"/>
  <c r="S44" i="28"/>
  <c r="J48" i="11"/>
  <c r="S47" i="11"/>
  <c r="S6" i="11"/>
  <c r="J7" i="11"/>
  <c r="S48" i="12"/>
  <c r="K49" i="12"/>
  <c r="S49" i="12" s="1"/>
  <c r="S7" i="13"/>
  <c r="K8" i="13"/>
  <c r="S8" i="13" s="1"/>
  <c r="R38" i="43"/>
  <c r="S43" i="13"/>
  <c r="S43" i="14"/>
  <c r="S6" i="13"/>
  <c r="G157" i="48"/>
  <c r="G33" i="48"/>
  <c r="G218" i="48"/>
  <c r="S44" i="23"/>
  <c r="J45" i="23"/>
  <c r="S44" i="13"/>
  <c r="S44" i="14"/>
  <c r="J6" i="21"/>
  <c r="S5" i="21"/>
  <c r="G212" i="48"/>
  <c r="AD43" i="12"/>
  <c r="G151" i="48"/>
  <c r="G90" i="48"/>
  <c r="G273" i="48"/>
  <c r="G27" i="48"/>
  <c r="S45" i="13"/>
  <c r="S45" i="14"/>
  <c r="F123" i="48"/>
  <c r="F306" i="48"/>
  <c r="F60" i="48"/>
  <c r="F245" i="48"/>
  <c r="F184" i="48"/>
  <c r="G69" i="48"/>
  <c r="G254" i="48"/>
  <c r="G193" i="48"/>
  <c r="AG42" i="31"/>
  <c r="G132" i="48"/>
  <c r="G315" i="48"/>
  <c r="S47" i="12"/>
  <c r="J45" i="27"/>
  <c r="S44" i="27"/>
  <c r="U58" i="43"/>
  <c r="F27" i="48"/>
  <c r="F212" i="48"/>
  <c r="F151" i="48"/>
  <c r="F90" i="48"/>
  <c r="F273" i="48"/>
  <c r="R36" i="43"/>
  <c r="F114" i="48"/>
  <c r="F297" i="48"/>
  <c r="F51" i="48"/>
  <c r="F236" i="48"/>
  <c r="F175" i="48"/>
  <c r="G306" i="48"/>
  <c r="G245" i="48"/>
  <c r="G60" i="48"/>
  <c r="G184" i="48"/>
  <c r="G123" i="48"/>
  <c r="J46" i="31"/>
  <c r="S45" i="31"/>
  <c r="V58" i="43"/>
  <c r="D36" i="7"/>
  <c r="D34" i="7"/>
  <c r="D35" i="7"/>
  <c r="D37" i="7"/>
  <c r="D38" i="7" s="1"/>
  <c r="D39" i="7" s="1"/>
  <c r="K55" i="19"/>
  <c r="U54" i="19"/>
  <c r="J45" i="21"/>
  <c r="J45" i="24"/>
  <c r="S44" i="24"/>
  <c r="K48" i="43"/>
  <c r="B34" i="33"/>
  <c r="K33" i="33"/>
  <c r="K8" i="17"/>
  <c r="S8" i="17" s="1"/>
  <c r="S7" i="17"/>
  <c r="K8" i="18"/>
  <c r="S8" i="18" s="1"/>
  <c r="S7" i="18"/>
  <c r="S48" i="43"/>
  <c r="R48" i="43" s="1"/>
  <c r="R49" i="43"/>
  <c r="J48" i="13"/>
  <c r="K8" i="14"/>
  <c r="S8" i="14" s="1"/>
  <c r="G96" i="48"/>
  <c r="E70" i="33"/>
  <c r="K70" i="33" s="1"/>
  <c r="K69" i="33"/>
  <c r="U7" i="19"/>
  <c r="K8" i="19"/>
  <c r="J45" i="22"/>
  <c r="S44" i="22"/>
  <c r="G279" i="48"/>
  <c r="J48" i="15"/>
  <c r="S47" i="15"/>
  <c r="S6" i="12"/>
  <c r="S5" i="28"/>
  <c r="J6" i="28"/>
  <c r="H38" i="43"/>
  <c r="I58" i="43"/>
  <c r="H58" i="43" s="1"/>
  <c r="S7" i="15"/>
  <c r="S7" i="12"/>
  <c r="J6" i="31"/>
  <c r="S5" i="31"/>
  <c r="K38" i="43"/>
  <c r="L58" i="43"/>
  <c r="F169" i="48"/>
  <c r="F108" i="48"/>
  <c r="F291" i="48"/>
  <c r="F45" i="48"/>
  <c r="F230" i="48"/>
  <c r="I11" i="37"/>
  <c r="I10" i="50"/>
  <c r="I8" i="39"/>
  <c r="I11" i="38"/>
  <c r="H15" i="34"/>
  <c r="M11" i="35"/>
  <c r="AG49" i="19"/>
  <c r="J48" i="18"/>
  <c r="I47" i="18"/>
  <c r="J6" i="27"/>
  <c r="S5" i="27"/>
  <c r="K36" i="43"/>
  <c r="M58" i="43"/>
  <c r="G114" i="48"/>
  <c r="G297" i="48"/>
  <c r="G51" i="48"/>
  <c r="G175" i="48"/>
  <c r="AC41" i="21"/>
  <c r="I47" i="16"/>
  <c r="J48" i="16"/>
  <c r="N58" i="43"/>
  <c r="H10" i="45"/>
  <c r="F157" i="48"/>
  <c r="F96" i="48"/>
  <c r="F279" i="48"/>
  <c r="F33" i="48"/>
  <c r="F218" i="48"/>
  <c r="G105" i="48"/>
  <c r="G166" i="48"/>
  <c r="G288" i="48"/>
  <c r="G42" i="48"/>
  <c r="G227" i="48"/>
  <c r="AD43" i="15"/>
  <c r="S45" i="30"/>
  <c r="J46" i="30"/>
  <c r="F263" i="48"/>
  <c r="F141" i="48"/>
  <c r="F324" i="48"/>
  <c r="F202" i="48"/>
  <c r="F78" i="48"/>
  <c r="I27" i="40"/>
  <c r="O58" i="43"/>
  <c r="AD45" i="14"/>
  <c r="AD45" i="13"/>
  <c r="AD46" i="13"/>
  <c r="AD46" i="14"/>
  <c r="J6" i="24"/>
  <c r="S5" i="24"/>
  <c r="P58" i="43"/>
  <c r="F69" i="48"/>
  <c r="F254" i="48"/>
  <c r="F193" i="48"/>
  <c r="F132" i="48"/>
  <c r="F315" i="48"/>
  <c r="G202" i="48"/>
  <c r="G324" i="48"/>
  <c r="AC41" i="28"/>
  <c r="G78" i="48"/>
  <c r="G263" i="48"/>
  <c r="D20" i="7"/>
  <c r="AC41" i="24"/>
  <c r="R39" i="43"/>
  <c r="AD44" i="13"/>
  <c r="S48" i="17"/>
  <c r="AD46" i="29"/>
  <c r="I12" i="37"/>
  <c r="G75" i="48"/>
  <c r="G169" i="48"/>
  <c r="G215" i="48"/>
  <c r="G309" i="48"/>
  <c r="AA11" i="63"/>
  <c r="AD46" i="16"/>
  <c r="S46" i="14"/>
  <c r="I47" i="14" s="1"/>
  <c r="F30" i="48"/>
  <c r="F126" i="48"/>
  <c r="F172" i="48"/>
  <c r="F266" i="48"/>
  <c r="F312" i="48"/>
  <c r="J51" i="51"/>
  <c r="F10" i="55"/>
  <c r="AD46" i="32"/>
  <c r="F5" i="44"/>
  <c r="G30" i="48"/>
  <c r="G126" i="48"/>
  <c r="G172" i="48"/>
  <c r="G266" i="48"/>
  <c r="G312" i="48"/>
  <c r="G52" i="51"/>
  <c r="J50" i="20"/>
  <c r="F81" i="48"/>
  <c r="F129" i="48"/>
  <c r="F221" i="48"/>
  <c r="H52" i="51"/>
  <c r="E5" i="54"/>
  <c r="AA12" i="63"/>
  <c r="G81" i="48"/>
  <c r="G221" i="48"/>
  <c r="K49" i="43"/>
  <c r="F36" i="48"/>
  <c r="F178" i="48"/>
  <c r="G270" i="48"/>
  <c r="F318" i="48"/>
  <c r="J52" i="51"/>
  <c r="L20" i="64"/>
  <c r="S6" i="15"/>
  <c r="S7" i="16"/>
  <c r="K39" i="43"/>
  <c r="G17" i="46"/>
  <c r="G36" i="48"/>
  <c r="F87" i="48"/>
  <c r="G178" i="48"/>
  <c r="G224" i="48"/>
  <c r="M270" i="48"/>
  <c r="G318" i="48"/>
  <c r="AA13" i="63"/>
  <c r="F135" i="48"/>
  <c r="F227" i="48"/>
  <c r="F321" i="48"/>
  <c r="G135" i="48"/>
  <c r="G181" i="48"/>
  <c r="F10" i="54"/>
  <c r="L21" i="64"/>
  <c r="F42" i="48"/>
  <c r="O21" i="64"/>
  <c r="K15" i="43"/>
  <c r="G230" i="48"/>
  <c r="F327" i="48"/>
  <c r="L22" i="64"/>
  <c r="F23" i="64" s="1"/>
  <c r="F144" i="48"/>
  <c r="F282" i="48"/>
  <c r="G242" i="48"/>
  <c r="G291" i="48"/>
  <c r="F63" i="48"/>
  <c r="F251" i="48"/>
  <c r="E30" i="62"/>
  <c r="G57" i="48"/>
  <c r="I6" i="25"/>
  <c r="AD43" i="14"/>
  <c r="K51" i="20"/>
  <c r="S51" i="20" s="1"/>
  <c r="G111" i="48"/>
  <c r="G251" i="48"/>
  <c r="J7" i="25"/>
  <c r="I9" i="39"/>
  <c r="F300" i="48"/>
  <c r="J49" i="51"/>
  <c r="F209" i="48"/>
  <c r="G300" i="48"/>
  <c r="J7" i="20"/>
  <c r="F23" i="48"/>
  <c r="G209" i="48"/>
  <c r="F257" i="48"/>
  <c r="F303" i="48"/>
  <c r="E32" i="62"/>
  <c r="I6" i="20"/>
  <c r="AC41" i="22"/>
  <c r="M209" i="48"/>
  <c r="G257" i="48"/>
  <c r="G303" i="48"/>
  <c r="F260" i="48"/>
  <c r="J50" i="51"/>
  <c r="J45" i="51" s="1"/>
  <c r="E5" i="2" s="1"/>
  <c r="M24" i="48"/>
  <c r="G120" i="48"/>
  <c r="G51" i="51"/>
  <c r="K46" i="23" l="1"/>
  <c r="S46" i="23" s="1"/>
  <c r="S45" i="23"/>
  <c r="S46" i="31"/>
  <c r="K47" i="31"/>
  <c r="S47" i="31" s="1"/>
  <c r="H31" i="33"/>
  <c r="H136" i="33" s="1"/>
  <c r="I31" i="33"/>
  <c r="I136" i="33" s="1"/>
  <c r="K46" i="27"/>
  <c r="S46" i="27" s="1"/>
  <c r="S45" i="27"/>
  <c r="K49" i="18"/>
  <c r="S49" i="18" s="1"/>
  <c r="S48" i="18"/>
  <c r="G24" i="64"/>
  <c r="L23" i="64"/>
  <c r="S58" i="43"/>
  <c r="R58" i="43" s="1"/>
  <c r="S48" i="13"/>
  <c r="K49" i="13"/>
  <c r="S49" i="13" s="1"/>
  <c r="K47" i="30"/>
  <c r="S47" i="30" s="1"/>
  <c r="S46" i="30"/>
  <c r="B5" i="1"/>
  <c r="D4" i="4"/>
  <c r="K58" i="43"/>
  <c r="K46" i="24"/>
  <c r="S46" i="24" s="1"/>
  <c r="S45" i="24"/>
  <c r="L9" i="19"/>
  <c r="U9" i="19" s="1"/>
  <c r="U8" i="19"/>
  <c r="S6" i="21"/>
  <c r="K7" i="21"/>
  <c r="S7" i="21" s="1"/>
  <c r="S45" i="21"/>
  <c r="K46" i="21"/>
  <c r="S46" i="21" s="1"/>
  <c r="K7" i="24"/>
  <c r="S7" i="24" s="1"/>
  <c r="S6" i="24"/>
  <c r="K7" i="31"/>
  <c r="S7" i="31" s="1"/>
  <c r="S6" i="31"/>
  <c r="S48" i="15"/>
  <c r="K49" i="15"/>
  <c r="S49" i="15" s="1"/>
  <c r="U55" i="19"/>
  <c r="L56" i="19"/>
  <c r="U56" i="19" s="1"/>
  <c r="K46" i="22"/>
  <c r="S46" i="22" s="1"/>
  <c r="S45" i="22"/>
  <c r="K7" i="27"/>
  <c r="S7" i="27" s="1"/>
  <c r="S6" i="27"/>
  <c r="D43" i="7"/>
  <c r="D44" i="7" s="1"/>
  <c r="D45" i="7" s="1"/>
  <c r="D41" i="7"/>
  <c r="D40" i="7"/>
  <c r="K8" i="11"/>
  <c r="S8" i="11" s="1"/>
  <c r="S7" i="11"/>
  <c r="K49" i="16"/>
  <c r="S49" i="16" s="1"/>
  <c r="S48" i="16"/>
  <c r="K7" i="28"/>
  <c r="S7" i="28" s="1"/>
  <c r="S6" i="28"/>
  <c r="K49" i="11"/>
  <c r="S49" i="11" s="1"/>
  <c r="S48" i="11"/>
  <c r="J48" i="14"/>
  <c r="S47" i="14"/>
  <c r="S45" i="28"/>
  <c r="K46" i="28"/>
  <c r="S46" i="28" s="1"/>
  <c r="K49" i="14" l="1"/>
  <c r="S49" i="14" s="1"/>
  <c r="S48" i="14"/>
  <c r="H25" i="64"/>
  <c r="L25" i="64" s="1"/>
  <c r="L24" i="64"/>
  <c r="D48" i="7"/>
  <c r="D51" i="7"/>
  <c r="D49" i="7"/>
  <c r="D47"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<sst xmlns="http://schemas.openxmlformats.org/spreadsheetml/2006/main" count="16039" uniqueCount="4405">
  <si>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</si>
  <si>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</si>
  <si>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</si>
  <si>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</si>
  <si>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</si>
  <si>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</si>
  <si>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</si>
  <si>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</si>
  <si>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</si>
  <si>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</si>
  <si>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</si>
  <si>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</si>
  <si>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</si>
  <si>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26467270</t>
  </si>
  <si>
    <t>Flag_Row_Size</t>
  </si>
  <si>
    <t>Субъект РФ</t>
  </si>
  <si>
    <t>Мурманская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</si>
  <si>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</si>
  <si>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</si>
  <si>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</si>
  <si>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</si>
  <si>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</si>
  <si>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</si>
  <si>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</si>
  <si>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</si>
  <si>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</si>
  <si>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</si>
  <si>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</si>
  <si>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</si>
  <si>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</si>
  <si>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</si>
  <si>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</si>
  <si>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</si>
  <si>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</si>
  <si>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</si>
  <si>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</si>
  <si>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</si>
  <si>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</si>
  <si>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</si>
  <si>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</si>
  <si>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</si>
  <si>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</si>
  <si>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</si>
  <si>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</si>
  <si>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</si>
  <si>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 (филиал "Кольский")</t>
  </si>
  <si>
    <t>Наименование (описание) обособленного подразделения</t>
  </si>
  <si>
    <t>ИНН</t>
  </si>
  <si>
    <t>7841312071</t>
  </si>
  <si>
    <t>КПП</t>
  </si>
  <si>
    <t>519001001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</si>
  <si>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</si>
  <si>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</si>
  <si>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</si>
  <si>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</si>
  <si>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</si>
  <si>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</si>
  <si>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</si>
  <si>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</si>
  <si>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</si>
  <si>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</si>
  <si>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</si>
  <si>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</si>
  <si>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</si>
  <si>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</si>
  <si>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</si>
  <si>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</si>
  <si>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</si>
  <si>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</si>
  <si>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</si>
  <si>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184355, Мурманская обл., пос. Мурмаши, ул. Советская, д.2</t>
  </si>
  <si>
    <t>Фамилия, имя, отчество руководителя</t>
  </si>
  <si>
    <t>Назаров Станислав Валентинович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</si>
  <si>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</si>
  <si>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</si>
  <si>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</si>
  <si>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</si>
  <si>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</si>
  <si>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</si>
  <si>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</si>
  <si>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</si>
  <si>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</si>
  <si>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</si>
  <si>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</si>
  <si>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</si>
  <si>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</si>
  <si>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</si>
  <si>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</si>
  <si>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</si>
  <si>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</si>
  <si>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</si>
  <si>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</si>
  <si>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</si>
  <si>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</si>
  <si>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</si>
  <si>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</si>
  <si>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</si>
  <si>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</si>
  <si>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</si>
  <si>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</si>
  <si>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</si>
  <si>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</si>
  <si>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</si>
  <si>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</si>
  <si>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</si>
  <si>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</si>
  <si>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</si>
  <si>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</si>
  <si>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</si>
  <si>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</si>
  <si>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</si>
  <si>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</si>
  <si>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</si>
  <si>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</si>
  <si>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</si>
  <si>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</si>
  <si>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</si>
  <si>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</si>
  <si>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</si>
  <si>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</si>
  <si>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</si>
  <si>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</si>
  <si>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</si>
  <si>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</si>
  <si>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</si>
  <si>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</si>
  <si>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</si>
  <si>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</si>
  <si>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</si>
  <si>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</si>
  <si>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</si>
  <si>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</si>
  <si>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</si>
  <si>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</si>
  <si>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</si>
  <si>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</si>
  <si>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</si>
  <si>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</si>
  <si>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</si>
  <si>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</si>
  <si>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</si>
  <si>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</si>
  <si>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</si>
  <si>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</si>
  <si>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</si>
  <si>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</si>
  <si>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</si>
  <si>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</si>
  <si>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</si>
  <si>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</si>
  <si>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</si>
  <si>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</si>
  <si>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</si>
  <si>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</si>
  <si>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</si>
  <si>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</si>
  <si>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</si>
  <si>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</si>
  <si>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</si>
  <si>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</si>
  <si>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</si>
  <si>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</si>
  <si>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</si>
  <si>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</si>
  <si>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</si>
  <si>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</si>
  <si>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</si>
  <si>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</si>
  <si>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</si>
  <si>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</si>
  <si>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</si>
  <si>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</si>
  <si>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</si>
  <si>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</si>
  <si>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</si>
  <si>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</si>
  <si>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</si>
  <si>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</si>
  <si>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</si>
  <si>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</si>
  <si>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</si>
  <si>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</si>
  <si>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</si>
  <si>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</si>
  <si>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</si>
  <si>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</si>
  <si>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</si>
  <si>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</si>
  <si>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</si>
  <si>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</si>
  <si>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</si>
  <si>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</si>
  <si>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</si>
  <si>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</si>
  <si>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</si>
  <si>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</si>
  <si>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</si>
  <si>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</si>
  <si>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</si>
  <si>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</si>
  <si>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</si>
  <si>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</si>
  <si>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</si>
  <si>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</si>
  <si>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</si>
  <si>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</si>
  <si>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</si>
  <si>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</si>
  <si>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</si>
  <si>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</si>
  <si>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</si>
  <si>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</si>
  <si>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</si>
  <si>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</si>
  <si>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</si>
  <si>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</si>
  <si>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</si>
  <si>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</si>
  <si>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</si>
  <si>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</si>
  <si>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</si>
  <si>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</si>
  <si>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</si>
  <si>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</si>
  <si>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</si>
  <si>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</si>
  <si>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</si>
  <si>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</si>
  <si>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</si>
  <si>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</si>
  <si>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</si>
  <si>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</si>
  <si>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</si>
  <si>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</si>
  <si>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</si>
  <si>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</si>
  <si>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</si>
  <si>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</si>
  <si>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</si>
  <si>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</si>
  <si>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</si>
  <si>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</si>
  <si>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</si>
  <si>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</si>
  <si>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</si>
  <si>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</si>
  <si>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</si>
  <si>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</si>
  <si>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</si>
  <si>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</si>
  <si>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</si>
  <si>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</si>
  <si>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</si>
  <si>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</si>
  <si>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</si>
  <si>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</si>
  <si>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</si>
  <si>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</si>
  <si>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</si>
  <si>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</si>
  <si>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</si>
  <si>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</si>
  <si>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</si>
  <si>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</si>
  <si>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</si>
  <si>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</si>
  <si>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</si>
  <si>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</si>
  <si>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</si>
  <si>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</si>
  <si>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</si>
  <si>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</si>
  <si>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</si>
  <si>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</si>
  <si>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</si>
  <si>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</si>
  <si>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</si>
  <si>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</si>
  <si>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</si>
  <si>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</si>
  <si>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</si>
  <si>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</si>
  <si>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</si>
  <si>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</si>
  <si>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</si>
  <si>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</si>
  <si>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</si>
  <si>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</si>
  <si>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</si>
  <si>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</si>
  <si>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</si>
  <si>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</si>
  <si>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</si>
  <si>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</si>
  <si>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</si>
  <si>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</si>
  <si>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</si>
  <si>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</si>
  <si>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</si>
  <si>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</si>
  <si>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</si>
  <si>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</si>
  <si>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</si>
  <si>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</si>
  <si>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</si>
  <si>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</si>
  <si>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</si>
  <si>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</si>
  <si>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</si>
  <si>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</si>
  <si>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</si>
  <si>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</si>
  <si>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</si>
  <si>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</si>
  <si>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</si>
  <si>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</si>
  <si>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</si>
  <si>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</si>
  <si>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</si>
  <si>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</si>
  <si>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</si>
  <si>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</si>
  <si>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</si>
  <si>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</si>
  <si>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</si>
  <si>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</si>
  <si>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</si>
  <si>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</si>
  <si>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</si>
  <si>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</si>
  <si>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</si>
  <si>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</si>
  <si>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</si>
  <si>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</si>
  <si>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</si>
  <si>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</si>
  <si>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</si>
  <si>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</si>
  <si>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</si>
  <si>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</si>
  <si>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</si>
  <si>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</si>
  <si>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</si>
  <si>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</si>
  <si>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</si>
  <si>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</si>
  <si>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</si>
  <si>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</si>
  <si>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</si>
  <si>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</si>
  <si>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</si>
  <si>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</si>
  <si>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</si>
  <si>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</si>
  <si>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</si>
  <si>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</si>
  <si>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</si>
  <si>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</si>
  <si>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</si>
  <si>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</si>
  <si>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</si>
  <si>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</si>
  <si>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</si>
  <si>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</si>
  <si>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</si>
  <si>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</si>
  <si>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</si>
  <si>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</si>
  <si>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</si>
  <si>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</si>
  <si>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</si>
  <si>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</si>
  <si>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</si>
  <si>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</si>
  <si>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</si>
  <si>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</si>
  <si>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</si>
  <si>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</si>
  <si>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</si>
  <si>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</si>
  <si>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</si>
  <si>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</si>
  <si>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</si>
  <si>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</si>
  <si>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</si>
  <si>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</si>
  <si>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</si>
  <si>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</si>
  <si>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</si>
  <si>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</si>
  <si>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</si>
  <si>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</si>
  <si>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</si>
  <si>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</si>
  <si>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</si>
  <si>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</si>
  <si>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</si>
  <si>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</si>
  <si>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</si>
  <si>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</si>
  <si>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</si>
  <si>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</si>
  <si>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</si>
  <si>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</si>
  <si>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</si>
  <si>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</si>
  <si>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</si>
  <si>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</si>
  <si>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</si>
  <si>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</si>
  <si>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</si>
  <si>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</si>
  <si>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</si>
  <si>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</si>
  <si>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</si>
  <si>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</si>
  <si>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</si>
  <si>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</si>
  <si>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</si>
  <si>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</si>
  <si>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</si>
  <si>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</si>
  <si>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</si>
  <si>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</si>
  <si>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</si>
  <si>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</si>
  <si>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</si>
  <si>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</si>
  <si>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</si>
  <si>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</si>
  <si>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</si>
  <si>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</si>
  <si>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</si>
  <si>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</si>
  <si>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</si>
  <si>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</si>
  <si>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</si>
  <si>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</si>
  <si>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</si>
  <si>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</si>
  <si>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</si>
  <si>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</si>
  <si>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</si>
  <si>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</si>
  <si>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</si>
  <si>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</si>
  <si>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</si>
  <si>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</si>
  <si>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</si>
  <si>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</si>
  <si>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</si>
  <si>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</si>
  <si>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</si>
  <si>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</si>
  <si>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</si>
  <si>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</si>
  <si>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</si>
  <si>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</si>
  <si>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</si>
  <si>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</si>
  <si>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</si>
  <si>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</si>
  <si>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</si>
  <si>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</si>
  <si>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</si>
  <si>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</si>
  <si>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</si>
  <si>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</si>
  <si>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</si>
  <si>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</si>
  <si>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</si>
  <si>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</si>
  <si>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</si>
  <si>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</si>
  <si>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</si>
  <si>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</si>
  <si>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</si>
  <si>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</si>
  <si>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</si>
  <si>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</si>
  <si>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</si>
  <si>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</si>
  <si>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</si>
  <si>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</si>
  <si>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</si>
  <si>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</si>
  <si>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</si>
  <si>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</si>
  <si>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</si>
  <si>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</si>
  <si>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</si>
  <si>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</si>
  <si>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</si>
  <si>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</si>
  <si>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</si>
  <si>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</si>
  <si>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</si>
  <si>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</si>
  <si>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</si>
  <si>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</si>
  <si>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</si>
  <si>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</si>
  <si>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</si>
  <si>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</si>
  <si>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</si>
  <si>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</si>
  <si>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</si>
  <si>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</si>
  <si>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</si>
  <si>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</si>
  <si>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</si>
  <si>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</si>
  <si>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</si>
  <si>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</si>
  <si>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</si>
  <si>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</si>
  <si>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</si>
  <si>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</si>
  <si>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</si>
  <si>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</si>
  <si>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</si>
  <si>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</si>
  <si>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</si>
  <si>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</si>
  <si>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</si>
  <si>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</si>
  <si>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</si>
  <si>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</si>
  <si>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</si>
  <si>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</si>
  <si>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</si>
  <si>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</si>
  <si>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</si>
  <si>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</si>
  <si>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</si>
  <si>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</si>
  <si>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</si>
  <si>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</si>
  <si>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</si>
  <si>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</si>
  <si>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</si>
  <si>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</si>
  <si>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</si>
  <si>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</si>
  <si>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</si>
  <si>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</si>
  <si>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</si>
  <si>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</si>
  <si>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</si>
  <si>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</si>
  <si>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</si>
  <si>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</si>
  <si>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</si>
  <si>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</si>
  <si>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</si>
  <si>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</si>
  <si>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</si>
  <si>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</si>
  <si>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</si>
  <si>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</si>
  <si>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</si>
  <si>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</si>
  <si>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</si>
  <si>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</si>
  <si>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</si>
  <si>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</si>
  <si>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</si>
  <si>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</si>
  <si>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</si>
  <si>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</si>
  <si>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</si>
  <si>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</si>
  <si>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</si>
  <si>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</si>
  <si>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</si>
  <si>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</si>
  <si>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</si>
  <si>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</si>
  <si>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</si>
  <si>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</si>
  <si>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</si>
  <si>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</si>
  <si>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</si>
  <si>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</si>
  <si>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</si>
  <si>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</si>
  <si>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</si>
  <si>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</si>
  <si>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</si>
  <si>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</si>
  <si>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</si>
  <si>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</si>
  <si>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</si>
  <si>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</si>
  <si>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</si>
  <si>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</si>
  <si>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</si>
  <si>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</si>
  <si>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</si>
  <si>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</si>
  <si>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</si>
  <si>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</si>
  <si>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</si>
  <si>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</si>
  <si>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</si>
  <si>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</si>
  <si>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</si>
  <si>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</si>
  <si>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</si>
  <si>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</si>
  <si>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</si>
  <si>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</si>
  <si>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</si>
  <si>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</si>
  <si>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</si>
  <si>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</si>
  <si>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</si>
  <si>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</si>
  <si>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</si>
  <si>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</si>
  <si>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</si>
  <si>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</si>
  <si>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</si>
  <si>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</si>
  <si>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</si>
  <si>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</si>
  <si>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</si>
  <si>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</si>
  <si>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</si>
  <si>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</si>
  <si>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</si>
  <si>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</si>
  <si>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</si>
  <si>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</si>
  <si>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</si>
  <si>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</si>
  <si>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</si>
  <si>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</si>
  <si>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</si>
  <si>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</si>
  <si>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</si>
  <si>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</si>
  <si>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</si>
  <si>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</si>
  <si>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</si>
  <si>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</si>
  <si>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</si>
  <si>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</si>
  <si>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</si>
  <si>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</si>
  <si>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</si>
  <si>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</si>
  <si>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</si>
  <si>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</si>
  <si>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</si>
  <si>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</si>
  <si>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</si>
  <si>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</si>
  <si>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</si>
  <si>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</si>
  <si>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</si>
  <si>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</si>
  <si>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</si>
  <si>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</si>
  <si>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</si>
  <si>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</si>
  <si>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</si>
  <si>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</si>
  <si>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</si>
  <si>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</si>
  <si>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</si>
  <si>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</si>
  <si>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</si>
  <si>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</si>
  <si>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</si>
  <si>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</si>
  <si>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</si>
  <si>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</si>
  <si>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</si>
  <si>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</si>
  <si>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</si>
  <si>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</si>
  <si>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</si>
  <si>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</si>
  <si>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</si>
  <si>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</si>
  <si>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</si>
  <si>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</si>
  <si>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</si>
  <si>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</si>
  <si>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</si>
  <si>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</si>
  <si>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</si>
  <si>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</si>
  <si>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</si>
  <si>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</si>
  <si>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</si>
  <si>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</si>
  <si>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</si>
  <si>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</si>
  <si>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</si>
  <si>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</si>
  <si>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</si>
  <si>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</si>
  <si>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</si>
  <si>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</si>
  <si>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</si>
  <si>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</si>
  <si>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</si>
  <si>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</si>
  <si>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</si>
  <si>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</si>
  <si>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</si>
  <si>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</si>
  <si>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</si>
  <si>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</si>
  <si>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</si>
  <si>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</si>
  <si>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</si>
  <si>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</si>
  <si>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</si>
  <si>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</si>
  <si>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</si>
  <si>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</si>
  <si>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</si>
  <si>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</si>
  <si>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</si>
  <si>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</si>
  <si>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</si>
  <si>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</si>
  <si>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</si>
  <si>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</si>
  <si>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</si>
  <si>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</si>
  <si>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</si>
  <si>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</si>
  <si>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</si>
  <si>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</si>
  <si>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</si>
  <si>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</si>
  <si>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</si>
  <si>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</si>
  <si>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</si>
  <si>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</si>
  <si>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</si>
  <si>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</si>
  <si>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</si>
  <si>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</si>
  <si>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</si>
  <si>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</si>
  <si>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</si>
  <si>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</si>
  <si>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</si>
  <si>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</si>
  <si>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</si>
  <si>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</si>
  <si>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</si>
  <si>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</si>
  <si>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</si>
  <si>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</si>
  <si>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</si>
  <si>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</si>
  <si>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</si>
  <si>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</si>
  <si>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</si>
  <si>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</si>
  <si>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</si>
  <si>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</si>
  <si>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</si>
  <si>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</si>
  <si>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</si>
  <si>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</si>
  <si>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</si>
  <si>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</si>
  <si>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</si>
  <si>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</si>
  <si>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</si>
  <si>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</si>
  <si>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</si>
  <si>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</si>
  <si>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</si>
  <si>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</si>
  <si>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</si>
  <si>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</si>
  <si>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</si>
  <si>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</si>
  <si>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</si>
  <si>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</si>
  <si>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</si>
  <si>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</si>
  <si>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</si>
  <si>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</si>
  <si>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</si>
  <si>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</si>
  <si>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</si>
  <si>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</si>
  <si>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</si>
  <si>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</si>
  <si>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</si>
  <si>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</si>
  <si>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</si>
  <si>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</si>
  <si>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</si>
  <si>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</si>
  <si>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</si>
  <si>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</si>
  <si>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</si>
  <si>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</si>
  <si>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</si>
  <si>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</si>
  <si>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</si>
  <si>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</si>
  <si>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</si>
  <si>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</si>
  <si>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</si>
  <si>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</si>
  <si>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</si>
  <si>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</si>
  <si>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</si>
  <si>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</si>
  <si>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</si>
  <si>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</si>
  <si>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</si>
  <si>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</si>
  <si>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</si>
  <si>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</si>
  <si>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</si>
  <si>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</si>
  <si>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</si>
  <si>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</si>
  <si>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</si>
  <si>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</si>
  <si>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</si>
  <si>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</si>
  <si>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</si>
  <si>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</si>
  <si>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</si>
  <si>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</si>
  <si>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</si>
  <si>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</si>
  <si>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</si>
  <si>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</si>
  <si>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</si>
  <si>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</si>
  <si>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</si>
  <si>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</si>
  <si>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</si>
  <si>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</si>
  <si>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</si>
  <si>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</si>
  <si>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</si>
  <si>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</si>
  <si>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</si>
  <si>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</si>
  <si>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</si>
  <si>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</si>
  <si>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</si>
  <si>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</si>
  <si>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</si>
  <si>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</si>
  <si>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</si>
  <si>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</si>
  <si>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</si>
  <si>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</si>
  <si>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</si>
  <si>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</si>
  <si>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</si>
  <si>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</si>
  <si>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</si>
  <si>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</si>
  <si>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</si>
  <si>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</si>
  <si>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</si>
  <si>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</si>
  <si>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</si>
  <si>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</si>
  <si>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</si>
  <si>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</si>
  <si>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</si>
  <si>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</si>
  <si>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</si>
  <si>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</si>
  <si>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</si>
  <si>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</si>
  <si>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</si>
  <si>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</si>
  <si>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</si>
  <si>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</si>
  <si>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</si>
  <si>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</si>
  <si>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</si>
  <si>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</si>
  <si>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</si>
  <si>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</si>
  <si>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</si>
  <si>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</si>
  <si>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</si>
  <si>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</si>
  <si>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</si>
  <si>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</si>
  <si>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</si>
  <si>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</si>
  <si>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</si>
  <si>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</si>
  <si>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</si>
  <si>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</si>
  <si>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</si>
  <si>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</si>
  <si>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</si>
  <si>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</si>
  <si>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</si>
  <si>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</si>
  <si>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</si>
  <si>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</si>
  <si>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</si>
  <si>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</si>
  <si>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</si>
  <si>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</si>
  <si>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</si>
  <si>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</si>
  <si>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</si>
  <si>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</si>
  <si>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</si>
  <si>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</si>
  <si>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</si>
  <si>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</si>
  <si>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</si>
  <si>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</si>
  <si>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</si>
  <si>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</si>
  <si>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</si>
  <si>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</si>
  <si>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</si>
  <si>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</si>
  <si>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</si>
  <si>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</si>
  <si>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</si>
  <si>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</si>
  <si>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</si>
  <si>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</si>
  <si>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</si>
  <si>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</si>
  <si>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</si>
  <si>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</si>
  <si>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</si>
  <si>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</si>
  <si>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</si>
  <si>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</si>
  <si>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</si>
  <si>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</si>
  <si>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</si>
  <si>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</si>
  <si>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</si>
  <si>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</si>
  <si>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</si>
  <si>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</si>
  <si>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</si>
  <si>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</si>
  <si>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</si>
  <si>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</si>
  <si>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</si>
  <si>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</si>
  <si>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</si>
  <si>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</si>
  <si>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</si>
  <si>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</si>
  <si>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</si>
  <si>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</si>
  <si>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</si>
  <si>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</si>
  <si>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</si>
  <si>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</si>
  <si>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</si>
  <si>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</si>
  <si>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</si>
  <si>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</si>
  <si>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</si>
  <si>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повышение надёжности и энергетической эффективности</t>
  </si>
  <si>
    <t>Министерство энергетики и ЖКХ Мурманской области</t>
  </si>
  <si>
    <t>не согласовывается</t>
  </si>
  <si>
    <t>01.01.2023</t>
  </si>
  <si>
    <t>31.12.2027</t>
  </si>
  <si>
    <t xml:space="preserve">Министерство энергетики и ЖКХ Мурманской области
</t>
  </si>
  <si>
    <t>приказ</t>
  </si>
  <si>
    <t>ip_51</t>
  </si>
  <si>
    <t>Добавить реквизиты</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</si>
  <si>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</si>
  <si>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ip_511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</si>
  <si>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</si>
  <si>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</si>
  <si>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</si>
  <si>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</si>
  <si>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</si>
  <si>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</si>
  <si>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</si>
  <si>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</si>
  <si>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</si>
  <si>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</si>
  <si>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</si>
  <si>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</si>
  <si>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</si>
  <si>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</si>
  <si>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</si>
  <si>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</si>
  <si>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</si>
  <si>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</si>
  <si>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</si>
  <si>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</si>
  <si>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</si>
  <si>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</si>
  <si>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</si>
  <si>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</si>
  <si>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</si>
  <si>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</si>
  <si>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</si>
  <si>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</si>
  <si>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</si>
  <si>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</si>
  <si>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</si>
  <si>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</si>
  <si>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</si>
  <si>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Техперевооружение 3 тепломагистрали</t>
  </si>
  <si>
    <t>Декабрь</t>
  </si>
  <si>
    <t>2027</t>
  </si>
  <si>
    <t>Апатитская ТЭЦ</t>
  </si>
  <si>
    <t>ТИ с сетями</t>
  </si>
  <si>
    <t>город Апатиты</t>
  </si>
  <si>
    <t>47519000</t>
  </si>
  <si>
    <t>г Апатиты</t>
  </si>
  <si>
    <t>47519000001</t>
  </si>
  <si>
    <t>Энергетическое ш.</t>
  </si>
  <si>
    <t>д 5, Апатитская ТЭЦ</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</si>
  <si>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</si>
  <si>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</si>
  <si>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</si>
  <si>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реконструкция или модернизация существующих объектов теплоснабжения, за исключением тепловых сетей</t>
  </si>
  <si>
    <t>Модернизация схем поперечных связей основного и вспомогательного оборудования</t>
  </si>
  <si>
    <t>Ноябрь</t>
  </si>
  <si>
    <t>2024</t>
  </si>
  <si>
    <t>Техперевооружение градирен</t>
  </si>
  <si>
    <t>2026</t>
  </si>
  <si>
    <t>Модернизация котлов ПК-10-п2 с целью отказа от мазута</t>
  </si>
  <si>
    <t>2029</t>
  </si>
  <si>
    <t>Оснащение системой пожарной защиты помещений главного корпуса Апатитской ТЭЦ</t>
  </si>
  <si>
    <t xml:space="preserve">Модернизация главных паропроводов котлов и турбин, общестанционных трубопроводов.  </t>
  </si>
  <si>
    <t>2030</t>
  </si>
  <si>
    <t>Модернизация путевого хозяйства ТТЦ</t>
  </si>
  <si>
    <t>Добавить мероприятие</t>
  </si>
  <si>
    <t>Модернизация систем противопожарной защиты (АСПТ, АУПС) зданий и сооружений Апатитской ТЭЦ</t>
  </si>
  <si>
    <t>Оснащение пожарной сигнализацией  резервуарного парка Апатитской ТЭЦ</t>
  </si>
  <si>
    <t xml:space="preserve">  Прочие собственные средства</t>
  </si>
  <si>
    <t>Оснащение эстакады слива мазута маневровой лебёдкой.</t>
  </si>
  <si>
    <t>Модернизация главных паропроводов котлов и турбин, общестанционных трубопроводов.</t>
  </si>
  <si>
    <t xml:space="preserve">Модернизация путевого хозяйства ТТЦ  </t>
  </si>
  <si>
    <t>Модернизация аппаратуры измерения вибрации и технологических защит подшипниковых опор «СИВОК» с внедрением цифровых каналов контроля механических параметров турбогенераторов № 7, 8 Апатитской ТЭЦ</t>
  </si>
  <si>
    <t>Техперевооружение эл. оборудования крана-перегружателя №2 ТТЦ</t>
  </si>
  <si>
    <t>Техперевооружение электролизной с заменой оборудования</t>
  </si>
  <si>
    <t>АТЭЦ: Модернизация электродвигателей ленточных конвееров №5-9 ТТЦ</t>
  </si>
  <si>
    <t>2025</t>
  </si>
  <si>
    <t>Модернизация бойлерных установок с заменой арматуры</t>
  </si>
  <si>
    <t>2031</t>
  </si>
  <si>
    <t>ТИ</t>
  </si>
  <si>
    <t>город Кировск</t>
  </si>
  <si>
    <t>47522000</t>
  </si>
  <si>
    <t>г Кировск</t>
  </si>
  <si>
    <t>47522000001</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</si>
  <si>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</si>
  <si>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</si>
  <si>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</si>
  <si>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</si>
  <si>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</si>
  <si>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</si>
  <si>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</si>
  <si>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</si>
  <si>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</si>
  <si>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</si>
  <si>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</si>
  <si>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</si>
  <si>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</si>
  <si>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</si>
  <si>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</si>
  <si>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</si>
  <si>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</si>
  <si>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</si>
  <si>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</si>
  <si>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</si>
  <si>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</si>
  <si>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</si>
  <si>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</si>
  <si>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</si>
  <si>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</si>
  <si>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</si>
  <si>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</si>
  <si>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</si>
  <si>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</si>
  <si>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</si>
  <si>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</si>
  <si>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</si>
  <si>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</si>
  <si>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</si>
  <si>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</si>
  <si>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</si>
  <si>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</si>
  <si>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</si>
  <si>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</si>
  <si>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</si>
  <si>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</si>
  <si>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</si>
  <si>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</si>
  <si>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</si>
  <si>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</si>
  <si>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</si>
  <si>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</si>
  <si>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</si>
  <si>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</si>
  <si>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</si>
  <si>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</si>
  <si>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</si>
  <si>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</si>
  <si>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</si>
  <si>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</si>
  <si>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</si>
  <si>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</si>
  <si>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</si>
  <si>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</si>
  <si>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</si>
  <si>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</si>
  <si>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</si>
  <si>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</si>
  <si>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</si>
  <si>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</si>
  <si>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</si>
  <si>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</si>
  <si>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</si>
  <si>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</si>
  <si>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</si>
  <si>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</si>
  <si>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</si>
  <si>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</si>
  <si>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</si>
  <si>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</si>
  <si>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</si>
  <si>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</si>
  <si>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</si>
  <si>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</si>
  <si>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</si>
  <si>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</si>
  <si>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</si>
  <si>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</si>
  <si>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</si>
  <si>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</si>
  <si>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</si>
  <si>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</si>
  <si>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</si>
  <si>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</si>
  <si>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</si>
  <si>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</si>
  <si>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</si>
  <si>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</si>
  <si>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</si>
  <si>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</si>
  <si>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</si>
  <si>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</si>
  <si>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</si>
  <si>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</si>
  <si>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</si>
  <si>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</si>
  <si>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</si>
  <si>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</si>
  <si>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</si>
  <si>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</si>
  <si>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</si>
  <si>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</si>
  <si>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</si>
  <si>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</si>
  <si>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</si>
  <si>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</si>
  <si>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</si>
  <si>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</si>
  <si>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</si>
  <si>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</si>
  <si>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</si>
  <si>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</si>
  <si>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</si>
  <si>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</si>
  <si>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</si>
  <si>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</si>
  <si>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</si>
  <si>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</si>
  <si>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</si>
  <si>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</si>
  <si>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</si>
  <si>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</si>
  <si>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</si>
  <si>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</si>
  <si>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</si>
  <si>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</si>
  <si>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</si>
  <si>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</si>
  <si>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</si>
  <si>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</si>
  <si>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</si>
  <si>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</si>
  <si>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</si>
  <si>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</si>
  <si>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</si>
  <si>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</si>
  <si>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</si>
  <si>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</si>
  <si>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</si>
  <si>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</si>
  <si>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</si>
  <si>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</si>
  <si>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</si>
  <si>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</si>
  <si>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</si>
  <si>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</si>
  <si>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</si>
  <si>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</si>
  <si>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</si>
  <si>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</si>
  <si>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</si>
  <si>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</si>
  <si>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</si>
  <si>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</si>
  <si>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</si>
  <si>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</si>
  <si>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</si>
  <si>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</si>
  <si>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</si>
  <si>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</si>
  <si>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</si>
  <si>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</si>
  <si>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</si>
  <si>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</si>
  <si>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</si>
  <si>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</si>
  <si>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</si>
  <si>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</si>
  <si>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</si>
  <si>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</si>
  <si>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</si>
  <si>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</si>
  <si>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</si>
  <si>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</si>
  <si>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</si>
  <si>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</si>
  <si>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</si>
  <si>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</si>
  <si>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</si>
  <si>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</si>
  <si>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</si>
  <si>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</si>
  <si>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</si>
  <si>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</si>
  <si>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</si>
  <si>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</si>
  <si>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</si>
  <si>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</si>
  <si>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</si>
  <si>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</si>
  <si>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</si>
  <si>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</si>
  <si>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</si>
  <si>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</si>
  <si>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</si>
  <si>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</si>
  <si>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</si>
  <si>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</si>
  <si>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</si>
  <si>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</si>
  <si>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</si>
  <si>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</si>
  <si>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</si>
  <si>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</si>
  <si>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</si>
  <si>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</si>
  <si>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</si>
  <si>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</si>
  <si>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</si>
  <si>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</si>
  <si>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</si>
  <si>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</si>
  <si>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</si>
  <si>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</si>
  <si>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</si>
  <si>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</si>
  <si>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</si>
  <si>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</si>
  <si>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</si>
  <si>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</si>
  <si>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</si>
  <si>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</si>
  <si>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</si>
  <si>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</si>
  <si>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</si>
  <si>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</si>
  <si>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</si>
  <si>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</si>
  <si>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</si>
  <si>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</si>
  <si>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</si>
  <si>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</si>
  <si>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</si>
  <si>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</si>
  <si>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</si>
  <si>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</si>
  <si>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</si>
  <si>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</si>
  <si>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</si>
  <si>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</si>
  <si>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</si>
  <si>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</si>
  <si>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</si>
  <si>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</si>
  <si>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</si>
  <si>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</si>
  <si>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</si>
  <si>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</si>
  <si>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</si>
  <si>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</si>
  <si>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</si>
  <si>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</si>
  <si>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</si>
  <si>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</si>
  <si>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</si>
  <si>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</si>
  <si>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</si>
  <si>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</si>
  <si>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</si>
  <si>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</si>
  <si>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</si>
  <si>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</si>
  <si>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</si>
  <si>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</si>
  <si>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</si>
  <si>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</si>
  <si>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</si>
  <si>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</si>
  <si>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</si>
  <si>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</si>
  <si>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</si>
  <si>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</si>
  <si>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</si>
  <si>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</si>
  <si>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</si>
  <si>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</si>
  <si>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</si>
  <si>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</si>
  <si>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</si>
  <si>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</si>
  <si>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</si>
  <si>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</si>
  <si>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</si>
  <si>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</si>
  <si>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</si>
  <si>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</si>
  <si>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</si>
  <si>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</si>
  <si>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</si>
  <si>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</si>
  <si>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</si>
  <si>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</si>
  <si>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</si>
  <si>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</si>
  <si>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</si>
  <si>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</si>
  <si>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</si>
  <si>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</si>
  <si>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</si>
  <si>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</si>
  <si>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</si>
  <si>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</si>
  <si>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</si>
  <si>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</si>
  <si>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</si>
  <si>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</si>
  <si>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</si>
  <si>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</si>
  <si>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</si>
  <si>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</si>
  <si>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</si>
  <si>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</si>
  <si>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</si>
  <si>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</si>
  <si>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</si>
  <si>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</si>
  <si>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</si>
  <si>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</si>
  <si>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</si>
  <si>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</si>
  <si>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</si>
  <si>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</si>
  <si>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</si>
  <si>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</si>
  <si>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</si>
  <si>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</si>
  <si>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</si>
  <si>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</si>
  <si>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</si>
  <si>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</si>
  <si>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</si>
  <si>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</si>
  <si>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</si>
  <si>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</si>
  <si>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</si>
  <si>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</si>
  <si>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</si>
  <si>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</si>
  <si>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</si>
  <si>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</si>
  <si>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</si>
  <si>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</si>
  <si>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</si>
  <si>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</si>
  <si>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</si>
  <si>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</si>
  <si>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</si>
  <si>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</si>
  <si>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</si>
  <si>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</si>
  <si>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</si>
  <si>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</si>
  <si>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</si>
  <si>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</si>
  <si>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</si>
  <si>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</si>
  <si>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</si>
  <si>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</si>
  <si>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</si>
  <si>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</si>
  <si>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</si>
  <si>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</si>
  <si>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</si>
  <si>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</si>
  <si>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</si>
  <si>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</si>
  <si>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</si>
  <si>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</si>
  <si>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</si>
  <si>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</si>
  <si>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</si>
  <si>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</si>
  <si>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</si>
  <si>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</si>
  <si>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</si>
  <si>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</si>
  <si>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</si>
  <si>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</si>
  <si>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</si>
  <si>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</si>
  <si>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</si>
  <si>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</si>
  <si>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</si>
  <si>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</si>
  <si>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</si>
  <si>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</si>
  <si>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</si>
  <si>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</si>
  <si>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</si>
  <si>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</si>
  <si>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</si>
  <si>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</si>
  <si>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</si>
  <si>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</si>
  <si>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</si>
  <si>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</si>
  <si>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</si>
  <si>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</si>
  <si>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</si>
  <si>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</si>
  <si>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</si>
  <si>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</si>
  <si>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</si>
  <si>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</si>
  <si>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</si>
  <si>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</si>
  <si>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</si>
  <si>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</si>
  <si>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</si>
  <si>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</si>
  <si>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</si>
  <si>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</si>
  <si>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</si>
  <si>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</si>
  <si>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</si>
  <si>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</si>
  <si>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</si>
  <si>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</si>
  <si>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</si>
  <si>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</si>
  <si>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</si>
  <si>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</si>
  <si>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</si>
  <si>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</si>
  <si>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</si>
  <si>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</si>
  <si>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</si>
  <si>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</si>
  <si>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</si>
  <si>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</si>
  <si>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</si>
  <si>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</si>
  <si>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</si>
  <si>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</si>
  <si>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</si>
  <si>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</si>
  <si>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</si>
  <si>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</si>
  <si>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</si>
  <si>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</si>
  <si>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</si>
  <si>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</si>
  <si>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</si>
  <si>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</si>
  <si>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</si>
  <si>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</si>
  <si>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</si>
  <si>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</si>
  <si>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</si>
  <si>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</si>
  <si>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</si>
  <si>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</si>
  <si>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</si>
  <si>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</si>
  <si>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</si>
  <si>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</si>
  <si>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</si>
  <si>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</si>
  <si>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</si>
  <si>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</si>
  <si>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</si>
  <si>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</si>
  <si>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</si>
  <si>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</si>
  <si>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</si>
  <si>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</si>
  <si>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</si>
  <si>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</si>
  <si>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</si>
  <si>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</si>
  <si>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</si>
  <si>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</si>
  <si>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</si>
  <si>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</si>
  <si>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</si>
  <si>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</si>
  <si>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</si>
  <si>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</si>
  <si>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</si>
  <si>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</si>
  <si>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</si>
  <si>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</si>
  <si>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</si>
  <si>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</si>
  <si>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</si>
  <si>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</si>
  <si>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</si>
  <si>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</si>
  <si>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</si>
  <si>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</si>
  <si>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</si>
  <si>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</si>
  <si>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</si>
  <si>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</si>
  <si>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</si>
  <si>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</si>
  <si>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</si>
  <si>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</si>
  <si>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</si>
  <si>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</si>
  <si>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</si>
  <si>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</si>
  <si>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</si>
  <si>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</si>
  <si>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</si>
  <si>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</si>
  <si>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</si>
  <si>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</si>
  <si>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</si>
  <si>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</si>
  <si>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</si>
  <si>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</si>
  <si>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</si>
  <si>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</si>
  <si>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</si>
  <si>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</si>
  <si>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</si>
  <si>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</si>
  <si>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</si>
  <si>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</si>
  <si>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</si>
  <si>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</si>
  <si>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</si>
  <si>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</si>
  <si>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</si>
  <si>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</si>
  <si>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</si>
  <si>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</si>
  <si>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</si>
  <si>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</si>
  <si>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</si>
  <si>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</si>
  <si>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</si>
  <si>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</si>
  <si>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</si>
  <si>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</si>
  <si>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</si>
  <si>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</si>
  <si>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</si>
  <si>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</si>
  <si>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</si>
  <si>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</si>
  <si>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</si>
  <si>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</si>
  <si>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</si>
  <si>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</si>
  <si>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</si>
  <si>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</si>
  <si>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</si>
  <si>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</si>
  <si>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</si>
  <si>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</si>
  <si>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</si>
  <si>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</si>
  <si>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</si>
  <si>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</si>
  <si>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</si>
  <si>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</si>
  <si>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</si>
  <si>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</si>
  <si>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</si>
  <si>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</si>
  <si>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</si>
  <si>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</si>
  <si>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</si>
  <si>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</si>
  <si>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</si>
  <si>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</si>
  <si>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</si>
  <si>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</si>
  <si>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</si>
  <si>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</si>
  <si>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</si>
  <si>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</si>
  <si>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</si>
  <si>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</si>
  <si>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</si>
  <si>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</si>
  <si>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</si>
  <si>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</si>
  <si>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</si>
  <si>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</si>
  <si>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</si>
  <si>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</si>
  <si>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</si>
  <si>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</si>
  <si>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</si>
  <si>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</si>
  <si>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</si>
  <si>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</si>
  <si>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</si>
  <si>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</si>
  <si>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</si>
  <si>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</si>
  <si>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</si>
  <si>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</si>
  <si>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</si>
  <si>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</si>
  <si>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</si>
  <si>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</si>
  <si>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</si>
  <si>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</si>
  <si>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</si>
  <si>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</si>
  <si>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</si>
  <si>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</si>
  <si>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</si>
  <si>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</si>
  <si>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</si>
  <si>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</si>
  <si>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</si>
  <si>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</si>
  <si>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</si>
  <si>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</si>
  <si>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</si>
  <si>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</si>
  <si>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</si>
  <si>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</si>
  <si>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</si>
  <si>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</si>
  <si>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</si>
  <si>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</si>
  <si>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</si>
  <si>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</si>
  <si>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</si>
  <si>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</si>
  <si>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</si>
  <si>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</si>
  <si>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</si>
  <si>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</si>
  <si>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</si>
  <si>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</si>
  <si>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</si>
  <si>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</si>
  <si>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</si>
  <si>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</si>
  <si>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</si>
  <si>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</si>
  <si>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</si>
  <si>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</si>
  <si>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</si>
  <si>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</si>
  <si>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</si>
  <si>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</si>
  <si>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</si>
  <si>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</si>
  <si>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</si>
  <si>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</si>
  <si>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</si>
  <si>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</si>
  <si>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</si>
  <si>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</si>
  <si>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</si>
  <si>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</si>
  <si>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</si>
  <si>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</si>
  <si>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</si>
  <si>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</si>
  <si>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</si>
  <si>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</si>
  <si>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</si>
  <si>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</si>
  <si>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</si>
  <si>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</si>
  <si>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</si>
  <si>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</si>
  <si>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</si>
  <si>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5111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</si>
  <si>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</si>
  <si>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</si>
  <si>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</si>
  <si>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</si>
  <si>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</si>
  <si>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</si>
  <si>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</si>
  <si>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</si>
  <si>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</si>
  <si>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</si>
  <si>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</si>
  <si>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</si>
  <si>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</si>
  <si>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</si>
  <si>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</si>
  <si>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</si>
  <si>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</si>
  <si>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</si>
  <si>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</si>
  <si>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</si>
  <si>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</si>
  <si>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</si>
  <si>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</si>
  <si>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</si>
  <si>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</si>
  <si>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</si>
  <si>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</si>
  <si>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</si>
  <si>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</si>
  <si>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</si>
  <si>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</si>
  <si>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</si>
  <si>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</si>
  <si>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</si>
  <si>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</si>
  <si>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</si>
  <si>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</si>
  <si>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</si>
  <si>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</si>
  <si>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</si>
  <si>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</si>
  <si>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</si>
  <si>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</si>
  <si>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</si>
  <si>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</si>
  <si>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</si>
  <si>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</si>
  <si>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</si>
  <si>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</si>
  <si>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</si>
  <si>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</si>
  <si>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</si>
  <si>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</si>
  <si>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</si>
  <si>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</si>
  <si>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</si>
  <si>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</si>
  <si>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</si>
  <si>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</si>
  <si>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</si>
  <si>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</si>
  <si>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</si>
  <si>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</si>
  <si>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</si>
  <si>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</si>
  <si>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</si>
  <si>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</si>
  <si>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</si>
  <si>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</si>
  <si>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</si>
  <si>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</si>
  <si>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</si>
  <si>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</si>
  <si>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</si>
  <si>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</si>
  <si>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</si>
  <si>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</si>
  <si>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</si>
  <si>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</si>
  <si>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</si>
  <si>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</si>
  <si>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</si>
  <si>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</si>
  <si>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</si>
  <si>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</si>
  <si>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</si>
  <si>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</si>
  <si>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</si>
  <si>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</si>
  <si>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</si>
  <si>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</si>
  <si>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</si>
  <si>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</si>
  <si>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</si>
  <si>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</si>
  <si>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</si>
  <si>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</si>
  <si>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</si>
  <si>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</si>
  <si>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</si>
  <si>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</si>
  <si>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</si>
  <si>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</si>
  <si>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</si>
  <si>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</si>
  <si>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</si>
  <si>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</si>
  <si>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</si>
  <si>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</si>
  <si>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</si>
  <si>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</si>
  <si>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</si>
  <si>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</si>
  <si>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</si>
  <si>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</si>
  <si>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</si>
  <si>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</si>
  <si>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</si>
  <si>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</si>
  <si>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</si>
  <si>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</si>
  <si>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</si>
  <si>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</si>
  <si>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</si>
  <si>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</si>
  <si>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</si>
  <si>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</si>
  <si>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</si>
  <si>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</si>
  <si>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</si>
  <si>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</si>
  <si>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</si>
  <si>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</si>
  <si>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</si>
  <si>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</si>
  <si>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</si>
  <si>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</si>
  <si>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</si>
  <si>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</si>
  <si>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</si>
  <si>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</si>
  <si>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</si>
  <si>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</si>
  <si>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</si>
  <si>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</si>
  <si>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</si>
  <si>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</si>
  <si>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</si>
  <si>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</si>
  <si>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</si>
  <si>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</si>
  <si>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</si>
  <si>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</si>
  <si>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</si>
  <si>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</si>
  <si>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</si>
  <si>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</si>
  <si>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</si>
  <si>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</si>
  <si>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</si>
  <si>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</si>
  <si>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</si>
  <si>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</si>
  <si>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</si>
  <si>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</si>
  <si>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</si>
  <si>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</si>
  <si>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</si>
  <si>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</si>
  <si>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</si>
  <si>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</si>
  <si>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</si>
  <si>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</si>
  <si>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</si>
  <si>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</si>
  <si>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</si>
  <si>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</si>
  <si>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</si>
  <si>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</si>
  <si>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</si>
  <si>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</si>
  <si>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</si>
  <si>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</si>
  <si>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</si>
  <si>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</si>
  <si>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</si>
  <si>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</si>
  <si>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</si>
  <si>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</si>
  <si>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</si>
  <si>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</si>
  <si>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</si>
  <si>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</si>
  <si>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</si>
  <si>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</si>
  <si>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</si>
  <si>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</si>
  <si>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</si>
  <si>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</si>
  <si>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</si>
  <si>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Внесение изменений в инвестиционную программу (приказ Минэнерго и ЖКХ Мурманской области № 211 от 15.10.2024)</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</si>
  <si>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</si>
  <si>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</si>
  <si>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</si>
  <si>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</si>
  <si>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</si>
  <si>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</si>
  <si>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</si>
  <si>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</si>
  <si>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</si>
  <si>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</si>
  <si>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</si>
  <si>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</si>
  <si>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</si>
  <si>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</si>
  <si>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</si>
  <si>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</si>
  <si>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</si>
  <si>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</si>
  <si>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</si>
  <si>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</si>
  <si>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</si>
  <si>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</si>
  <si>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</si>
  <si>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</si>
  <si>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</si>
  <si>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</si>
  <si>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</si>
  <si>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</si>
  <si>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</si>
  <si>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</si>
  <si>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</si>
  <si>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</si>
  <si>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</si>
  <si>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</si>
  <si>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</si>
  <si>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</si>
  <si>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</si>
  <si>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</si>
  <si>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</si>
  <si>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</si>
  <si>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</si>
  <si>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</si>
  <si>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</si>
  <si>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</si>
  <si>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</si>
  <si>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</si>
  <si>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</si>
  <si>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</si>
  <si>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</si>
  <si>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</si>
  <si>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</si>
  <si>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</si>
  <si>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</si>
  <si>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</si>
  <si>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</si>
  <si>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</si>
  <si>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</si>
  <si>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</si>
  <si>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</si>
  <si>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</si>
  <si>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</si>
  <si>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</si>
  <si>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</si>
  <si>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</si>
  <si>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</si>
  <si>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</si>
  <si>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</si>
  <si>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</si>
  <si>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</si>
  <si>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</si>
  <si>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</si>
  <si>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</si>
  <si>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</si>
  <si>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</si>
  <si>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</si>
  <si>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</si>
  <si>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</si>
  <si>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</si>
  <si>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</si>
  <si>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</si>
  <si>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</si>
  <si>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</si>
  <si>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</si>
  <si>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</si>
  <si>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</si>
  <si>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</si>
  <si>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</si>
  <si>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</si>
  <si>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</si>
  <si>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</si>
  <si>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</si>
  <si>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</si>
  <si>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</si>
  <si>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</si>
  <si>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</si>
  <si>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</si>
  <si>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</si>
  <si>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</si>
  <si>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</si>
  <si>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</si>
  <si>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</si>
  <si>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</si>
  <si>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</si>
  <si>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</si>
  <si>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</si>
  <si>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</si>
  <si>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</si>
  <si>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</si>
  <si>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</si>
  <si>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</si>
  <si>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</si>
  <si>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</si>
  <si>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</si>
  <si>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</si>
  <si>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</si>
  <si>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</si>
  <si>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</si>
  <si>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</si>
  <si>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</si>
  <si>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</si>
  <si>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</si>
  <si>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</si>
  <si>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</si>
  <si>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</si>
  <si>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</si>
  <si>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</si>
  <si>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</si>
  <si>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</si>
  <si>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</si>
  <si>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</si>
  <si>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</si>
  <si>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</si>
  <si>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</si>
  <si>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</si>
  <si>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</si>
  <si>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</si>
  <si>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</si>
  <si>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</si>
  <si>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</si>
  <si>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</si>
  <si>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</si>
  <si>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</si>
  <si>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</si>
  <si>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</si>
  <si>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</si>
  <si>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</si>
  <si>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</si>
  <si>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</si>
  <si>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</si>
  <si>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</si>
  <si>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</si>
  <si>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</si>
  <si>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</si>
  <si>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</si>
  <si>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</si>
  <si>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</si>
  <si>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</si>
  <si>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</si>
  <si>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</si>
  <si>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</si>
  <si>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</si>
  <si>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</si>
  <si>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</si>
  <si>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</si>
  <si>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</si>
  <si>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</si>
  <si>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</si>
  <si>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</si>
  <si>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</si>
  <si>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</si>
  <si>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</si>
  <si>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</si>
  <si>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</si>
  <si>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</si>
  <si>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</si>
  <si>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</si>
  <si>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</si>
  <si>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</si>
  <si>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</si>
  <si>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</si>
  <si>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</si>
  <si>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</si>
  <si>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</si>
  <si>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</si>
  <si>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</si>
  <si>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</si>
  <si>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</si>
  <si>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</si>
  <si>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</si>
  <si>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</si>
  <si>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</si>
  <si>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</si>
  <si>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</si>
  <si>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</si>
  <si>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</si>
  <si>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</si>
  <si>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</si>
  <si>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</si>
  <si>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</si>
  <si>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</si>
  <si>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</si>
  <si>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</si>
  <si>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</si>
  <si>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</si>
  <si>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</si>
  <si>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</si>
  <si>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</si>
  <si>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</si>
  <si>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</si>
  <si>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</si>
  <si>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</si>
  <si>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</si>
  <si>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</si>
  <si>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</si>
  <si>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</si>
  <si>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</si>
  <si>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</si>
  <si>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</si>
  <si>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</si>
  <si>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</si>
  <si>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</si>
  <si>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</si>
  <si>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</si>
  <si>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</si>
  <si>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</si>
  <si>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</si>
  <si>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</si>
  <si>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</si>
  <si>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</si>
  <si>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</si>
  <si>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</si>
  <si>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</si>
  <si>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</si>
  <si>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</si>
  <si>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</si>
  <si>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</si>
  <si>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</si>
  <si>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</si>
  <si>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</si>
  <si>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</si>
  <si>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</si>
  <si>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</si>
  <si>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</si>
  <si>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</si>
  <si>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</si>
  <si>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</si>
  <si>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</si>
  <si>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</si>
  <si>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</si>
  <si>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</si>
  <si>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</si>
  <si>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</si>
  <si>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</si>
  <si>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</si>
  <si>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</si>
  <si>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</si>
  <si>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</si>
  <si>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</si>
  <si>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</si>
  <si>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</si>
  <si>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</si>
  <si>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</si>
  <si>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</si>
  <si>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</si>
  <si>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</si>
  <si>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</si>
  <si>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</si>
  <si>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</si>
  <si>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</si>
  <si>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</si>
  <si>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</si>
  <si>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</si>
  <si>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</si>
  <si>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</si>
  <si>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</si>
  <si>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</si>
  <si>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</si>
  <si>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</si>
  <si>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</si>
  <si>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</si>
  <si>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</si>
  <si>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</si>
  <si>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</si>
  <si>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</si>
  <si>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</si>
  <si>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</si>
  <si>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</si>
  <si>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</si>
  <si>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</si>
  <si>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</si>
  <si>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</si>
  <si>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</si>
  <si>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</si>
  <si>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</si>
  <si>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</si>
  <si>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</si>
  <si>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</si>
  <si>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</si>
  <si>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</si>
  <si>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</si>
  <si>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</si>
  <si>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</si>
  <si>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</si>
  <si>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</si>
  <si>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</si>
  <si>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</si>
  <si>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</si>
  <si>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</si>
  <si>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</si>
  <si>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</si>
  <si>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</si>
  <si>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</si>
  <si>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</si>
  <si>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</si>
  <si>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</si>
  <si>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</si>
  <si>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</si>
  <si>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</si>
  <si>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</si>
  <si>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</si>
  <si>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</si>
  <si>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</si>
  <si>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</si>
  <si>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</si>
  <si>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</si>
  <si>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</si>
  <si>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</si>
  <si>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</si>
  <si>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</si>
  <si>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</si>
  <si>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</si>
  <si>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</si>
  <si>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</si>
  <si>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</si>
  <si>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</si>
  <si>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</si>
  <si>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</si>
  <si>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</si>
  <si>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</si>
  <si>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</si>
  <si>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</si>
  <si>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</si>
  <si>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</si>
  <si>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</si>
  <si>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</si>
  <si>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</si>
  <si>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</si>
  <si>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</si>
  <si>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</si>
  <si>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</si>
  <si>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</si>
  <si>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</si>
  <si>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</si>
  <si>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</si>
  <si>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</si>
  <si>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</si>
  <si>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</si>
  <si>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</si>
  <si>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</si>
  <si>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</si>
  <si>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</si>
  <si>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</si>
  <si>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</si>
  <si>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</si>
  <si>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</si>
  <si>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</si>
  <si>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</si>
  <si>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</si>
  <si>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</si>
  <si>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</si>
  <si>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</si>
  <si>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</si>
  <si>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</si>
  <si>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</si>
  <si>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</si>
  <si>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</si>
  <si>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</si>
  <si>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</si>
  <si>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</si>
  <si>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</si>
  <si>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</si>
  <si>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</si>
  <si>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АО "Мурманэнергосбыт"</t>
  </si>
  <si>
    <t>5190907139</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</si>
  <si>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</si>
  <si>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</si>
  <si>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</si>
  <si>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</si>
  <si>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</si>
  <si>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</si>
  <si>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</si>
  <si>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</si>
  <si>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</si>
  <si>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</si>
  <si>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</si>
  <si>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</si>
  <si>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</si>
  <si>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</si>
  <si>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</si>
  <si>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</si>
  <si>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</si>
  <si>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</si>
  <si>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</si>
  <si>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</si>
  <si>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</si>
  <si>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</si>
  <si>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</si>
  <si>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</si>
  <si>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</si>
  <si>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</si>
  <si>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</si>
  <si>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</si>
  <si>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</si>
  <si>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</si>
  <si>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</si>
  <si>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</si>
  <si>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</si>
  <si>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</si>
  <si>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</si>
  <si>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</si>
  <si>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</si>
  <si>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30929355</t>
  </si>
  <si>
    <t>ЖКС № 9 ФГБУ "ЦЖКУ" МО РФ (по ВМФ)</t>
  </si>
  <si>
    <t>7729314745</t>
  </si>
  <si>
    <t>519045002</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</si>
  <si>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</si>
  <si>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</si>
  <si>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</si>
  <si>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</si>
  <si>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</si>
  <si>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</si>
  <si>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</si>
  <si>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</si>
  <si>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</si>
  <si>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</si>
  <si>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</si>
  <si>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</si>
  <si>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</si>
  <si>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</si>
  <si>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</si>
  <si>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</si>
  <si>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</si>
  <si>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</si>
  <si>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</si>
  <si>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</si>
  <si>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</si>
  <si>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</si>
  <si>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</si>
  <si>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</si>
  <si>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</si>
  <si>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</si>
  <si>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</si>
  <si>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</si>
  <si>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</si>
  <si>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</si>
  <si>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</si>
  <si>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</si>
  <si>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</si>
  <si>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</si>
  <si>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</si>
  <si>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</si>
  <si>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</si>
  <si>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</si>
  <si>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</si>
  <si>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</si>
  <si>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</si>
  <si>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</si>
  <si>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</si>
  <si>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01-10-2024 00:00:00</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</si>
  <si>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</si>
  <si>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</si>
  <si>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</si>
  <si>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</si>
  <si>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</si>
  <si>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</si>
  <si>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</si>
  <si>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</si>
  <si>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</si>
  <si>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</si>
  <si>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</si>
  <si>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</si>
  <si>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</si>
  <si>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</si>
  <si>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</si>
  <si>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</si>
  <si>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</si>
  <si>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</si>
  <si>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</si>
  <si>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</si>
  <si>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</si>
  <si>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</si>
  <si>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</si>
  <si>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</si>
  <si>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</si>
  <si>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</si>
  <si>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</si>
  <si>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</si>
  <si>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</si>
  <si>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</si>
  <si>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</si>
  <si>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</si>
  <si>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</si>
  <si>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</si>
  <si>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</si>
  <si>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</si>
  <si>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</si>
  <si>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</si>
  <si>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</si>
  <si>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</si>
  <si>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</si>
  <si>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</si>
  <si>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</si>
  <si>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</si>
  <si>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</si>
  <si>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</si>
  <si>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</si>
  <si>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</si>
  <si>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</si>
  <si>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</si>
  <si>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</si>
  <si>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</si>
  <si>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</si>
  <si>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</si>
  <si>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</si>
  <si>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</si>
  <si>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</si>
  <si>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</si>
  <si>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</si>
  <si>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</si>
  <si>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</si>
  <si>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</si>
  <si>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</si>
  <si>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</si>
  <si>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</si>
  <si>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</si>
  <si>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</si>
  <si>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</si>
  <si>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</si>
  <si>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</si>
  <si>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</si>
  <si>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</si>
  <si>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31749269</t>
  </si>
  <si>
    <t>ООО "Тепло Людям.Кандалакша"</t>
  </si>
  <si>
    <t>5190083026</t>
  </si>
  <si>
    <t>19-03-2020 00:00:00</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</si>
  <si>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</si>
  <si>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</si>
  <si>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</si>
  <si>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</si>
  <si>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</si>
  <si>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</si>
  <si>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</si>
  <si>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</si>
  <si>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</si>
  <si>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</si>
  <si>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</si>
  <si>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</si>
  <si>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</si>
  <si>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</si>
  <si>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</si>
  <si>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</si>
  <si>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</si>
  <si>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</si>
  <si>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</si>
  <si>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</si>
  <si>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</si>
  <si>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</si>
  <si>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</si>
  <si>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</si>
  <si>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</si>
  <si>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</si>
  <si>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</si>
  <si>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</si>
  <si>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</si>
  <si>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</si>
  <si>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</si>
  <si>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</si>
  <si>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</si>
  <si>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</si>
  <si>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</si>
  <si>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</si>
  <si>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</si>
  <si>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</si>
  <si>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</si>
  <si>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</si>
  <si>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</si>
  <si>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</si>
  <si>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</si>
  <si>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</si>
  <si>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</si>
  <si>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</si>
  <si>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</si>
  <si>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</si>
  <si>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</si>
  <si>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</si>
  <si>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</si>
  <si>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</si>
  <si>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</si>
  <si>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</si>
  <si>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</si>
  <si>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</si>
  <si>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</si>
  <si>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</si>
  <si>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</si>
  <si>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</si>
  <si>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</si>
  <si>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</si>
  <si>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</si>
  <si>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</si>
  <si>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</si>
  <si>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</si>
  <si>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</si>
  <si>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</si>
  <si>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</si>
  <si>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</si>
  <si>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</si>
  <si>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</si>
  <si>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</si>
  <si>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</si>
  <si>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</si>
  <si>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</si>
  <si>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</si>
  <si>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</si>
  <si>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</si>
  <si>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</si>
  <si>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</si>
  <si>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</si>
  <si>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</si>
  <si>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</si>
  <si>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</si>
  <si>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</si>
  <si>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</si>
  <si>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</si>
  <si>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</si>
  <si>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</si>
  <si>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</si>
  <si>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</si>
  <si>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</si>
  <si>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</si>
  <si>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</si>
  <si>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</si>
  <si>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</si>
  <si>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</si>
  <si>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</si>
  <si>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</si>
  <si>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</si>
  <si>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</si>
  <si>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</si>
  <si>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</si>
  <si>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</si>
  <si>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</si>
  <si>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31758091</t>
  </si>
  <si>
    <t>ООО "Норд Стар"</t>
  </si>
  <si>
    <t>7733354469</t>
  </si>
  <si>
    <t>16-04-2020 00:00:00</t>
  </si>
  <si>
    <t>31041188</t>
  </si>
  <si>
    <t>ООО "Север-Сити"</t>
  </si>
  <si>
    <t>5110005025</t>
  </si>
  <si>
    <t>31243294</t>
  </si>
  <si>
    <t>ООО "СпецНордПром"</t>
  </si>
  <si>
    <t>7842108495</t>
  </si>
  <si>
    <t>19-05-2016 00:00:00</t>
  </si>
  <si>
    <t>14-10-2024 00:00:00</t>
  </si>
  <si>
    <t>30873097</t>
  </si>
  <si>
    <t>ООО «ПТФ «Мурманская»</t>
  </si>
  <si>
    <t>5105092390</t>
  </si>
  <si>
    <t>12-08-2024 00:00:00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</si>
  <si>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</si>
  <si>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</si>
  <si>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</si>
  <si>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</si>
  <si>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</si>
  <si>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</si>
  <si>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</si>
  <si>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</si>
  <si>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</si>
  <si>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</si>
  <si>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</si>
  <si>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</si>
  <si>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</si>
  <si>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</si>
  <si>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</si>
  <si>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</si>
  <si>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</si>
  <si>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</si>
  <si>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</si>
  <si>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</si>
  <si>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</si>
  <si>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</si>
  <si>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</si>
  <si>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</si>
  <si>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</si>
  <si>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</si>
  <si>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</si>
  <si>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</si>
  <si>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</si>
  <si>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</si>
  <si>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</si>
  <si>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</si>
  <si>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</si>
  <si>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</si>
  <si>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</si>
  <si>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</si>
  <si>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</si>
  <si>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31708928</t>
  </si>
  <si>
    <t>ООО "ЭКОВЫВОЗ"</t>
  </si>
  <si>
    <t>6686005610</t>
  </si>
  <si>
    <t>668601001</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</si>
  <si>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</si>
  <si>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</si>
  <si>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</si>
  <si>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</si>
  <si>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</si>
  <si>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</si>
  <si>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</si>
  <si>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</si>
  <si>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</si>
  <si>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</si>
  <si>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</si>
  <si>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</si>
  <si>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</si>
  <si>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</si>
  <si>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ЗАТО город Александровск</t>
  </si>
  <si>
    <t>47737000</t>
  </si>
  <si>
    <t>городской округ</t>
  </si>
  <si>
    <t>ЗАТО город Заозерск</t>
  </si>
  <si>
    <t>47733000</t>
  </si>
  <si>
    <t>ЗАТО город Островной</t>
  </si>
  <si>
    <t>47731000</t>
  </si>
  <si>
    <t>ЗАТО город Североморск</t>
  </si>
  <si>
    <t>47730000</t>
  </si>
  <si>
    <t>ЗАТО поселок Видяево</t>
  </si>
  <si>
    <t>47735000</t>
  </si>
  <si>
    <t>Кандалакшский муниципальный район</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</si>
  <si>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</si>
  <si>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</si>
  <si>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</si>
  <si>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</si>
  <si>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</si>
  <si>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</si>
  <si>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</si>
  <si>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</si>
  <si>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</si>
  <si>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</si>
  <si>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Поселок Зеленоборский</t>
  </si>
  <si>
    <t>47608158</t>
  </si>
  <si>
    <t>городское поселение, в состав которого входит поселок</t>
  </si>
  <si>
    <t>Ковдорский муниципальный округ</t>
  </si>
  <si>
    <t>47517000</t>
  </si>
  <si>
    <t>муниципальный округ</t>
  </si>
  <si>
    <t>Кольский муниципальный район</t>
  </si>
  <si>
    <t>47605000</t>
  </si>
  <si>
    <t>Междуреченское сельское поселение</t>
  </si>
  <si>
    <t>47605402</t>
  </si>
  <si>
    <t>Поселок Верхнетуломский</t>
  </si>
  <si>
    <t>47605154</t>
  </si>
  <si>
    <t>Поселок Кильдинстрой</t>
  </si>
  <si>
    <t>47605158</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</si>
  <si>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</si>
  <si>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</si>
  <si>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</si>
  <si>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</si>
  <si>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</si>
  <si>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</si>
  <si>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</si>
  <si>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</si>
  <si>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</si>
  <si>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</si>
  <si>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</si>
  <si>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</si>
  <si>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</si>
  <si>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</si>
  <si>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сельское поселение Ура-Губа</t>
  </si>
  <si>
    <t>47605407</t>
  </si>
  <si>
    <t>Ловозерский муниципальный район</t>
  </si>
  <si>
    <t>47610000</t>
  </si>
  <si>
    <t>Поселок Ревда</t>
  </si>
  <si>
    <t>47610154</t>
  </si>
  <si>
    <t>сельское поселение Ловозеро</t>
  </si>
  <si>
    <t>47610401</t>
  </si>
  <si>
    <t>Печенгский муниципальный округ</t>
  </si>
  <si>
    <t>47515000</t>
  </si>
  <si>
    <t>Терский муниципальный район</t>
  </si>
  <si>
    <t>47620000</t>
  </si>
  <si>
    <t>Варзугское</t>
  </si>
  <si>
    <t>47620401</t>
  </si>
  <si>
    <t>Поселок Умба</t>
  </si>
  <si>
    <t>47620151</t>
  </si>
  <si>
    <t>город Мончегорск</t>
  </si>
  <si>
    <t>47524000</t>
  </si>
  <si>
    <t>город Оленегорск</t>
  </si>
  <si>
    <t>47526000</t>
  </si>
  <si>
    <t>город Полярные Зори</t>
  </si>
  <si>
    <t>47528000</t>
  </si>
  <si>
    <t>город-герой Мурманск</t>
  </si>
  <si>
    <t>47701000</t>
  </si>
  <si>
    <t>NUMBER_POINT</t>
  </si>
  <si>
    <t>INVP_NAME</t>
  </si>
  <si>
    <t>INVP_ID</t>
  </si>
  <si>
    <t>L_START_DATE</t>
  </si>
  <si>
    <t>L_END_DATE</t>
  </si>
  <si>
    <t>L_DECISION_NAME</t>
  </si>
  <si>
    <t>L_DECISION_TYPE</t>
  </si>
  <si>
    <t>L_DECISION_NMBR</t>
  </si>
  <si>
    <t>L_DECISION_DATE</t>
  </si>
  <si>
    <t>Инвестиционная программа № 112 от 07.07.2023 АО "Мурманэнергосбыт" в сфере теплоснабжения по строительству, реконструкции и модернизации тепловых сетей на 2024-2026 годы</t>
  </si>
  <si>
    <t>01.01.2024</t>
  </si>
  <si>
    <t>31.12.2026</t>
  </si>
  <si>
    <t>Инвестиционная программа № 133 от 26.07.2023 АО "Мурманэнергосбыт" в сфере теплоснабжения по реконструкции и модернизации существующих объектов котельных на 2024-2025 годы</t>
  </si>
  <si>
    <t>31.12.2025</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</si>
  <si>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</si>
  <si>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31.12.2023</t>
  </si>
  <si>
    <t>Инвестиционная программа № 134 от 26.07.2023 АО "Мурманская ТЭЦ" в сфере теплоснабжения по модернизации, реконструкции и техническому перевооружению единого комплекса объектов, на территории городского округа город-герой Мурманск на 2024-2028 годы</t>
  </si>
  <si>
    <t>09.01.2024</t>
  </si>
  <si>
    <t>29.12.2028</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</si>
  <si>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</si>
  <si>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</si>
  <si>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31.12.2024</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</si>
  <si>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</si>
  <si>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</si>
  <si>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</si>
  <si>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144 от 25.08.2021 АО "Мурманэнергосбыт" в сфере теплоснабжения по повышению надежности и энергетической эффективности мазутной котельной, на территории городского округа город-герой Мурманск на 2022-2024 годы</t>
  </si>
  <si>
    <t>Инвестиционная программа № 153 от 29.07.2024 ООО "ПромВоенСтрой" в сфере теплоснабжения по реконструкции объектов котельных и тепловых сетей, на территории муниципального округа Печенгский на 2024-2037 годы</t>
  </si>
  <si>
    <t>29.07.2024</t>
  </si>
  <si>
    <t>31.12.2037</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</si>
  <si>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</si>
  <si>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171 от 25.09.2023 АО "Мурманэнергосбыт" в сфере теплоснабжения по реконструкции и модернизации существующих объектов котельных и тепловых сетей на 2024 год</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</si>
  <si>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</si>
  <si>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</si>
  <si>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183 от 09.10.2023 АО "Мурманэнергосбыт"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ЗАТО Североморск на 2024 год</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</si>
  <si>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</si>
  <si>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</si>
  <si>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01.01.2028</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</si>
  <si>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</si>
  <si>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</si>
  <si>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</si>
  <si>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</si>
  <si>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</si>
  <si>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195 от 16.10.2023 ООО «ТЭС» в сфере теплоснабжения по реконструкции и модернизации объектов, на территории муниципального округа город Оленегорск на 2024-2026 годы</t>
  </si>
  <si>
    <t>Инвестиционная программа № 198 от 20.10.2023 ООО «Тепло Людям. Умба» в сфере теплоснабжения по реконструкции и модернизации тепловой сети, на территории городского поселения Поселок Умба, Терский муниципальный район на 2024-2032 годы</t>
  </si>
  <si>
    <t>31.12.2032</t>
  </si>
  <si>
    <t>Инвестиционная программа № 20 от 30.01.2024 АО "Мурманэнергосбыт" в сфере теплоснабжения по строительству, реконструкции, модернизации и развитию котельных и тепловых сетей на 2024 год</t>
  </si>
  <si>
    <t>30.01.2024</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</si>
  <si>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</si>
  <si>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</si>
  <si>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</si>
  <si>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</si>
  <si>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</si>
  <si>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</si>
  <si>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</si>
  <si>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</si>
  <si>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</si>
  <si>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</si>
  <si>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</si>
  <si>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</si>
  <si>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</si>
  <si>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</si>
  <si>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</si>
  <si>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 55 от 17.03.2023 АО "Мурманэнергосбыт" в сфере теплоснабжения по реконструкции и модернизации существующих объектов котельных и тепловых сетей, на территории городского округа город-герой Мурманск на 2024 год</t>
  </si>
  <si>
    <t>Инвестиционная программа № 75 от 24.04.2023 АО "Мурманэнергосбыт" в сфере теплоснабжения по реконструкции и модернизации существующих объектов тепловых сетей, на территории ж/д ст Лопарская, Пушновское сельское поселение, Кольский муниципальный район на 2024 год</t>
  </si>
  <si>
    <t>Инвестиционная программа № 95 от 20.05.2024 ООО "Тепло Людям.Кандалакша" в сфере теплоснабжения по модернизации и строительству котельных, на территории городского округа город-герой Мурманск на 2024-2047 годы</t>
  </si>
  <si>
    <t>20.05.2024</t>
  </si>
  <si>
    <t>31.12.2047</t>
  </si>
  <si>
    <t>Инвестиционная программа № 96 от 20.05.2024 ООО "Тепло Людям.Кандалакша" в сфере теплоснабжения по модернизации и строительству котельной, на территории муниципального округа город Мончегорск на 2024-2047 годы</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</si>
  <si>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</si>
  <si>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</si>
  <si>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</si>
  <si>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</si>
  <si>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</si>
  <si>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</si>
  <si>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</si>
  <si>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</si>
  <si>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</si>
  <si>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</si>
  <si>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</si>
  <si>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</si>
  <si>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</si>
  <si>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</si>
  <si>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</si>
  <si>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</si>
  <si>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</si>
  <si>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</si>
  <si>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</si>
  <si>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</si>
  <si>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</si>
  <si>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</si>
  <si>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</si>
  <si>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</si>
  <si>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</si>
  <si>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</si>
  <si>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</si>
  <si>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</si>
  <si>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</si>
  <si>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</si>
  <si>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</si>
  <si>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</si>
  <si>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</si>
  <si>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</si>
  <si>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</si>
  <si>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</si>
  <si>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</si>
  <si>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</si>
  <si>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</si>
  <si>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</si>
  <si>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</si>
  <si>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Город Апатиты</t>
  </si>
  <si>
    <t>частная собственность</t>
  </si>
  <si>
    <t>собственное имущество</t>
  </si>
  <si>
    <t>https://portal.eias.ru/Portal/DownloadPage.aspx?type=12&amp;guid=05b62d7a-22c6-4540-bc53-e63aa99f029c</t>
  </si>
  <si>
    <t>эксплуатируется</t>
  </si>
  <si>
    <t>свидетельство</t>
  </si>
  <si>
    <t>собственность</t>
  </si>
  <si>
    <t>51-51-06/009/2006-696</t>
  </si>
  <si>
    <t>14.02.2007</t>
  </si>
  <si>
    <t>https://portal.eias.ru/Portal/DownloadPage.aspx?type=12&amp;guid=56d6101b-3341-4f4c-9090-a2528c84a995</t>
  </si>
  <si>
    <t>535</t>
  </si>
  <si>
    <t>287.274</t>
  </si>
  <si>
    <t>523.884</t>
  </si>
  <si>
    <t>[Уголь длиннопламенный] :: [Мазут М-100]</t>
  </si>
  <si>
    <t>Город Кировск</t>
  </si>
  <si>
    <t>201.54</t>
  </si>
  <si>
    <t>Электробойлера п. Раякоски уч. "К"</t>
  </si>
  <si>
    <t>нп Раякоски</t>
  </si>
  <si>
    <t>47515000136</t>
  </si>
  <si>
    <t>уч."К"</t>
  </si>
  <si>
    <t>51-51-05/004/2006-976</t>
  </si>
  <si>
    <t>15.12.2006</t>
  </si>
  <si>
    <t>.69</t>
  </si>
  <si>
    <t>.351</t>
  </si>
  <si>
    <t>[Электроэнергия]</t>
  </si>
  <si>
    <t>Электробойлера п. Раякоски уч. "М"</t>
  </si>
  <si>
    <t>уч."М"</t>
  </si>
  <si>
    <t>.26</t>
  </si>
  <si>
    <t>.077</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</si>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</sst>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932">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0" fontId="0" fillId="0" borderId="0" xfId="0" applyNumberFormat="1" applyFont="1">
      <alignment vertical="top"/>
    </xf>
    <xf numFmtId="49" fontId="5" fillId="8" borderId="8" xfId="0" applyNumberFormat="1" applyFont="1" applyFill="1" applyBorder="1" applyAlignment="1">
      <alignment horizontal="left" vertical="center" wrapText="1" inden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0" fontId="18" fillId="0" borderId="0" xfId="0" applyNumberFormat="1" applyFont="1" applyAlignment="1">
      <alignment horizontal="center" vertical="center" wrapText="1"/>
    </xf>
    <xf numFmtId="0" fontId="5"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0" fontId="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0" fillId="0" borderId="27" xfId="0" applyNumberFormat="1" applyFont="1" applyBorder="1">
      <alignment vertical="top"/>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396" customWidth="1"/>
    <col min="2" max="2" width="9.140625" style="2396" customWidth="1"/>
    <col min="3" max="3" width="16.42578125" style="2396" customWidth="1"/>
    <col min="4" max="25" width="6.28515625" style="2396" customWidth="1"/>
    <col min="26" max="28" width="11" style="2396"/>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487" t="s">
        <v>1</v>
      </c>
      <c r="C2" s="2487"/>
      <c r="D2" s="2487"/>
      <c r="E2" s="2487"/>
      <c r="F2" s="2487"/>
      <c r="G2" s="2487"/>
      <c r="H2" s="2487"/>
      <c r="I2" s="2487"/>
      <c r="J2" s="2487"/>
      <c r="K2" s="2487"/>
      <c r="L2" s="2487"/>
      <c r="M2" s="2487"/>
      <c r="N2" s="2487"/>
      <c r="O2" s="2487"/>
      <c r="P2" s="2487"/>
      <c r="Q2" s="1622"/>
      <c r="R2" s="1622"/>
      <c r="S2" s="1622"/>
      <c r="T2" s="1622"/>
      <c r="U2" s="1622"/>
      <c r="V2" s="1623"/>
      <c r="W2" s="1622"/>
      <c r="X2" s="1622"/>
      <c r="Y2" s="1620"/>
      <c r="Z2" s="1619"/>
      <c r="AA2" s="1621"/>
      <c r="AB2" s="1619"/>
    </row>
    <row r="3" spans="1:28" ht="15.75" customHeight="1">
      <c r="A3" s="1619"/>
      <c r="B3" s="2488" t="s">
        <v>2</v>
      </c>
      <c r="C3" s="2488"/>
      <c r="D3" s="2488"/>
      <c r="E3" s="2488"/>
      <c r="F3" s="2488"/>
      <c r="G3" s="2488"/>
      <c r="H3" s="2488"/>
      <c r="I3" s="2488"/>
      <c r="J3" s="2488"/>
      <c r="K3" s="2488"/>
      <c r="L3" s="2488"/>
      <c r="M3" s="2488"/>
      <c r="N3" s="2488"/>
      <c r="O3" s="2488"/>
      <c r="P3" s="2488"/>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489"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490"/>
      <c r="D5" s="2490"/>
      <c r="E5" s="2490"/>
      <c r="F5" s="2490"/>
      <c r="G5" s="2490"/>
      <c r="H5" s="2490"/>
      <c r="I5" s="2490"/>
      <c r="J5" s="2490"/>
      <c r="K5" s="2490"/>
      <c r="L5" s="2490"/>
      <c r="M5" s="2490"/>
      <c r="N5" s="2490"/>
      <c r="O5" s="2490"/>
      <c r="P5" s="2490"/>
      <c r="Q5" s="2490"/>
      <c r="R5" s="2490"/>
      <c r="S5" s="2490"/>
      <c r="T5" s="2490"/>
      <c r="U5" s="2490"/>
      <c r="V5" s="2490"/>
      <c r="W5" s="2490"/>
      <c r="X5" s="2490"/>
      <c r="Y5" s="2491"/>
      <c r="Z5" s="1625"/>
      <c r="AA5" s="1621"/>
      <c r="AB5" s="1625"/>
    </row>
    <row r="6" spans="1:28" ht="15" customHeight="1">
      <c r="A6" s="1626"/>
      <c r="B6" s="2479" t="s">
        <v>3</v>
      </c>
      <c r="C6" s="2482"/>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479"/>
      <c r="C7" s="2482"/>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479"/>
      <c r="C8" s="2482"/>
      <c r="D8" s="1632"/>
      <c r="E8" s="1633" t="s">
        <v>4</v>
      </c>
      <c r="F8" s="2492" t="s">
        <v>5</v>
      </c>
      <c r="G8" s="2481"/>
      <c r="H8" s="2481"/>
      <c r="I8" s="2481"/>
      <c r="J8" s="2481"/>
      <c r="K8" s="2481"/>
      <c r="L8" s="2481"/>
      <c r="M8" s="2481"/>
      <c r="N8" s="1632"/>
      <c r="O8" s="1634" t="s">
        <v>4</v>
      </c>
      <c r="P8" s="2493" t="s">
        <v>6</v>
      </c>
      <c r="Q8" s="2494"/>
      <c r="R8" s="2494"/>
      <c r="S8" s="2494"/>
      <c r="T8" s="2494"/>
      <c r="U8" s="2494"/>
      <c r="V8" s="2494"/>
      <c r="W8" s="2494"/>
      <c r="X8" s="2494"/>
      <c r="Y8" s="1628"/>
      <c r="Z8" s="1629"/>
      <c r="AA8" s="1630"/>
      <c r="AB8" s="1630"/>
    </row>
    <row r="9" spans="1:28" ht="15" customHeight="1">
      <c r="A9" s="1626"/>
      <c r="B9" s="2479"/>
      <c r="C9" s="2482"/>
      <c r="D9" s="1632"/>
      <c r="E9" s="1635" t="s">
        <v>4</v>
      </c>
      <c r="F9" s="2492" t="s">
        <v>7</v>
      </c>
      <c r="G9" s="2481"/>
      <c r="H9" s="2481"/>
      <c r="I9" s="2481"/>
      <c r="J9" s="2481"/>
      <c r="K9" s="2481"/>
      <c r="L9" s="2481"/>
      <c r="M9" s="2481"/>
      <c r="N9" s="1632"/>
      <c r="O9" s="1636" t="s">
        <v>4</v>
      </c>
      <c r="P9" s="2493" t="s">
        <v>8</v>
      </c>
      <c r="Q9" s="2494"/>
      <c r="R9" s="2494"/>
      <c r="S9" s="2494"/>
      <c r="T9" s="2494"/>
      <c r="U9" s="2494"/>
      <c r="V9" s="2494"/>
      <c r="W9" s="2494"/>
      <c r="X9" s="2494"/>
      <c r="Y9" s="1628"/>
      <c r="Z9" s="1629"/>
      <c r="AA9" s="1630"/>
      <c r="AB9" s="1630"/>
    </row>
    <row r="10" spans="1:28" ht="30" customHeight="1">
      <c r="A10" s="1626"/>
      <c r="B10" s="2479"/>
      <c r="C10" s="2480"/>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478"/>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479"/>
      <c r="C12" s="2480"/>
      <c r="D12" s="1640"/>
      <c r="E12" s="2481" t="s">
        <v>10</v>
      </c>
      <c r="F12" s="2481"/>
      <c r="G12" s="2481"/>
      <c r="H12" s="2481"/>
      <c r="I12" s="2481"/>
      <c r="J12" s="2481"/>
      <c r="K12" s="2481"/>
      <c r="L12" s="2481"/>
      <c r="M12" s="2481"/>
      <c r="N12" s="2481"/>
      <c r="O12" s="2481"/>
      <c r="P12" s="2481"/>
      <c r="Q12" s="2481"/>
      <c r="R12" s="2481"/>
      <c r="S12" s="2481"/>
      <c r="T12" s="2481"/>
      <c r="U12" s="2481"/>
      <c r="V12" s="2481"/>
      <c r="W12" s="2481"/>
      <c r="X12" s="2481"/>
      <c r="Y12" s="1628"/>
      <c r="Z12" s="1629"/>
      <c r="AA12" s="1630"/>
      <c r="AB12" s="1630"/>
    </row>
    <row r="13" spans="1:28" ht="15" customHeight="1">
      <c r="A13" s="1626"/>
      <c r="B13" s="1" t="s">
        <v>11</v>
      </c>
      <c r="C13" s="2478"/>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479"/>
      <c r="C14" s="2482"/>
      <c r="D14" s="1632"/>
      <c r="E14" s="2485" t="s">
        <v>12</v>
      </c>
      <c r="F14" s="2485"/>
      <c r="G14" s="2485"/>
      <c r="H14" s="2485"/>
      <c r="I14" s="2485"/>
      <c r="J14" s="2485"/>
      <c r="K14" s="2485"/>
      <c r="L14" s="2485"/>
      <c r="M14" s="2485"/>
      <c r="N14" s="2485"/>
      <c r="O14" s="2485"/>
      <c r="P14" s="2485"/>
      <c r="Q14" s="2485"/>
      <c r="R14" s="2485"/>
      <c r="S14" s="2485"/>
      <c r="T14" s="2485"/>
      <c r="U14" s="2485"/>
      <c r="V14" s="2485"/>
      <c r="W14" s="2485"/>
      <c r="X14" s="2485"/>
      <c r="Y14" s="1628"/>
      <c r="Z14" s="1629"/>
      <c r="AA14" s="1630"/>
      <c r="AB14" s="1630"/>
    </row>
    <row r="15" spans="1:28" ht="16.5" customHeight="1">
      <c r="A15" s="1626"/>
      <c r="B15" s="2483"/>
      <c r="C15" s="2484"/>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485"/>
      <c r="C16" s="2486"/>
      <c r="D16" s="2486"/>
      <c r="E16" s="2486"/>
      <c r="F16" s="2486"/>
      <c r="G16" s="2486"/>
      <c r="H16" s="2486"/>
      <c r="I16" s="2486"/>
      <c r="J16" s="2486"/>
      <c r="K16" s="2486"/>
      <c r="L16" s="2486"/>
      <c r="M16" s="2486"/>
      <c r="N16" s="2486"/>
      <c r="O16" s="2486"/>
      <c r="P16" s="2486"/>
      <c r="Q16" s="2486"/>
      <c r="R16" s="2486"/>
      <c r="S16" s="2486"/>
      <c r="T16" s="2486"/>
      <c r="U16" s="2486"/>
      <c r="V16" s="2486"/>
      <c r="W16" s="2486"/>
      <c r="X16" s="2486"/>
      <c r="Y16" s="2486"/>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398" hidden="1" customWidth="1"/>
    <col min="2" max="3" width="9.140625" style="2400" hidden="1" customWidth="1"/>
    <col min="4" max="4" width="3" style="2412" customWidth="1"/>
    <col min="5" max="5" width="6" style="2400" customWidth="1"/>
    <col min="6" max="6" width="1.7109375" style="2400" hidden="1" customWidth="1"/>
    <col min="7" max="8" width="30" style="2400" customWidth="1"/>
    <col min="9" max="9" width="8" style="2400" customWidth="1"/>
    <col min="10" max="10" width="12.140625" style="2400" customWidth="1"/>
    <col min="11" max="11" width="46" style="2400" customWidth="1"/>
    <col min="12" max="12" width="100" style="2400" customWidth="1"/>
    <col min="13" max="13" width="7" style="2409" customWidth="1"/>
    <col min="14" max="22" width="10" style="2400" customWidth="1"/>
    <col min="23" max="23" width="10.5703125" style="2400" hidden="1"/>
  </cols>
  <sheetData>
    <row r="1" spans="1:23" s="2407" customFormat="1" ht="5.25" hidden="1" customHeight="1">
      <c r="C1" s="447"/>
      <c r="D1" s="430"/>
      <c r="F1" s="447"/>
      <c r="G1" s="425" t="s">
        <v>79</v>
      </c>
      <c r="H1" s="425" t="s">
        <v>80</v>
      </c>
      <c r="I1" s="425" t="s">
        <v>81</v>
      </c>
      <c r="P1" s="425" t="s">
        <v>79</v>
      </c>
      <c r="Q1" s="425" t="s">
        <v>80</v>
      </c>
      <c r="R1" s="425" t="s">
        <v>81</v>
      </c>
      <c r="W1" s="425" t="s">
        <v>14</v>
      </c>
    </row>
    <row r="2" spans="1:23" s="2407" customFormat="1" ht="5.25" hidden="1" customHeight="1">
      <c r="C2" s="447"/>
      <c r="D2" s="430"/>
      <c r="F2" s="447"/>
      <c r="W2" s="425">
        <v>0</v>
      </c>
    </row>
    <row r="3" spans="1:23" s="2399" customFormat="1" ht="5.25" customHeight="1">
      <c r="A3" s="415"/>
      <c r="D3" s="422"/>
      <c r="E3" s="417"/>
      <c r="F3" s="417"/>
      <c r="G3" s="417"/>
      <c r="H3" s="417"/>
      <c r="I3" s="418"/>
      <c r="J3" s="419"/>
      <c r="K3" s="419"/>
      <c r="L3" s="419"/>
      <c r="W3" s="416">
        <v>5</v>
      </c>
    </row>
    <row r="4" spans="1:23" ht="23.25" customHeight="1">
      <c r="D4" s="386"/>
      <c r="E4" s="2507" t="s">
        <v>379</v>
      </c>
      <c r="F4" s="2507"/>
      <c r="G4" s="2508"/>
      <c r="H4" s="2508"/>
      <c r="I4" s="2509"/>
      <c r="J4" s="427"/>
      <c r="K4" s="389"/>
      <c r="L4" s="389"/>
      <c r="W4" s="383">
        <v>22</v>
      </c>
    </row>
    <row r="5" spans="1:23" s="2400" customFormat="1" ht="18" customHeight="1">
      <c r="A5" s="693"/>
      <c r="D5" s="752"/>
      <c r="E5" s="2617" t="str">
        <f>IF(org=0,"Не определено",org)</f>
        <v>ПАО "ТГК-1" (филиал "Кольский")</v>
      </c>
      <c r="F5" s="2617"/>
      <c r="G5" s="2618"/>
      <c r="H5" s="2618"/>
      <c r="I5" s="2619"/>
      <c r="J5" s="427"/>
      <c r="K5" s="389"/>
      <c r="L5" s="389"/>
      <c r="M5" s="443"/>
      <c r="W5" s="692">
        <v>17</v>
      </c>
    </row>
    <row r="6" spans="1:23" s="2399" customFormat="1" ht="11.45" customHeight="1">
      <c r="A6" s="415"/>
      <c r="D6" s="422"/>
      <c r="E6" s="417"/>
      <c r="F6" s="417"/>
      <c r="G6" s="420"/>
      <c r="H6" s="420"/>
      <c r="I6" s="421"/>
      <c r="J6" s="421"/>
      <c r="K6" s="688"/>
      <c r="L6" s="421"/>
      <c r="W6" s="416">
        <v>11</v>
      </c>
    </row>
    <row r="7" spans="1:23" ht="14.65" customHeight="1">
      <c r="D7" s="386"/>
      <c r="E7" s="2602" t="s">
        <v>291</v>
      </c>
      <c r="F7" s="2602"/>
      <c r="G7" s="2603"/>
      <c r="H7" s="2603"/>
      <c r="I7" s="2603"/>
      <c r="J7" s="2603"/>
      <c r="K7" s="2603"/>
      <c r="L7" s="2571" t="s">
        <v>292</v>
      </c>
      <c r="W7" s="383">
        <v>14</v>
      </c>
    </row>
    <row r="8" spans="1:23" ht="48.2" customHeight="1">
      <c r="D8" s="386"/>
      <c r="E8" s="409" t="s">
        <v>84</v>
      </c>
      <c r="F8" s="753"/>
      <c r="G8" s="401" t="s">
        <v>82</v>
      </c>
      <c r="H8" s="401" t="s">
        <v>83</v>
      </c>
      <c r="I8" s="350" t="s">
        <v>81</v>
      </c>
      <c r="J8" s="350" t="s">
        <v>380</v>
      </c>
      <c r="K8" s="350" t="s">
        <v>381</v>
      </c>
      <c r="L8" s="257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615" t="s">
        <v>382</v>
      </c>
      <c r="M10" s="443"/>
      <c r="N10" s="441"/>
      <c r="O10" s="441"/>
      <c r="P10" s="441"/>
      <c r="Q10" s="441"/>
      <c r="R10" s="441"/>
      <c r="S10" s="441"/>
      <c r="T10" s="441"/>
      <c r="U10" s="441"/>
      <c r="V10" s="441"/>
      <c r="W10" s="383">
        <v>0</v>
      </c>
    </row>
    <row r="11" spans="1:23" ht="15" hidden="1" customHeight="1">
      <c r="A11" s="2499"/>
      <c r="B11" s="440"/>
      <c r="C11" s="440"/>
      <c r="D11" s="791"/>
      <c r="E11" s="449"/>
      <c r="F11" s="449"/>
      <c r="G11" s="449"/>
      <c r="H11" s="449"/>
      <c r="I11" s="450"/>
      <c r="J11" s="451"/>
      <c r="K11" s="649"/>
      <c r="L11" s="2629"/>
      <c r="M11" s="447"/>
      <c r="N11" s="447"/>
      <c r="O11" s="447"/>
      <c r="P11" s="452"/>
      <c r="Q11" s="452"/>
      <c r="R11" s="453"/>
      <c r="S11" s="447"/>
      <c r="T11" s="447"/>
      <c r="U11" s="447"/>
      <c r="V11" s="447"/>
      <c r="W11" s="383">
        <v>0</v>
      </c>
    </row>
    <row r="12" spans="1:23" s="2399" customFormat="1" ht="15" customHeight="1">
      <c r="A12" s="2499"/>
      <c r="B12" s="440"/>
      <c r="C12" s="440"/>
      <c r="D12" s="792"/>
      <c r="E12" s="753">
        <v>1</v>
      </c>
      <c r="F12" s="790">
        <v>23</v>
      </c>
      <c r="G12" s="789"/>
      <c r="H12" s="723"/>
      <c r="I12" s="721"/>
      <c r="J12" s="456" t="s">
        <v>65</v>
      </c>
      <c r="K12" s="1082" t="s">
        <v>22</v>
      </c>
      <c r="L12" s="2629"/>
      <c r="M12" s="447"/>
      <c r="N12" s="447"/>
      <c r="O12" s="447"/>
      <c r="P12" s="452" t="s">
        <v>383</v>
      </c>
      <c r="Q12" s="452" t="s">
        <v>384</v>
      </c>
      <c r="R12" s="453" t="s">
        <v>385</v>
      </c>
      <c r="S12" s="447" t="s">
        <v>386</v>
      </c>
      <c r="T12" s="447"/>
      <c r="U12" s="447"/>
      <c r="V12" s="447"/>
      <c r="W12" s="416">
        <v>14</v>
      </c>
    </row>
    <row r="13" spans="1:23" ht="15.75" customHeight="1">
      <c r="A13" s="2499"/>
      <c r="B13" s="441"/>
      <c r="D13" s="442"/>
      <c r="E13" s="341"/>
      <c r="F13" s="465"/>
      <c r="G13" s="352" t="s">
        <v>95</v>
      </c>
      <c r="H13" s="340"/>
      <c r="I13" s="340"/>
      <c r="J13" s="340"/>
      <c r="K13" s="339"/>
      <c r="L13" s="2616"/>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78</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2" style="2406" hidden="1" customWidth="1"/>
    <col min="10" max="10" width="9.85546875" style="2406" hidden="1" customWidth="1"/>
    <col min="11" max="11" width="11.42578125" style="2406" hidden="1" customWidth="1"/>
    <col min="12" max="12" width="19.140625" style="2432" hidden="1" customWidth="1"/>
    <col min="13" max="14" width="12.28515625" style="2433" hidden="1" customWidth="1"/>
    <col min="15" max="15" width="23.42578125" style="2433" hidden="1" customWidth="1"/>
    <col min="16" max="16" width="3" style="2434" customWidth="1"/>
    <col min="17" max="18" width="3" style="2435" customWidth="1"/>
    <col min="19" max="19" width="12" style="2436" customWidth="1"/>
    <col min="20" max="20" width="35" style="2400" customWidth="1"/>
    <col min="21" max="21" width="0.140625" style="2400" customWidth="1"/>
    <col min="22" max="22" width="24.7109375" style="2400" hidden="1" customWidth="1"/>
    <col min="23" max="23" width="0.140625" style="2400" hidden="1" customWidth="1"/>
    <col min="24" max="25" width="24.7109375" style="2400" hidden="1" customWidth="1"/>
    <col min="26" max="26" width="11.7109375" style="2400" hidden="1" customWidth="1"/>
    <col min="27" max="27" width="3.7109375" style="2400" hidden="1" customWidth="1"/>
    <col min="28" max="28" width="11.7109375" style="2400" hidden="1" customWidth="1"/>
    <col min="29" max="29" width="8.5703125" style="2400" hidden="1" customWidth="1"/>
    <col min="30" max="30" width="24.7109375" style="2400" customWidth="1"/>
    <col min="31" max="31" width="0.140625" style="2400" customWidth="1"/>
    <col min="32" max="33" width="24" style="2400" customWidth="1"/>
    <col min="34" max="34" width="11" style="2400" customWidth="1"/>
    <col min="35" max="35" width="3.7109375" style="2400" customWidth="1"/>
    <col min="36" max="36" width="11" style="2400" customWidth="1"/>
    <col min="37" max="37" width="8.5703125" style="2400" hidden="1" customWidth="1"/>
    <col min="38" max="38" width="4" style="2400" customWidth="1"/>
    <col min="39" max="39" width="115" style="2400" customWidth="1"/>
    <col min="40" max="44" width="10" style="2407" customWidth="1"/>
    <col min="45" max="45" width="10.5703125" style="2400" hidden="1"/>
  </cols>
  <sheetData>
    <row r="1" spans="1:45" ht="22.5" hidden="1" customHeight="1">
      <c r="Y1" s="264"/>
      <c r="Z1" s="264"/>
      <c r="AG1" s="264"/>
      <c r="AH1" s="264"/>
      <c r="AS1" s="1073" t="s">
        <v>14</v>
      </c>
    </row>
    <row r="2" spans="1:45" ht="21" hidden="1" customHeight="1">
      <c r="A2" s="1281"/>
      <c r="B2" s="1281"/>
      <c r="C2" s="1281"/>
      <c r="D2" s="1281"/>
      <c r="E2" s="2642">
        <v>1</v>
      </c>
      <c r="F2" s="1281"/>
      <c r="G2" s="1281"/>
      <c r="H2" s="1281"/>
      <c r="I2" s="1281"/>
      <c r="J2" s="1281"/>
      <c r="K2" s="1281"/>
      <c r="L2" s="1282"/>
      <c r="M2" s="1283"/>
      <c r="N2" s="1283"/>
      <c r="O2" s="1283"/>
      <c r="P2" s="297"/>
      <c r="Q2" s="296"/>
      <c r="R2" s="291"/>
      <c r="S2" s="1227" t="e">
        <f>INDEX(PT_DIFFERENTIATION_NUM_NTAR,MATCH(A2,PT_DIFFERENTIATION_NTAR_ID,0))</f>
        <v>#N/A</v>
      </c>
      <c r="T2" s="235" t="s">
        <v>116</v>
      </c>
      <c r="U2" s="237"/>
      <c r="V2" s="2636"/>
      <c r="W2" s="2637"/>
      <c r="X2" s="2637"/>
      <c r="Y2" s="2637"/>
      <c r="Z2" s="2637"/>
      <c r="AA2" s="2637"/>
      <c r="AB2" s="2637"/>
      <c r="AC2" s="2638"/>
      <c r="AD2" s="2636" t="e">
        <f>INDEX(PT_DIFFERENTIATION_NTAR,MATCH(A2,PT_DIFFERENTIATION_NTAR_ID,0))</f>
        <v>#N/A</v>
      </c>
      <c r="AE2" s="2637"/>
      <c r="AF2" s="2637"/>
      <c r="AG2" s="2637"/>
      <c r="AH2" s="2637"/>
      <c r="AI2" s="2637"/>
      <c r="AJ2" s="2637"/>
      <c r="AK2" s="2637"/>
      <c r="AL2" s="2638"/>
      <c r="AM2" s="1176" t="s">
        <v>387</v>
      </c>
      <c r="AO2" s="436"/>
      <c r="AP2" s="436" t="str">
        <f t="shared" ref="AP2:AP15" si="0">IF(T2="","",T2)</f>
        <v>Наименование тарифа</v>
      </c>
      <c r="AQ2" s="436"/>
      <c r="AR2" s="436"/>
      <c r="AS2" s="1073">
        <v>0</v>
      </c>
    </row>
    <row r="3" spans="1:45" ht="21" hidden="1" customHeight="1">
      <c r="A3" s="1281"/>
      <c r="B3" s="1281"/>
      <c r="C3" s="1281"/>
      <c r="D3" s="1281"/>
      <c r="E3" s="2643"/>
      <c r="F3" s="2642">
        <v>1</v>
      </c>
      <c r="G3" s="1281"/>
      <c r="H3" s="1281"/>
      <c r="I3" s="1281"/>
      <c r="J3" s="1281"/>
      <c r="K3" s="1281"/>
      <c r="L3" s="1282"/>
      <c r="M3" s="1283"/>
      <c r="N3" s="1283"/>
      <c r="O3" s="1283"/>
      <c r="P3" s="1222"/>
      <c r="Q3" s="288"/>
      <c r="R3" s="289"/>
      <c r="S3" s="1227" t="e">
        <f>INDEX(PT_DIFFERENTIATION_NUM_TER,MATCH(B3,PT_DIFFERENTIATION_TER_ID,0))</f>
        <v>#N/A</v>
      </c>
      <c r="T3" s="245" t="s">
        <v>388</v>
      </c>
      <c r="U3" s="237"/>
      <c r="V3" s="2636"/>
      <c r="W3" s="2637"/>
      <c r="X3" s="2637"/>
      <c r="Y3" s="2637"/>
      <c r="Z3" s="2637"/>
      <c r="AA3" s="2637"/>
      <c r="AB3" s="2637"/>
      <c r="AC3" s="2638"/>
      <c r="AD3" s="2636" t="e">
        <f>INDEX(PT_DIFFERENTIATION_TER,MATCH(B3,PT_DIFFERENTIATION_TER_ID,0))</f>
        <v>#N/A</v>
      </c>
      <c r="AE3" s="2637"/>
      <c r="AF3" s="2637"/>
      <c r="AG3" s="2637"/>
      <c r="AH3" s="2637"/>
      <c r="AI3" s="2637"/>
      <c r="AJ3" s="2637"/>
      <c r="AK3" s="2637"/>
      <c r="AL3" s="2638"/>
      <c r="AM3" s="1176" t="s">
        <v>389</v>
      </c>
      <c r="AO3" s="436"/>
      <c r="AP3" s="436" t="str">
        <f t="shared" si="0"/>
        <v>Территория действия тарифа</v>
      </c>
      <c r="AQ3" s="436"/>
      <c r="AR3" s="436"/>
      <c r="AS3" s="1073">
        <v>0</v>
      </c>
    </row>
    <row r="4" spans="1:45" ht="23.25" hidden="1" customHeight="1">
      <c r="A4" s="1281"/>
      <c r="B4" s="1281"/>
      <c r="C4" s="1281"/>
      <c r="D4" s="1281"/>
      <c r="E4" s="2643"/>
      <c r="F4" s="2643"/>
      <c r="G4" s="2642">
        <v>1</v>
      </c>
      <c r="H4" s="1281"/>
      <c r="I4" s="1281"/>
      <c r="J4" s="1281"/>
      <c r="K4" s="1281"/>
      <c r="L4" s="1282"/>
      <c r="M4" s="1283"/>
      <c r="N4" s="1283"/>
      <c r="O4" s="1283"/>
      <c r="P4" s="290"/>
      <c r="Q4" s="288"/>
      <c r="R4" s="289"/>
      <c r="S4" s="1227" t="e">
        <f>INDEX(PT_DIFFERENTIATION_NUM_CS,MATCH(C4,PT_DIFFERENTIATION_CS_ID,0))</f>
        <v>#N/A</v>
      </c>
      <c r="T4" s="246" t="s">
        <v>390</v>
      </c>
      <c r="U4" s="237"/>
      <c r="V4" s="2636"/>
      <c r="W4" s="2637"/>
      <c r="X4" s="2637"/>
      <c r="Y4" s="2637"/>
      <c r="Z4" s="2637"/>
      <c r="AA4" s="2637"/>
      <c r="AB4" s="2637"/>
      <c r="AC4" s="2638"/>
      <c r="AD4" s="2636" t="e">
        <f>INDEX(PT_DIFFERENTIATION_CS,MATCH(C4,PT_DIFFERENTIATION_CS_ID,0))</f>
        <v>#N/A</v>
      </c>
      <c r="AE4" s="2637"/>
      <c r="AF4" s="2637"/>
      <c r="AG4" s="2637"/>
      <c r="AH4" s="2637"/>
      <c r="AI4" s="2637"/>
      <c r="AJ4" s="2637"/>
      <c r="AK4" s="2637"/>
      <c r="AL4" s="2638"/>
      <c r="AM4" s="1176" t="s">
        <v>391</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643"/>
      <c r="F5" s="2643"/>
      <c r="G5" s="2643"/>
      <c r="H5" s="2642">
        <v>1</v>
      </c>
      <c r="I5" s="1281"/>
      <c r="J5" s="1281"/>
      <c r="K5" s="1281"/>
      <c r="L5" s="1282"/>
      <c r="M5" s="1283"/>
      <c r="N5" s="1283"/>
      <c r="O5" s="1283"/>
      <c r="P5" s="290"/>
      <c r="Q5" s="288"/>
      <c r="R5" s="289"/>
      <c r="S5" s="1227" t="e">
        <f>INDEX(PT_DIFFERENTIATION_NUM_IST_TE,MATCH(D5,PT_DIFFERENTIATION_IST_TE_ID,0))</f>
        <v>#N/A</v>
      </c>
      <c r="T5" s="247" t="s">
        <v>392</v>
      </c>
      <c r="U5" s="237"/>
      <c r="V5" s="2636"/>
      <c r="W5" s="2637"/>
      <c r="X5" s="2637"/>
      <c r="Y5" s="2637"/>
      <c r="Z5" s="2637"/>
      <c r="AA5" s="2637"/>
      <c r="AB5" s="2637"/>
      <c r="AC5" s="2638"/>
      <c r="AD5" s="2636" t="e">
        <f>INDEX(PT_DIFFERENTIATION_IST_TE,MATCH(D5,PT_DIFFERENTIATION_IST_TE_ID,0))</f>
        <v>#N/A</v>
      </c>
      <c r="AE5" s="2637"/>
      <c r="AF5" s="2637"/>
      <c r="AG5" s="2637"/>
      <c r="AH5" s="2637"/>
      <c r="AI5" s="2637"/>
      <c r="AJ5" s="2637"/>
      <c r="AK5" s="2637"/>
      <c r="AL5" s="2638"/>
      <c r="AM5" s="1176" t="s">
        <v>393</v>
      </c>
      <c r="AO5" s="436"/>
      <c r="AP5" s="436" t="str">
        <f t="shared" si="0"/>
        <v xml:space="preserve">Источник тепловой энергии  </v>
      </c>
      <c r="AQ5" s="436"/>
      <c r="AR5" s="436"/>
      <c r="AS5" s="1073">
        <v>0</v>
      </c>
    </row>
    <row r="6" spans="1:45" ht="47.25" hidden="1" customHeight="1">
      <c r="A6" s="1281"/>
      <c r="B6" s="1281"/>
      <c r="C6" s="1281"/>
      <c r="D6" s="1281"/>
      <c r="E6" s="2643"/>
      <c r="F6" s="2643"/>
      <c r="G6" s="2643"/>
      <c r="H6" s="2643"/>
      <c r="I6" s="2644" t="e">
        <f>S5&amp;".1"</f>
        <v>#N/A</v>
      </c>
      <c r="J6" s="1281"/>
      <c r="K6" s="1281"/>
      <c r="L6" s="1282" t="s">
        <v>394</v>
      </c>
      <c r="M6" s="473"/>
      <c r="P6" s="2646">
        <v>1</v>
      </c>
      <c r="Q6" s="1223"/>
      <c r="R6" s="292"/>
      <c r="S6" s="1227" t="e">
        <f>$I6</f>
        <v>#N/A</v>
      </c>
      <c r="T6" s="222" t="s">
        <v>395</v>
      </c>
      <c r="U6" s="237"/>
      <c r="V6" s="2630"/>
      <c r="W6" s="2631"/>
      <c r="X6" s="2631"/>
      <c r="Y6" s="2631"/>
      <c r="Z6" s="2631"/>
      <c r="AA6" s="2631"/>
      <c r="AB6" s="2631"/>
      <c r="AC6" s="2632"/>
      <c r="AD6" s="2630"/>
      <c r="AE6" s="2631"/>
      <c r="AF6" s="2631"/>
      <c r="AG6" s="2631"/>
      <c r="AH6" s="2631"/>
      <c r="AI6" s="2631"/>
      <c r="AJ6" s="2631"/>
      <c r="AK6" s="2631"/>
      <c r="AL6" s="2632"/>
      <c r="AM6" s="1176" t="s">
        <v>396</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643"/>
      <c r="F7" s="2643"/>
      <c r="G7" s="2643"/>
      <c r="H7" s="2643"/>
      <c r="I7" s="2645"/>
      <c r="J7" s="2644" t="e">
        <f>I6&amp;".1"</f>
        <v>#N/A</v>
      </c>
      <c r="K7" s="1281"/>
      <c r="L7" s="1282" t="s">
        <v>397</v>
      </c>
      <c r="M7" s="473"/>
      <c r="N7" s="1284"/>
      <c r="P7" s="2646"/>
      <c r="Q7" s="2646">
        <v>1</v>
      </c>
      <c r="R7" s="293"/>
      <c r="S7" s="1227" t="e">
        <f>$J7</f>
        <v>#N/A</v>
      </c>
      <c r="T7" s="223" t="s">
        <v>398</v>
      </c>
      <c r="U7" s="237"/>
      <c r="V7" s="2630"/>
      <c r="W7" s="2631"/>
      <c r="X7" s="2631"/>
      <c r="Y7" s="2631"/>
      <c r="Z7" s="2631"/>
      <c r="AA7" s="2631"/>
      <c r="AB7" s="2631"/>
      <c r="AC7" s="2632"/>
      <c r="AD7" s="2630"/>
      <c r="AE7" s="2631"/>
      <c r="AF7" s="2631"/>
      <c r="AG7" s="2631"/>
      <c r="AH7" s="2631"/>
      <c r="AI7" s="2631"/>
      <c r="AJ7" s="2631"/>
      <c r="AK7" s="2631"/>
      <c r="AL7" s="2632"/>
      <c r="AM7" s="1176" t="s">
        <v>399</v>
      </c>
      <c r="AO7" s="436"/>
      <c r="AP7" s="436" t="str">
        <f t="shared" si="0"/>
        <v>Группа потребителей</v>
      </c>
      <c r="AQ7" s="436"/>
      <c r="AR7" s="436"/>
      <c r="AS7" s="1073">
        <v>0</v>
      </c>
    </row>
    <row r="8" spans="1:45" ht="21" hidden="1" customHeight="1">
      <c r="A8" s="1281"/>
      <c r="B8" s="1281"/>
      <c r="C8" s="1281"/>
      <c r="D8" s="1281"/>
      <c r="E8" s="2643"/>
      <c r="F8" s="2643"/>
      <c r="G8" s="2643"/>
      <c r="H8" s="2643"/>
      <c r="I8" s="2645"/>
      <c r="J8" s="2645"/>
      <c r="K8" s="2644" t="e">
        <f>J7&amp;".1"</f>
        <v>#N/A</v>
      </c>
      <c r="L8" s="1282" t="s">
        <v>400</v>
      </c>
      <c r="M8" s="473"/>
      <c r="N8" s="1284"/>
      <c r="O8" s="1284"/>
      <c r="P8" s="2646"/>
      <c r="Q8" s="2646"/>
      <c r="R8" s="293">
        <v>1</v>
      </c>
      <c r="S8" s="1227" t="e">
        <f>$K8</f>
        <v>#N/A</v>
      </c>
      <c r="T8" s="1265"/>
      <c r="U8" s="237"/>
      <c r="V8" s="687"/>
      <c r="W8" s="262"/>
      <c r="X8" s="687"/>
      <c r="Y8" s="1175"/>
      <c r="Z8" s="2647"/>
      <c r="AA8" s="2524" t="s">
        <v>65</v>
      </c>
      <c r="AB8" s="2647"/>
      <c r="AC8" s="2524" t="s">
        <v>65</v>
      </c>
      <c r="AD8" s="687"/>
      <c r="AE8" s="262"/>
      <c r="AF8" s="687"/>
      <c r="AG8" s="1175"/>
      <c r="AH8" s="2647"/>
      <c r="AI8" s="2524" t="s">
        <v>65</v>
      </c>
      <c r="AJ8" s="2647"/>
      <c r="AK8" s="2524" t="s">
        <v>65</v>
      </c>
      <c r="AL8" s="262"/>
      <c r="AM8" s="2665" t="s">
        <v>401</v>
      </c>
      <c r="AN8" s="447" t="e">
        <f ca="1">STRCHECKDATE(V9:AL9)</f>
        <v>#NAME?</v>
      </c>
      <c r="AO8" s="436"/>
      <c r="AP8" s="436" t="str">
        <f t="shared" si="0"/>
        <v/>
      </c>
      <c r="AQ8" s="436"/>
      <c r="AR8" s="436"/>
      <c r="AS8" s="1073">
        <v>0</v>
      </c>
    </row>
    <row r="9" spans="1:45" ht="0.75" hidden="1" customHeight="1">
      <c r="A9" s="1281"/>
      <c r="B9" s="1281"/>
      <c r="C9" s="1281"/>
      <c r="D9" s="1281"/>
      <c r="E9" s="2643"/>
      <c r="F9" s="2643"/>
      <c r="G9" s="2643"/>
      <c r="H9" s="2643"/>
      <c r="I9" s="2645"/>
      <c r="J9" s="2645"/>
      <c r="K9" s="2644"/>
      <c r="L9" s="1282"/>
      <c r="M9" s="473"/>
      <c r="N9" s="1284"/>
      <c r="O9" s="1284"/>
      <c r="P9" s="2646"/>
      <c r="Q9" s="2646"/>
      <c r="R9" s="293"/>
      <c r="S9" s="1224"/>
      <c r="T9" s="237"/>
      <c r="U9" s="237"/>
      <c r="V9" s="262"/>
      <c r="W9" s="262"/>
      <c r="X9" s="262"/>
      <c r="Y9" s="265" t="str">
        <f>Z8&amp;"-"&amp;AB8</f>
        <v>-</v>
      </c>
      <c r="Z9" s="2648"/>
      <c r="AA9" s="2524"/>
      <c r="AB9" s="2648"/>
      <c r="AC9" s="2524"/>
      <c r="AD9" s="262"/>
      <c r="AE9" s="262"/>
      <c r="AF9" s="262"/>
      <c r="AG9" s="265" t="str">
        <f>AH8&amp;"-"&amp;AJ8</f>
        <v>-</v>
      </c>
      <c r="AH9" s="2648"/>
      <c r="AI9" s="2524"/>
      <c r="AJ9" s="2648"/>
      <c r="AK9" s="2524"/>
      <c r="AL9" s="262"/>
      <c r="AM9" s="2666"/>
      <c r="AO9" s="436"/>
      <c r="AP9" s="436" t="str">
        <f t="shared" si="0"/>
        <v/>
      </c>
      <c r="AQ9" s="436"/>
      <c r="AR9" s="436"/>
      <c r="AS9" s="1073">
        <v>0</v>
      </c>
    </row>
    <row r="10" spans="1:45" ht="15" hidden="1" customHeight="1">
      <c r="A10" s="1281"/>
      <c r="B10" s="1281"/>
      <c r="C10" s="1281"/>
      <c r="D10" s="1281"/>
      <c r="E10" s="2643"/>
      <c r="F10" s="2643"/>
      <c r="G10" s="2643"/>
      <c r="H10" s="2643"/>
      <c r="I10" s="2645"/>
      <c r="J10" s="2644"/>
      <c r="K10" s="1281"/>
      <c r="L10" s="1282"/>
      <c r="M10" s="473"/>
      <c r="N10" s="1284"/>
      <c r="P10" s="2646"/>
      <c r="Q10" s="2646"/>
      <c r="R10" s="292"/>
      <c r="S10" s="1196"/>
      <c r="T10" s="225" t="s">
        <v>402</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643"/>
      <c r="F11" s="2643"/>
      <c r="G11" s="2643"/>
      <c r="H11" s="2643"/>
      <c r="I11" s="2644"/>
      <c r="J11" s="1281"/>
      <c r="K11" s="1281"/>
      <c r="L11" s="1282"/>
      <c r="M11" s="473"/>
      <c r="P11" s="2646"/>
      <c r="Q11" s="1223"/>
      <c r="R11" s="292"/>
      <c r="S11" s="1196"/>
      <c r="T11" s="224"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643"/>
      <c r="F12" s="2643"/>
      <c r="G12" s="2643"/>
      <c r="H12" s="2642"/>
      <c r="I12" s="1281"/>
      <c r="J12" s="1281"/>
      <c r="K12" s="1281"/>
      <c r="L12" s="1282"/>
      <c r="M12" s="1283"/>
      <c r="N12" s="1283"/>
      <c r="O12" s="473"/>
      <c r="P12" s="296"/>
      <c r="Q12" s="311"/>
      <c r="R12" s="291"/>
      <c r="S12" s="1196"/>
      <c r="T12" s="301" t="s">
        <v>404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407" customFormat="1" ht="0.75" hidden="1" customHeight="1">
      <c r="A13" s="1232"/>
      <c r="B13" s="1232"/>
      <c r="C13" s="1232"/>
      <c r="D13" s="1232"/>
      <c r="E13" s="2643"/>
      <c r="F13" s="2643"/>
      <c r="G13" s="2642"/>
      <c r="H13" s="1232"/>
      <c r="I13" s="1232"/>
      <c r="J13" s="1232"/>
      <c r="K13" s="1232"/>
      <c r="L13" s="1257"/>
      <c r="M13" s="1233"/>
      <c r="N13" s="1233"/>
      <c r="P13" s="1234"/>
      <c r="Q13" s="1235"/>
      <c r="R13" s="1234"/>
      <c r="S13" s="1236"/>
      <c r="T13" s="1237" t="s">
        <v>405</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7" customFormat="1" ht="0.75" hidden="1" customHeight="1">
      <c r="A14" s="1232"/>
      <c r="B14" s="1232"/>
      <c r="C14" s="1232"/>
      <c r="D14" s="1232"/>
      <c r="E14" s="2643"/>
      <c r="F14" s="2642"/>
      <c r="G14" s="1232"/>
      <c r="H14" s="1232"/>
      <c r="I14" s="1232"/>
      <c r="J14" s="1232"/>
      <c r="K14" s="1232"/>
      <c r="L14" s="1257"/>
      <c r="M14" s="1239"/>
      <c r="N14" s="1239"/>
      <c r="P14" s="1234"/>
      <c r="Q14" s="1235"/>
      <c r="R14" s="1234"/>
      <c r="S14" s="1240"/>
      <c r="T14" s="1241" t="s">
        <v>406</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7" customFormat="1" ht="0.75" hidden="1" customHeight="1">
      <c r="A15" s="1232"/>
      <c r="B15" s="1232"/>
      <c r="C15" s="1232"/>
      <c r="D15" s="1232"/>
      <c r="E15" s="2642"/>
      <c r="F15" s="1232"/>
      <c r="G15" s="1232"/>
      <c r="H15" s="1232"/>
      <c r="I15" s="1232"/>
      <c r="J15" s="1232"/>
      <c r="K15" s="1232"/>
      <c r="L15" s="1257"/>
      <c r="M15" s="1239"/>
      <c r="N15" s="1239"/>
      <c r="P15" s="1234"/>
      <c r="Q15" s="1235"/>
      <c r="R15" s="1234"/>
      <c r="S15" s="1240"/>
      <c r="T15" s="1243" t="s">
        <v>407</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P17" s="1229"/>
      <c r="AD17" s="1278"/>
      <c r="AE17" s="1278"/>
      <c r="AF17" s="1278"/>
      <c r="AG17" s="1279"/>
      <c r="AH17" s="2640"/>
      <c r="AI17" s="2639" t="s">
        <v>65</v>
      </c>
      <c r="AJ17" s="2640"/>
      <c r="AK17" s="2639" t="s">
        <v>65</v>
      </c>
      <c r="AS17" s="1073">
        <v>0</v>
      </c>
    </row>
    <row r="18" spans="1:45" ht="14.25" hidden="1" customHeight="1">
      <c r="P18" s="1229"/>
      <c r="AD18" s="1278"/>
      <c r="AE18" s="1278"/>
      <c r="AF18" s="1278"/>
      <c r="AG18" s="265" t="str">
        <f>AH17&amp;"-"&amp;AJ17</f>
        <v>-</v>
      </c>
      <c r="AH18" s="2639"/>
      <c r="AI18" s="2639"/>
      <c r="AJ18" s="2639"/>
      <c r="AK18" s="2639"/>
      <c r="AS18" s="1073">
        <v>0</v>
      </c>
    </row>
    <row r="19" spans="1:45" ht="14.25" hidden="1" customHeight="1">
      <c r="P19" s="1229"/>
      <c r="AK19" s="264"/>
      <c r="AS19" s="1073">
        <v>0</v>
      </c>
    </row>
    <row r="20" spans="1:45" s="2406" customFormat="1" ht="22.5" hidden="1" customHeight="1">
      <c r="L20" s="1247"/>
      <c r="M20" s="1280"/>
      <c r="N20" s="1280"/>
      <c r="O20" s="1285" t="s">
        <v>408</v>
      </c>
      <c r="P20" s="1280"/>
      <c r="Q20" s="1289"/>
      <c r="R20" s="1289"/>
      <c r="S20" s="665"/>
      <c r="Z20" s="1285"/>
      <c r="AB20" s="1285"/>
      <c r="AC20" s="1284"/>
      <c r="AH20" s="1285"/>
      <c r="AJ20" s="1285"/>
      <c r="AK20" s="1284"/>
      <c r="AN20" s="447"/>
      <c r="AO20" s="447"/>
      <c r="AP20" s="447"/>
      <c r="AQ20" s="447"/>
      <c r="AR20" s="447"/>
      <c r="AS20" s="1078">
        <v>0</v>
      </c>
    </row>
    <row r="21" spans="1:45" s="240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6" customFormat="1" ht="14.25" hidden="1" customHeight="1">
      <c r="L22" s="1247"/>
      <c r="M22" s="1280"/>
      <c r="N22" s="1280"/>
      <c r="O22" s="1282" t="s">
        <v>409</v>
      </c>
      <c r="P22" s="1280"/>
      <c r="Q22" s="1289"/>
      <c r="R22" s="1289"/>
      <c r="S22" s="665"/>
      <c r="T22" s="1078" t="s">
        <v>410</v>
      </c>
      <c r="AA22" s="123" t="s">
        <v>411</v>
      </c>
      <c r="AC22" s="123" t="s">
        <v>412</v>
      </c>
      <c r="AD22" s="1078" t="s">
        <v>410</v>
      </c>
      <c r="AI22" s="123" t="s">
        <v>413</v>
      </c>
      <c r="AK22" s="123" t="s">
        <v>412</v>
      </c>
      <c r="AN22" s="447"/>
      <c r="AO22" s="447"/>
      <c r="AP22" s="447"/>
      <c r="AQ22" s="447"/>
      <c r="AR22" s="447"/>
      <c r="AS22" s="1078">
        <v>0</v>
      </c>
    </row>
    <row r="23" spans="1:45" ht="14.25" hidden="1" customHeight="1">
      <c r="O23" s="1282"/>
      <c r="P23" s="1229"/>
      <c r="AS23" s="1073">
        <v>0</v>
      </c>
    </row>
    <row r="24" spans="1:45" ht="14.25" hidden="1" customHeight="1">
      <c r="O24" s="1282"/>
      <c r="P24" s="1229"/>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26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3"/>
      <c r="U26" s="2623"/>
      <c r="V26" s="2623"/>
      <c r="W26" s="2623"/>
      <c r="X26" s="2623"/>
      <c r="Y26" s="2623"/>
      <c r="Z26" s="2623"/>
      <c r="AA26" s="2623"/>
      <c r="AB26" s="2623"/>
      <c r="AC26" s="2623"/>
      <c r="AD26" s="2623"/>
      <c r="AE26" s="2623"/>
      <c r="AF26" s="2623"/>
      <c r="AG26" s="2623"/>
      <c r="AH26" s="2623"/>
      <c r="AI26" s="2623"/>
      <c r="AJ26" s="2623"/>
      <c r="AK26" s="1161"/>
      <c r="AS26" s="1073">
        <v>14</v>
      </c>
    </row>
    <row r="27" spans="1:45" ht="14.65" customHeight="1">
      <c r="Q27" s="312"/>
      <c r="R27" s="312"/>
      <c r="S27" s="2595" t="str">
        <f>IF(org=0,"Не определено",org)</f>
        <v>ПАО "ТГК-1" (филиал "Кольский")</v>
      </c>
      <c r="T27" s="2595"/>
      <c r="U27" s="2595"/>
      <c r="V27" s="2595"/>
      <c r="W27" s="2595"/>
      <c r="X27" s="2595"/>
      <c r="Y27" s="2595"/>
      <c r="Z27" s="2595"/>
      <c r="AA27" s="2595"/>
      <c r="AB27" s="2595"/>
      <c r="AC27" s="2595"/>
      <c r="AD27" s="2595"/>
      <c r="AE27" s="2595"/>
      <c r="AF27" s="2595"/>
      <c r="AG27" s="2595"/>
      <c r="AH27" s="2595"/>
      <c r="AI27" s="2595"/>
      <c r="AJ27" s="2595"/>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6" customFormat="1" ht="25.5" hidden="1" customHeight="1">
      <c r="A29" s="1286"/>
      <c r="B29" s="1286"/>
      <c r="C29" s="1286"/>
      <c r="D29" s="1286"/>
      <c r="E29" s="1286"/>
      <c r="F29" s="1286"/>
      <c r="G29" s="1286"/>
      <c r="H29" s="1286"/>
      <c r="I29" s="1286"/>
      <c r="J29" s="1286"/>
      <c r="K29" s="1286"/>
      <c r="L29" s="1287"/>
      <c r="M29" s="1286"/>
      <c r="N29" s="1286"/>
      <c r="O29" s="1286"/>
      <c r="S29" s="2633" t="s">
        <v>41</v>
      </c>
      <c r="T29" s="2633"/>
      <c r="U29" s="1290"/>
      <c r="V29" s="2635" t="str">
        <f>IF(TITLE_NAME_OR_PR_CHANGE="",IF(TITLE_NAME_OR_PR="","",TITLE_NAME_OR_PR),TITLE_NAME_OR_PR_CHANGE)</f>
        <v/>
      </c>
      <c r="W29" s="2635"/>
      <c r="X29" s="2635"/>
      <c r="Y29" s="2635"/>
      <c r="Z29" s="2635"/>
      <c r="AA29" s="2635"/>
      <c r="AB29" s="2635"/>
      <c r="AC29" s="263"/>
      <c r="AD29" s="2635" t="str">
        <f>IF(TITLE_NAME_OR_PR_CHANGE="",IF(TITLE_NAME_OR_PR="","",TITLE_NAME_OR_PR),TITLE_NAME_OR_PR_CHANGE)</f>
        <v/>
      </c>
      <c r="AE29" s="2635"/>
      <c r="AF29" s="2635"/>
      <c r="AG29" s="2635"/>
      <c r="AH29" s="2635"/>
      <c r="AI29" s="2635"/>
      <c r="AJ29" s="2635"/>
      <c r="AK29" s="263"/>
      <c r="AL29" s="263"/>
      <c r="AM29" s="217"/>
      <c r="AN29" s="304"/>
      <c r="AO29" s="304"/>
      <c r="AP29" s="304"/>
      <c r="AQ29" s="304"/>
      <c r="AR29" s="304"/>
      <c r="AS29" s="354">
        <v>0</v>
      </c>
    </row>
    <row r="30" spans="1:45" s="2416" customFormat="1" ht="18.75" hidden="1" customHeight="1">
      <c r="A30" s="1286"/>
      <c r="B30" s="1286"/>
      <c r="C30" s="1286"/>
      <c r="D30" s="1286"/>
      <c r="E30" s="1286"/>
      <c r="F30" s="1286"/>
      <c r="G30" s="1286"/>
      <c r="H30" s="1286"/>
      <c r="I30" s="1286"/>
      <c r="J30" s="1286"/>
      <c r="K30" s="1286"/>
      <c r="L30" s="1287"/>
      <c r="M30" s="1286"/>
      <c r="N30" s="1286"/>
      <c r="O30" s="1286"/>
      <c r="S30" s="2633" t="s">
        <v>414</v>
      </c>
      <c r="T30" s="2633"/>
      <c r="U30" s="1290"/>
      <c r="V30" s="2634" t="str">
        <f>IF(TITLE_DATE_PR_CHANGE="",IF(TITLE_DATE_PR="","",TITLE_DATE_PR),TITLE_DATE_PR_CHANGE)</f>
        <v/>
      </c>
      <c r="W30" s="2634"/>
      <c r="X30" s="2634"/>
      <c r="Y30" s="2634"/>
      <c r="Z30" s="2634"/>
      <c r="AA30" s="2634"/>
      <c r="AB30" s="2634"/>
      <c r="AC30" s="263"/>
      <c r="AD30" s="2634" t="str">
        <f>IF(TITLE_DATE_PR_CHANGE="",IF(TITLE_DATE_PR="","",TITLE_DATE_PR),TITLE_DATE_PR_CHANGE)</f>
        <v/>
      </c>
      <c r="AE30" s="2634"/>
      <c r="AF30" s="2634"/>
      <c r="AG30" s="2634"/>
      <c r="AH30" s="2634"/>
      <c r="AI30" s="2634"/>
      <c r="AJ30" s="2634"/>
      <c r="AK30" s="263"/>
      <c r="AL30" s="263"/>
      <c r="AM30" s="217"/>
      <c r="AN30" s="304"/>
      <c r="AO30" s="304"/>
      <c r="AP30" s="304"/>
      <c r="AQ30" s="304"/>
      <c r="AR30" s="304"/>
      <c r="AS30" s="354">
        <v>0</v>
      </c>
    </row>
    <row r="31" spans="1:45" s="2416" customFormat="1" ht="18.75" hidden="1" customHeight="1">
      <c r="A31" s="1286"/>
      <c r="B31" s="1286"/>
      <c r="C31" s="1286"/>
      <c r="D31" s="1286"/>
      <c r="E31" s="1286"/>
      <c r="F31" s="1286"/>
      <c r="G31" s="1286"/>
      <c r="H31" s="1286"/>
      <c r="I31" s="1286"/>
      <c r="J31" s="1286"/>
      <c r="K31" s="1286"/>
      <c r="L31" s="1287"/>
      <c r="M31" s="1286"/>
      <c r="N31" s="1286"/>
      <c r="O31" s="1286"/>
      <c r="S31" s="2633" t="s">
        <v>415</v>
      </c>
      <c r="T31" s="2633"/>
      <c r="U31" s="1290"/>
      <c r="V31" s="2635" t="str">
        <f>IF(TITLE_NUMBER_PR_CHANGE="",IF(TITLE_NUMBER_PR="","",TITLE_NUMBER_PR),TITLE_NUMBER_PR_CHANGE)</f>
        <v/>
      </c>
      <c r="W31" s="2635"/>
      <c r="X31" s="2635"/>
      <c r="Y31" s="2635"/>
      <c r="Z31" s="2635"/>
      <c r="AA31" s="2635"/>
      <c r="AB31" s="2635"/>
      <c r="AC31" s="263"/>
      <c r="AD31" s="2635" t="str">
        <f>IF(TITLE_NUMBER_PR_CHANGE="",IF(TITLE_NUMBER_PR="","",TITLE_NUMBER_PR),TITLE_NUMBER_PR_CHANGE)</f>
        <v/>
      </c>
      <c r="AE31" s="2635"/>
      <c r="AF31" s="2635"/>
      <c r="AG31" s="2635"/>
      <c r="AH31" s="2635"/>
      <c r="AI31" s="2635"/>
      <c r="AJ31" s="2635"/>
      <c r="AK31" s="263"/>
      <c r="AL31" s="263"/>
      <c r="AM31" s="217"/>
      <c r="AN31" s="304"/>
      <c r="AO31" s="304"/>
      <c r="AP31" s="304"/>
      <c r="AQ31" s="304"/>
      <c r="AR31" s="304"/>
      <c r="AS31" s="354">
        <v>0</v>
      </c>
    </row>
    <row r="32" spans="1:45" s="2416" customFormat="1" ht="18.75" hidden="1" customHeight="1">
      <c r="A32" s="1286"/>
      <c r="B32" s="1286"/>
      <c r="C32" s="1286"/>
      <c r="D32" s="1286"/>
      <c r="E32" s="1286"/>
      <c r="F32" s="1286"/>
      <c r="G32" s="1286"/>
      <c r="H32" s="1286"/>
      <c r="I32" s="1286"/>
      <c r="J32" s="1286"/>
      <c r="K32" s="1286"/>
      <c r="L32" s="1287"/>
      <c r="M32" s="1286"/>
      <c r="N32" s="1286"/>
      <c r="O32" s="1286"/>
      <c r="S32" s="2633" t="s">
        <v>42</v>
      </c>
      <c r="T32" s="2633"/>
      <c r="U32" s="1290"/>
      <c r="V32" s="2635" t="str">
        <f>IF(TITLE_IST_PUB_CHANGE="",IF(TITLE_IST_PUB="","",TITLE_IST_PUB),TITLE_IST_PUB_CHANGE)</f>
        <v/>
      </c>
      <c r="W32" s="2635"/>
      <c r="X32" s="2635"/>
      <c r="Y32" s="2635"/>
      <c r="Z32" s="2635"/>
      <c r="AA32" s="2635"/>
      <c r="AB32" s="2635"/>
      <c r="AC32" s="263"/>
      <c r="AD32" s="2635" t="str">
        <f>IF(TITLE_IST_PUB_CHANGE="",IF(TITLE_IST_PUB="","",TITLE_IST_PUB),TITLE_IST_PUB_CHANGE)</f>
        <v/>
      </c>
      <c r="AE32" s="2635"/>
      <c r="AF32" s="2635"/>
      <c r="AG32" s="2635"/>
      <c r="AH32" s="2635"/>
      <c r="AI32" s="2635"/>
      <c r="AJ32" s="2635"/>
      <c r="AK32" s="263"/>
      <c r="AL32" s="263"/>
      <c r="AM32" s="217"/>
      <c r="AN32" s="304"/>
      <c r="AO32" s="304"/>
      <c r="AP32" s="304"/>
      <c r="AQ32" s="304"/>
      <c r="AR32" s="304"/>
      <c r="AS32" s="354">
        <v>0</v>
      </c>
    </row>
    <row r="33" spans="1:45" ht="14.25" hidden="1" customHeight="1">
      <c r="P33" s="1246"/>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6" customFormat="1" ht="18.75" hidden="1" customHeight="1">
      <c r="A34" s="1286"/>
      <c r="B34" s="1286"/>
      <c r="C34" s="1286"/>
      <c r="D34" s="1286"/>
      <c r="E34" s="1286"/>
      <c r="F34" s="1286"/>
      <c r="G34" s="1286"/>
      <c r="H34" s="1286"/>
      <c r="I34" s="1286"/>
      <c r="J34" s="1286"/>
      <c r="K34" s="1286"/>
      <c r="L34" s="1287"/>
      <c r="M34" s="1286"/>
      <c r="N34" s="1286"/>
      <c r="O34" s="1286"/>
      <c r="S34" s="2633" t="s">
        <v>416</v>
      </c>
      <c r="T34" s="2633"/>
      <c r="U34" s="1290"/>
      <c r="V34" s="2634" t="str">
        <f>IF(TITLE_DATE_PR_CHANGE="",IF(TITLE_DATE_PR="","",TITLE_DATE_PR),TITLE_DATE_PR_CHANGE)</f>
        <v/>
      </c>
      <c r="W34" s="2634"/>
      <c r="X34" s="2634"/>
      <c r="Y34" s="2634"/>
      <c r="Z34" s="2634"/>
      <c r="AA34" s="2634"/>
      <c r="AB34" s="2634"/>
      <c r="AC34" s="263"/>
      <c r="AD34" s="2634" t="str">
        <f>IF(TITLE_DATE_PR_CHANGE="",IF(TITLE_DATE_PR="","",TITLE_DATE_PR),TITLE_DATE_PR_CHANGE)</f>
        <v/>
      </c>
      <c r="AE34" s="2634"/>
      <c r="AF34" s="2634"/>
      <c r="AG34" s="2634"/>
      <c r="AH34" s="2634"/>
      <c r="AI34" s="2634"/>
      <c r="AJ34" s="2634"/>
      <c r="AK34" s="263"/>
      <c r="AL34" s="263"/>
      <c r="AM34" s="217"/>
      <c r="AN34" s="304"/>
      <c r="AO34" s="304"/>
      <c r="AP34" s="304"/>
      <c r="AQ34" s="304"/>
      <c r="AR34" s="304"/>
      <c r="AS34" s="354">
        <v>0</v>
      </c>
    </row>
    <row r="35" spans="1:45" s="2416" customFormat="1" ht="18.75" hidden="1" customHeight="1">
      <c r="A35" s="1286"/>
      <c r="B35" s="1286"/>
      <c r="C35" s="1286"/>
      <c r="D35" s="1286"/>
      <c r="E35" s="1286"/>
      <c r="F35" s="1286"/>
      <c r="G35" s="1286"/>
      <c r="H35" s="1286"/>
      <c r="I35" s="1286"/>
      <c r="J35" s="1286"/>
      <c r="K35" s="1286"/>
      <c r="L35" s="1287"/>
      <c r="M35" s="1286"/>
      <c r="N35" s="1286"/>
      <c r="O35" s="1286"/>
      <c r="S35" s="2633" t="s">
        <v>417</v>
      </c>
      <c r="T35" s="2633"/>
      <c r="U35" s="1290"/>
      <c r="V35" s="2635" t="str">
        <f>IF(TITLE_NUMBER_PR_CHANGE="",IF(TITLE_NUMBER_PR="","",TITLE_NUMBER_PR),TITLE_NUMBER_PR_CHANGE)</f>
        <v/>
      </c>
      <c r="W35" s="2635"/>
      <c r="X35" s="2635"/>
      <c r="Y35" s="2635"/>
      <c r="Z35" s="2635"/>
      <c r="AA35" s="2635"/>
      <c r="AB35" s="2635"/>
      <c r="AC35" s="263"/>
      <c r="AD35" s="2635" t="str">
        <f>IF(TITLE_NUMBER_PR_CHANGE="",IF(TITLE_NUMBER_PR="","",TITLE_NUMBER_PR),TITLE_NUMBER_PR_CHANGE)</f>
        <v/>
      </c>
      <c r="AE35" s="2635"/>
      <c r="AF35" s="2635"/>
      <c r="AG35" s="2635"/>
      <c r="AH35" s="2635"/>
      <c r="AI35" s="2635"/>
      <c r="AJ35" s="2635"/>
      <c r="AK35" s="263"/>
      <c r="AL35" s="263"/>
      <c r="AM35" s="217"/>
      <c r="AN35" s="304"/>
      <c r="AO35" s="304"/>
      <c r="AP35" s="304"/>
      <c r="AQ35" s="304"/>
      <c r="AR35" s="304"/>
      <c r="AS35" s="354">
        <v>0</v>
      </c>
    </row>
    <row r="36" spans="1:45" s="2416" customFormat="1" ht="0" hidden="1" customHeight="1">
      <c r="A36" s="1286"/>
      <c r="B36" s="1286"/>
      <c r="C36" s="1286"/>
      <c r="D36" s="1286"/>
      <c r="E36" s="1286"/>
      <c r="F36" s="1286"/>
      <c r="G36" s="1286"/>
      <c r="H36" s="1286"/>
      <c r="I36" s="1286"/>
      <c r="J36" s="1286"/>
      <c r="K36" s="1286"/>
      <c r="L36" s="1287"/>
      <c r="M36" s="1286"/>
      <c r="N36" s="1286"/>
      <c r="O36" s="1286"/>
      <c r="S36" s="260"/>
      <c r="T36" s="260"/>
      <c r="U36" s="1137"/>
      <c r="V36" s="263"/>
      <c r="W36" s="263"/>
      <c r="X36" s="263"/>
      <c r="Y36" s="263"/>
      <c r="Z36" s="263"/>
      <c r="AA36" s="263"/>
      <c r="AB36" s="263"/>
      <c r="AC36" s="215" t="s">
        <v>418</v>
      </c>
      <c r="AD36" s="263"/>
      <c r="AE36" s="263"/>
      <c r="AF36" s="263"/>
      <c r="AG36" s="263"/>
      <c r="AH36" s="263"/>
      <c r="AI36" s="263"/>
      <c r="AJ36" s="263"/>
      <c r="AK36" s="215" t="s">
        <v>418</v>
      </c>
      <c r="AN36" s="304"/>
      <c r="AO36" s="304"/>
      <c r="AP36" s="304"/>
      <c r="AQ36" s="304"/>
      <c r="AR36" s="304"/>
      <c r="AS36" s="354">
        <v>0</v>
      </c>
    </row>
    <row r="37" spans="1:45" ht="14.65" customHeight="1">
      <c r="Q37" s="312"/>
      <c r="R37" s="312"/>
      <c r="S37" s="1193"/>
      <c r="T37" s="299"/>
      <c r="U37" s="1162"/>
      <c r="V37" s="2654"/>
      <c r="W37" s="2654"/>
      <c r="X37" s="2654"/>
      <c r="Y37" s="2654"/>
      <c r="Z37" s="2654"/>
      <c r="AA37" s="2654"/>
      <c r="AB37" s="2654"/>
      <c r="AC37" s="2654"/>
      <c r="AD37" s="2654"/>
      <c r="AE37" s="2654"/>
      <c r="AF37" s="2654"/>
      <c r="AG37" s="2654"/>
      <c r="AH37" s="2654"/>
      <c r="AI37" s="2654"/>
      <c r="AJ37" s="2654"/>
      <c r="AK37" s="2654"/>
      <c r="AS37" s="1073">
        <v>14</v>
      </c>
    </row>
    <row r="38" spans="1:45" ht="14.65" customHeight="1">
      <c r="Q38" s="312"/>
      <c r="R38" s="312"/>
      <c r="S38" s="2514" t="s">
        <v>291</v>
      </c>
      <c r="T38" s="2514"/>
      <c r="U38" s="2514"/>
      <c r="V38" s="2514"/>
      <c r="W38" s="2514"/>
      <c r="X38" s="2514"/>
      <c r="Y38" s="2514"/>
      <c r="Z38" s="2514"/>
      <c r="AA38" s="2514"/>
      <c r="AB38" s="2514"/>
      <c r="AC38" s="2514"/>
      <c r="AD38" s="2514"/>
      <c r="AE38" s="2514"/>
      <c r="AF38" s="2514"/>
      <c r="AG38" s="2514"/>
      <c r="AH38" s="2514"/>
      <c r="AI38" s="2514"/>
      <c r="AJ38" s="2514"/>
      <c r="AK38" s="2514"/>
      <c r="AL38" s="2514"/>
      <c r="AM38" s="2514" t="s">
        <v>292</v>
      </c>
      <c r="AS38" s="1073">
        <v>14</v>
      </c>
    </row>
    <row r="39" spans="1:45" ht="14.65" customHeight="1">
      <c r="Q39" s="312"/>
      <c r="R39" s="312"/>
      <c r="S39" s="2655" t="s">
        <v>84</v>
      </c>
      <c r="T39" s="2603" t="s">
        <v>419</v>
      </c>
      <c r="U39" s="238"/>
      <c r="V39" s="2656" t="s">
        <v>420</v>
      </c>
      <c r="W39" s="2657"/>
      <c r="X39" s="2657"/>
      <c r="Y39" s="2657"/>
      <c r="Z39" s="2657"/>
      <c r="AA39" s="2657"/>
      <c r="AB39" s="2658"/>
      <c r="AC39" s="2659" t="s">
        <v>421</v>
      </c>
      <c r="AD39" s="2656" t="s">
        <v>420</v>
      </c>
      <c r="AE39" s="2657"/>
      <c r="AF39" s="2657"/>
      <c r="AG39" s="2657"/>
      <c r="AH39" s="2657"/>
      <c r="AI39" s="2657"/>
      <c r="AJ39" s="2658"/>
      <c r="AK39" s="2659" t="s">
        <v>422</v>
      </c>
      <c r="AL39" s="2662" t="s">
        <v>423</v>
      </c>
      <c r="AM39" s="2514"/>
      <c r="AS39" s="1073">
        <v>14</v>
      </c>
    </row>
    <row r="40" spans="1:45" ht="35.65" customHeight="1">
      <c r="Q40" s="312"/>
      <c r="R40" s="312"/>
      <c r="S40" s="2655"/>
      <c r="T40" s="2603"/>
      <c r="U40" s="954"/>
      <c r="V40" s="2573" t="s">
        <v>424</v>
      </c>
      <c r="W40" s="2651" t="s">
        <v>425</v>
      </c>
      <c r="X40" s="2496" t="s">
        <v>426</v>
      </c>
      <c r="Y40" s="2495"/>
      <c r="Z40" s="2496" t="s">
        <v>427</v>
      </c>
      <c r="AA40" s="2501"/>
      <c r="AB40" s="2495"/>
      <c r="AC40" s="2660"/>
      <c r="AD40" s="2573" t="s">
        <v>424</v>
      </c>
      <c r="AE40" s="2651" t="s">
        <v>425</v>
      </c>
      <c r="AF40" s="2496" t="s">
        <v>426</v>
      </c>
      <c r="AG40" s="2495"/>
      <c r="AH40" s="2496" t="s">
        <v>427</v>
      </c>
      <c r="AI40" s="2501"/>
      <c r="AJ40" s="2495"/>
      <c r="AK40" s="2660"/>
      <c r="AL40" s="2663"/>
      <c r="AM40" s="2514"/>
      <c r="AS40" s="1073">
        <v>34</v>
      </c>
    </row>
    <row r="41" spans="1:45" ht="35.65" customHeight="1">
      <c r="A41" s="1288"/>
      <c r="B41" s="1288" t="s">
        <v>128</v>
      </c>
      <c r="C41" s="1288" t="s">
        <v>129</v>
      </c>
      <c r="D41" s="1288" t="s">
        <v>130</v>
      </c>
      <c r="E41" s="1282" t="s">
        <v>428</v>
      </c>
      <c r="F41" s="1282" t="s">
        <v>429</v>
      </c>
      <c r="G41" s="1282" t="s">
        <v>430</v>
      </c>
      <c r="H41" s="1282" t="s">
        <v>431</v>
      </c>
      <c r="I41" s="1282" t="s">
        <v>432</v>
      </c>
      <c r="J41" s="1282" t="s">
        <v>433</v>
      </c>
      <c r="K41" s="1282" t="s">
        <v>434</v>
      </c>
      <c r="L41" s="1282" t="s">
        <v>409</v>
      </c>
      <c r="Q41" s="312"/>
      <c r="R41" s="312"/>
      <c r="S41" s="2655"/>
      <c r="T41" s="2603"/>
      <c r="U41" s="239"/>
      <c r="V41" s="2628"/>
      <c r="W41" s="2652"/>
      <c r="X41" s="1140" t="s">
        <v>435</v>
      </c>
      <c r="Y41" s="1140" t="s">
        <v>436</v>
      </c>
      <c r="Z41" s="1139" t="s">
        <v>437</v>
      </c>
      <c r="AA41" s="2608" t="s">
        <v>438</v>
      </c>
      <c r="AB41" s="2622"/>
      <c r="AC41" s="2661"/>
      <c r="AD41" s="2628"/>
      <c r="AE41" s="2652"/>
      <c r="AF41" s="1140" t="s">
        <v>435</v>
      </c>
      <c r="AG41" s="1140" t="s">
        <v>436</v>
      </c>
      <c r="AH41" s="1231" t="s">
        <v>437</v>
      </c>
      <c r="AI41" s="2608" t="s">
        <v>438</v>
      </c>
      <c r="AJ41" s="2622"/>
      <c r="AK41" s="2661"/>
      <c r="AL41" s="2664"/>
      <c r="AM41" s="2514"/>
      <c r="AS41" s="1073">
        <v>34</v>
      </c>
    </row>
    <row r="42" spans="1:45" s="243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102</v>
      </c>
      <c r="T42" s="1173" t="s">
        <v>103</v>
      </c>
      <c r="U42" s="1163" t="str">
        <f ca="1">OFFSET(U42,0,-1)</f>
        <v>2</v>
      </c>
      <c r="V42" s="1174">
        <f ca="1">OFFSET(V42,0,-1)+1</f>
        <v>3</v>
      </c>
      <c r="W42" s="1174"/>
      <c r="X42" s="1174">
        <f ca="1">OFFSET(X42,0,-1)+1</f>
        <v>1</v>
      </c>
      <c r="Y42" s="1174">
        <f ca="1">OFFSET(Y42,0,-1)+1</f>
        <v>2</v>
      </c>
      <c r="Z42" s="1174">
        <f ca="1">OFFSET(Z42,0,-1)+1</f>
        <v>3</v>
      </c>
      <c r="AA42" s="2653">
        <f ca="1">OFFSET(AA42,0,-1)+1</f>
        <v>4</v>
      </c>
      <c r="AB42" s="2653"/>
      <c r="AC42" s="1174">
        <f ca="1">OFFSET(AC42,0,-2)+1</f>
        <v>5</v>
      </c>
      <c r="AD42" s="1230">
        <f ca="1">OFFSET(AD42,0,-1)+1</f>
        <v>6</v>
      </c>
      <c r="AE42" s="1230"/>
      <c r="AF42" s="1230">
        <f ca="1">OFFSET(AF42,0,-1)+1</f>
        <v>1</v>
      </c>
      <c r="AG42" s="1230">
        <f ca="1">OFFSET(AG42,0,-1)+1</f>
        <v>2</v>
      </c>
      <c r="AH42" s="1230">
        <f ca="1">OFFSET(AH42,0,-1)+1</f>
        <v>3</v>
      </c>
      <c r="AI42" s="2653">
        <f ca="1">OFFSET(AI42,0,-1)+1</f>
        <v>4</v>
      </c>
      <c r="AJ42" s="2653"/>
      <c r="AK42" s="1230">
        <f ca="1">OFFSET(AK42,0,-2)+1</f>
        <v>5</v>
      </c>
      <c r="AL42" s="1163">
        <f ca="1">OFFSET(AL42,0,-1)</f>
        <v>5</v>
      </c>
      <c r="AM42" s="1174">
        <f ca="1">OFFSET(AM42,0,-1)+1</f>
        <v>6</v>
      </c>
      <c r="AN42" s="447"/>
      <c r="AO42" s="447"/>
      <c r="AP42" s="447"/>
      <c r="AQ42" s="447"/>
      <c r="AR42" s="447"/>
      <c r="AS42" s="432">
        <v>0</v>
      </c>
    </row>
    <row r="43" spans="1:45" ht="24" customHeight="1">
      <c r="A43" s="1281" t="s">
        <v>149</v>
      </c>
      <c r="B43" s="1281"/>
      <c r="C43" s="1281"/>
      <c r="D43" s="1281"/>
      <c r="E43" s="2642">
        <v>1</v>
      </c>
      <c r="F43" s="1281"/>
      <c r="G43" s="1281"/>
      <c r="H43" s="1281"/>
      <c r="I43" s="1281"/>
      <c r="J43" s="1281"/>
      <c r="K43" s="1281"/>
      <c r="L43" s="1282"/>
      <c r="M43" s="1283"/>
      <c r="N43" s="1283"/>
      <c r="O43" s="1283"/>
      <c r="P43" s="297"/>
      <c r="Q43" s="296"/>
      <c r="R43" s="291"/>
      <c r="S43" s="1142">
        <f>INDEX(PT_DIFFERENTIATION_NUM_NTAR,MATCH(A43,PT_DIFFERENTIATION_NTAR_ID,0))</f>
        <v>0</v>
      </c>
      <c r="T43" s="235" t="s">
        <v>116</v>
      </c>
      <c r="U43" s="237"/>
      <c r="V43" s="2636"/>
      <c r="W43" s="2637"/>
      <c r="X43" s="2637"/>
      <c r="Y43" s="2637"/>
      <c r="Z43" s="2637"/>
      <c r="AA43" s="2637"/>
      <c r="AB43" s="2637"/>
      <c r="AC43" s="2638"/>
      <c r="AD43" s="2636" t="str">
        <f>INDEX(PT_DIFFERENTIATION_NTAR,MATCH(A43,PT_DIFFERENTIATION_NTAR_ID,0))</f>
        <v/>
      </c>
      <c r="AE43" s="2637"/>
      <c r="AF43" s="2637"/>
      <c r="AG43" s="2637"/>
      <c r="AH43" s="2637"/>
      <c r="AI43" s="2637"/>
      <c r="AJ43" s="2637"/>
      <c r="AK43" s="2637"/>
      <c r="AL43" s="263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23</v>
      </c>
    </row>
    <row r="44" spans="1:45" ht="24" customHeight="1">
      <c r="A44" s="1281" t="s">
        <v>149</v>
      </c>
      <c r="B44" s="1281" t="s">
        <v>150</v>
      </c>
      <c r="C44" s="1281"/>
      <c r="D44" s="1281"/>
      <c r="E44" s="2643"/>
      <c r="F44" s="2642">
        <v>1</v>
      </c>
      <c r="G44" s="1281"/>
      <c r="H44" s="1281"/>
      <c r="I44" s="1281"/>
      <c r="J44" s="1281"/>
      <c r="K44" s="1281"/>
      <c r="L44" s="1282"/>
      <c r="M44" s="1283"/>
      <c r="N44" s="1283"/>
      <c r="O44" s="1283"/>
      <c r="P44" s="458"/>
      <c r="Q44" s="288"/>
      <c r="R44" s="289"/>
      <c r="S44" s="1142" t="str">
        <f>INDEX(PT_DIFFERENTIATION_NUM_TER,MATCH(B44,PT_DIFFERENTIATION_TER_ID,0))</f>
        <v>.</v>
      </c>
      <c r="T44" s="245" t="s">
        <v>388</v>
      </c>
      <c r="U44" s="237"/>
      <c r="V44" s="2636"/>
      <c r="W44" s="2637"/>
      <c r="X44" s="2637"/>
      <c r="Y44" s="2637"/>
      <c r="Z44" s="2637"/>
      <c r="AA44" s="2637"/>
      <c r="AB44" s="2637"/>
      <c r="AC44" s="2638"/>
      <c r="AD44" s="2636" t="str">
        <f>INDEX(PT_DIFFERENTIATION_TER,MATCH(B44,PT_DIFFERENTIATION_TER_ID,0))</f>
        <v/>
      </c>
      <c r="AE44" s="2637"/>
      <c r="AF44" s="2637"/>
      <c r="AG44" s="2637"/>
      <c r="AH44" s="2637"/>
      <c r="AI44" s="2637"/>
      <c r="AJ44" s="2637"/>
      <c r="AK44" s="2637"/>
      <c r="AL44" s="2638"/>
      <c r="AM44" s="1176" t="s">
        <v>389</v>
      </c>
      <c r="AO44" s="436"/>
      <c r="AP44" s="436" t="str">
        <f t="shared" si="1"/>
        <v>Территория действия тарифа</v>
      </c>
      <c r="AQ44" s="436"/>
      <c r="AR44" s="436"/>
      <c r="AS44" s="1073">
        <v>23</v>
      </c>
    </row>
    <row r="45" spans="1:45" ht="24" customHeight="1">
      <c r="A45" s="1281" t="s">
        <v>149</v>
      </c>
      <c r="B45" s="1281" t="s">
        <v>150</v>
      </c>
      <c r="C45" s="1281" t="s">
        <v>151</v>
      </c>
      <c r="D45" s="1281"/>
      <c r="E45" s="2643"/>
      <c r="F45" s="2643"/>
      <c r="G45" s="2642">
        <v>1</v>
      </c>
      <c r="H45" s="1281"/>
      <c r="I45" s="1281"/>
      <c r="J45" s="1281"/>
      <c r="K45" s="1281"/>
      <c r="L45" s="1282"/>
      <c r="M45" s="1283"/>
      <c r="N45" s="1283"/>
      <c r="O45" s="1283"/>
      <c r="P45" s="290"/>
      <c r="Q45" s="288"/>
      <c r="R45" s="289"/>
      <c r="S45" s="1142" t="str">
        <f>INDEX(PT_DIFFERENTIATION_NUM_CS,MATCH(C45,PT_DIFFERENTIATION_CS_ID,0))</f>
        <v>..</v>
      </c>
      <c r="T45" s="246" t="s">
        <v>390</v>
      </c>
      <c r="U45" s="237"/>
      <c r="V45" s="2636"/>
      <c r="W45" s="2637"/>
      <c r="X45" s="2637"/>
      <c r="Y45" s="2637"/>
      <c r="Z45" s="2637"/>
      <c r="AA45" s="2637"/>
      <c r="AB45" s="2637"/>
      <c r="AC45" s="2638"/>
      <c r="AD45" s="2636" t="str">
        <f>INDEX(PT_DIFFERENTIATION_CS,MATCH(C45,PT_DIFFERENTIATION_CS_ID,0))</f>
        <v/>
      </c>
      <c r="AE45" s="2637"/>
      <c r="AF45" s="2637"/>
      <c r="AG45" s="2637"/>
      <c r="AH45" s="2637"/>
      <c r="AI45" s="2637"/>
      <c r="AJ45" s="2637"/>
      <c r="AK45" s="2637"/>
      <c r="AL45" s="2638"/>
      <c r="AM45" s="1176" t="s">
        <v>391</v>
      </c>
      <c r="AO45" s="436"/>
      <c r="AP45" s="436" t="str">
        <f t="shared" si="1"/>
        <v xml:space="preserve">Наименование системы теплоснабжения </v>
      </c>
      <c r="AQ45" s="436"/>
      <c r="AR45" s="436"/>
      <c r="AS45" s="1073">
        <v>23</v>
      </c>
    </row>
    <row r="46" spans="1:45" ht="24" customHeight="1">
      <c r="A46" s="1281" t="s">
        <v>149</v>
      </c>
      <c r="B46" s="1281" t="s">
        <v>150</v>
      </c>
      <c r="C46" s="1281" t="s">
        <v>151</v>
      </c>
      <c r="D46" s="1281" t="s">
        <v>152</v>
      </c>
      <c r="E46" s="2643"/>
      <c r="F46" s="2643"/>
      <c r="G46" s="2643"/>
      <c r="H46" s="2642">
        <v>1</v>
      </c>
      <c r="I46" s="1281"/>
      <c r="J46" s="1281"/>
      <c r="K46" s="1281"/>
      <c r="L46" s="1282"/>
      <c r="M46" s="1283"/>
      <c r="N46" s="1283"/>
      <c r="O46" s="1283"/>
      <c r="P46" s="290"/>
      <c r="Q46" s="288"/>
      <c r="R46" s="289"/>
      <c r="S46" s="1142" t="str">
        <f>INDEX(PT_DIFFERENTIATION_NUM_IST_TE,MATCH(D46,PT_DIFFERENTIATION_IST_TE_ID,0))</f>
        <v>...</v>
      </c>
      <c r="T46" s="247" t="s">
        <v>392</v>
      </c>
      <c r="U46" s="237"/>
      <c r="V46" s="2636"/>
      <c r="W46" s="2637"/>
      <c r="X46" s="2637"/>
      <c r="Y46" s="2637"/>
      <c r="Z46" s="2637"/>
      <c r="AA46" s="2637"/>
      <c r="AB46" s="2637"/>
      <c r="AC46" s="2638"/>
      <c r="AD46" s="2636" t="str">
        <f>INDEX(PT_DIFFERENTIATION_IST_TE,MATCH(D46,PT_DIFFERENTIATION_IST_TE_ID,0))</f>
        <v/>
      </c>
      <c r="AE46" s="2637"/>
      <c r="AF46" s="2637"/>
      <c r="AG46" s="2637"/>
      <c r="AH46" s="2637"/>
      <c r="AI46" s="2637"/>
      <c r="AJ46" s="2637"/>
      <c r="AK46" s="2637"/>
      <c r="AL46" s="2638"/>
      <c r="AM46" s="1176" t="s">
        <v>393</v>
      </c>
      <c r="AO46" s="436"/>
      <c r="AP46" s="436" t="str">
        <f t="shared" si="1"/>
        <v xml:space="preserve">Источник тепловой энергии  </v>
      </c>
      <c r="AQ46" s="436"/>
      <c r="AR46" s="436"/>
      <c r="AS46" s="1073">
        <v>23</v>
      </c>
    </row>
    <row r="47" spans="1:45" ht="49.5" customHeight="1">
      <c r="A47" s="1281" t="s">
        <v>149</v>
      </c>
      <c r="B47" s="1281" t="s">
        <v>150</v>
      </c>
      <c r="C47" s="1281" t="s">
        <v>151</v>
      </c>
      <c r="D47" s="1281" t="s">
        <v>152</v>
      </c>
      <c r="E47" s="2643"/>
      <c r="F47" s="2643"/>
      <c r="G47" s="2643"/>
      <c r="H47" s="2643"/>
      <c r="I47" s="2644" t="str">
        <f>S46&amp;".1"</f>
        <v>....1</v>
      </c>
      <c r="J47" s="1281"/>
      <c r="K47" s="1281"/>
      <c r="L47" s="1282" t="s">
        <v>394</v>
      </c>
      <c r="P47" s="2646">
        <v>1</v>
      </c>
      <c r="Q47" s="1138"/>
      <c r="R47" s="292"/>
      <c r="S47" s="1142" t="str">
        <f>$I47</f>
        <v>....1</v>
      </c>
      <c r="T47" s="222" t="s">
        <v>395</v>
      </c>
      <c r="U47" s="237"/>
      <c r="V47" s="2630"/>
      <c r="W47" s="2631"/>
      <c r="X47" s="2631"/>
      <c r="Y47" s="2631"/>
      <c r="Z47" s="2631"/>
      <c r="AA47" s="2631"/>
      <c r="AB47" s="2631"/>
      <c r="AC47" s="2632"/>
      <c r="AD47" s="2630"/>
      <c r="AE47" s="2631"/>
      <c r="AF47" s="2631"/>
      <c r="AG47" s="2631"/>
      <c r="AH47" s="2631"/>
      <c r="AI47" s="2631"/>
      <c r="AJ47" s="2631"/>
      <c r="AK47" s="2631"/>
      <c r="AL47" s="2632"/>
      <c r="AM47" s="1176" t="s">
        <v>396</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4" customHeight="1">
      <c r="A48" s="1281" t="s">
        <v>149</v>
      </c>
      <c r="B48" s="1281" t="s">
        <v>150</v>
      </c>
      <c r="C48" s="1281" t="s">
        <v>151</v>
      </c>
      <c r="D48" s="1281" t="s">
        <v>152</v>
      </c>
      <c r="E48" s="2643"/>
      <c r="F48" s="2643"/>
      <c r="G48" s="2643"/>
      <c r="H48" s="2643"/>
      <c r="I48" s="2645"/>
      <c r="J48" s="2644" t="str">
        <f>I47&amp;".1"</f>
        <v>....1.1</v>
      </c>
      <c r="K48" s="1281"/>
      <c r="L48" s="1282" t="s">
        <v>397</v>
      </c>
      <c r="P48" s="2646"/>
      <c r="Q48" s="2646">
        <v>1</v>
      </c>
      <c r="R48" s="293"/>
      <c r="S48" s="1142" t="str">
        <f>$J48</f>
        <v>....1.1</v>
      </c>
      <c r="T48" s="223" t="s">
        <v>398</v>
      </c>
      <c r="U48" s="237"/>
      <c r="V48" s="2630"/>
      <c r="W48" s="2631"/>
      <c r="X48" s="2631"/>
      <c r="Y48" s="2631"/>
      <c r="Z48" s="2631"/>
      <c r="AA48" s="2631"/>
      <c r="AB48" s="2631"/>
      <c r="AC48" s="2632"/>
      <c r="AD48" s="2630"/>
      <c r="AE48" s="2631"/>
      <c r="AF48" s="2631"/>
      <c r="AG48" s="2631"/>
      <c r="AH48" s="2631"/>
      <c r="AI48" s="2631"/>
      <c r="AJ48" s="2631"/>
      <c r="AK48" s="2631"/>
      <c r="AL48" s="2632"/>
      <c r="AM48" s="1176" t="s">
        <v>399</v>
      </c>
      <c r="AO48" s="436"/>
      <c r="AP48" s="436" t="str">
        <f t="shared" si="1"/>
        <v>Группа потребителей</v>
      </c>
      <c r="AQ48" s="436"/>
      <c r="AR48" s="436"/>
      <c r="AS48" s="1073">
        <v>23</v>
      </c>
    </row>
    <row r="49" spans="1:45" ht="24" customHeight="1">
      <c r="A49" s="1281" t="s">
        <v>149</v>
      </c>
      <c r="B49" s="1281" t="s">
        <v>150</v>
      </c>
      <c r="C49" s="1281" t="s">
        <v>151</v>
      </c>
      <c r="D49" s="1281" t="s">
        <v>152</v>
      </c>
      <c r="E49" s="2643"/>
      <c r="F49" s="2643"/>
      <c r="G49" s="2643"/>
      <c r="H49" s="2643"/>
      <c r="I49" s="2645"/>
      <c r="J49" s="2645"/>
      <c r="K49" s="2644" t="str">
        <f>J48&amp;".1"</f>
        <v>....1.1.1</v>
      </c>
      <c r="L49" s="1282" t="s">
        <v>400</v>
      </c>
      <c r="P49" s="2646"/>
      <c r="Q49" s="2646"/>
      <c r="R49" s="293">
        <v>1</v>
      </c>
      <c r="S49" s="1142" t="str">
        <f>$K49</f>
        <v>....1.1.1</v>
      </c>
      <c r="T49" s="1265"/>
      <c r="U49" s="237"/>
      <c r="V49" s="687"/>
      <c r="W49" s="262"/>
      <c r="X49" s="687"/>
      <c r="Y49" s="1175"/>
      <c r="Z49" s="2647"/>
      <c r="AA49" s="2524" t="s">
        <v>65</v>
      </c>
      <c r="AB49" s="2647"/>
      <c r="AC49" s="2524" t="s">
        <v>65</v>
      </c>
      <c r="AD49" s="687"/>
      <c r="AE49" s="262"/>
      <c r="AF49" s="687"/>
      <c r="AG49" s="1175"/>
      <c r="AH49" s="2647"/>
      <c r="AI49" s="2524" t="s">
        <v>65</v>
      </c>
      <c r="AJ49" s="2649"/>
      <c r="AK49" s="2524" t="s">
        <v>65</v>
      </c>
      <c r="AL49" s="1266"/>
      <c r="AM49" s="2665" t="s">
        <v>401</v>
      </c>
      <c r="AN49" s="447" t="e">
        <f ca="1">STRCHECKDATE(V50:AL50)</f>
        <v>#NAME?</v>
      </c>
      <c r="AO49" s="436"/>
      <c r="AP49" s="436" t="str">
        <f t="shared" si="1"/>
        <v/>
      </c>
      <c r="AQ49" s="436"/>
      <c r="AR49" s="436"/>
      <c r="AS49" s="1073">
        <v>23</v>
      </c>
    </row>
    <row r="50" spans="1:45" ht="1.1499999999999999" customHeight="1">
      <c r="A50" s="1281" t="s">
        <v>149</v>
      </c>
      <c r="B50" s="1281" t="s">
        <v>150</v>
      </c>
      <c r="C50" s="1281" t="s">
        <v>151</v>
      </c>
      <c r="D50" s="1281" t="s">
        <v>152</v>
      </c>
      <c r="E50" s="2643"/>
      <c r="F50" s="2643"/>
      <c r="G50" s="2643"/>
      <c r="H50" s="2643"/>
      <c r="I50" s="2645"/>
      <c r="J50" s="2645"/>
      <c r="K50" s="2644"/>
      <c r="L50" s="1282"/>
      <c r="P50" s="2646"/>
      <c r="Q50" s="2646"/>
      <c r="R50" s="293"/>
      <c r="S50" s="1141"/>
      <c r="T50" s="237"/>
      <c r="U50" s="237"/>
      <c r="V50" s="262"/>
      <c r="W50" s="262"/>
      <c r="X50" s="262"/>
      <c r="Y50" s="265" t="str">
        <f>Z49&amp;"-"&amp;AB49</f>
        <v>-</v>
      </c>
      <c r="Z50" s="2648"/>
      <c r="AA50" s="2524"/>
      <c r="AB50" s="2648"/>
      <c r="AC50" s="2524"/>
      <c r="AD50" s="262"/>
      <c r="AE50" s="262"/>
      <c r="AF50" s="262"/>
      <c r="AG50" s="265" t="str">
        <f>AH49&amp;"-"&amp;AJ49</f>
        <v>-</v>
      </c>
      <c r="AH50" s="2648"/>
      <c r="AI50" s="2524"/>
      <c r="AJ50" s="2650"/>
      <c r="AK50" s="2524"/>
      <c r="AL50" s="1267"/>
      <c r="AM50" s="2666"/>
      <c r="AO50" s="436"/>
      <c r="AP50" s="436" t="str">
        <f t="shared" si="1"/>
        <v/>
      </c>
      <c r="AQ50" s="436"/>
      <c r="AR50" s="436"/>
      <c r="AS50" s="1073">
        <v>1</v>
      </c>
    </row>
    <row r="51" spans="1:45" ht="11.45" customHeight="1">
      <c r="A51" s="1281" t="s">
        <v>149</v>
      </c>
      <c r="B51" s="1281" t="s">
        <v>150</v>
      </c>
      <c r="C51" s="1281" t="s">
        <v>151</v>
      </c>
      <c r="D51" s="1281" t="s">
        <v>152</v>
      </c>
      <c r="E51" s="2643"/>
      <c r="F51" s="2643"/>
      <c r="G51" s="2643"/>
      <c r="H51" s="2643"/>
      <c r="I51" s="2645"/>
      <c r="J51" s="2644"/>
      <c r="K51" s="1281"/>
      <c r="L51" s="1282"/>
      <c r="P51" s="2646"/>
      <c r="Q51" s="2646"/>
      <c r="R51" s="292"/>
      <c r="S51" s="1196"/>
      <c r="T51" s="225" t="s">
        <v>402</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73">
        <v>11</v>
      </c>
    </row>
    <row r="52" spans="1:45" ht="11.45" customHeight="1">
      <c r="A52" s="1281" t="s">
        <v>149</v>
      </c>
      <c r="B52" s="1281" t="s">
        <v>150</v>
      </c>
      <c r="C52" s="1281" t="s">
        <v>151</v>
      </c>
      <c r="D52" s="1281" t="s">
        <v>152</v>
      </c>
      <c r="E52" s="2643"/>
      <c r="F52" s="2643"/>
      <c r="G52" s="2643"/>
      <c r="H52" s="2643"/>
      <c r="I52" s="2644"/>
      <c r="J52" s="1281"/>
      <c r="K52" s="1281"/>
      <c r="L52" s="1282"/>
      <c r="P52" s="2646"/>
      <c r="Q52" s="1138"/>
      <c r="R52" s="292"/>
      <c r="S52" s="1196"/>
      <c r="T52" s="224"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149</v>
      </c>
      <c r="B53" s="1281" t="s">
        <v>150</v>
      </c>
      <c r="C53" s="1281" t="s">
        <v>151</v>
      </c>
      <c r="D53" s="1281" t="s">
        <v>152</v>
      </c>
      <c r="E53" s="2643"/>
      <c r="F53" s="2643"/>
      <c r="G53" s="2643"/>
      <c r="H53" s="2642"/>
      <c r="I53" s="1281"/>
      <c r="J53" s="1281"/>
      <c r="K53" s="1281"/>
      <c r="L53" s="1282"/>
      <c r="M53" s="1283"/>
      <c r="N53" s="1283"/>
      <c r="O53" s="473"/>
      <c r="P53" s="296"/>
      <c r="Q53" s="311"/>
      <c r="R53" s="291"/>
      <c r="S53" s="1196"/>
      <c r="T53" s="301" t="s">
        <v>404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407" customFormat="1" ht="1.1499999999999999" customHeight="1">
      <c r="A54" s="1261" t="s">
        <v>149</v>
      </c>
      <c r="B54" s="1261" t="s">
        <v>150</v>
      </c>
      <c r="C54" s="1261" t="s">
        <v>151</v>
      </c>
      <c r="D54" s="1232"/>
      <c r="E54" s="2643"/>
      <c r="F54" s="2643"/>
      <c r="G54" s="2642"/>
      <c r="H54" s="1232"/>
      <c r="I54" s="1232"/>
      <c r="J54" s="1232"/>
      <c r="K54" s="1232"/>
      <c r="L54" s="1257"/>
      <c r="M54" s="1233"/>
      <c r="N54" s="1233"/>
      <c r="P54" s="1234"/>
      <c r="Q54" s="1235"/>
      <c r="R54" s="1234"/>
      <c r="S54" s="1240"/>
      <c r="T54" s="1243" t="s">
        <v>405</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407" customFormat="1" ht="1.1499999999999999" customHeight="1">
      <c r="A55" s="1261" t="s">
        <v>149</v>
      </c>
      <c r="B55" s="1261" t="s">
        <v>150</v>
      </c>
      <c r="C55" s="1232"/>
      <c r="D55" s="1232"/>
      <c r="E55" s="2643"/>
      <c r="F55" s="2642"/>
      <c r="G55" s="1232"/>
      <c r="H55" s="1232"/>
      <c r="I55" s="1232"/>
      <c r="J55" s="1232"/>
      <c r="K55" s="1232"/>
      <c r="L55" s="1257"/>
      <c r="M55" s="1239"/>
      <c r="N55" s="1239"/>
      <c r="P55" s="1234"/>
      <c r="Q55" s="1235"/>
      <c r="R55" s="1234"/>
      <c r="S55" s="1240"/>
      <c r="T55" s="1243" t="s">
        <v>406</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407" customFormat="1" ht="1.1499999999999999" customHeight="1">
      <c r="A56" s="1261" t="s">
        <v>149</v>
      </c>
      <c r="B56" s="1261"/>
      <c r="C56" s="1261"/>
      <c r="D56" s="1261"/>
      <c r="E56" s="2642"/>
      <c r="F56" s="1261"/>
      <c r="G56" s="1261"/>
      <c r="H56" s="1261"/>
      <c r="I56" s="1261"/>
      <c r="J56" s="1261"/>
      <c r="K56" s="1261"/>
      <c r="L56" s="1264"/>
      <c r="M56" s="1239"/>
      <c r="N56" s="1239"/>
      <c r="O56" s="454"/>
      <c r="P56" s="316"/>
      <c r="Q56" s="1262"/>
      <c r="R56" s="316"/>
      <c r="S56" s="1240"/>
      <c r="T56" s="1243" t="s">
        <v>407</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40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439</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641"/>
      <c r="U59" s="2641"/>
      <c r="V59" s="2641"/>
      <c r="W59" s="2641"/>
      <c r="X59" s="2641"/>
      <c r="Y59" s="2641"/>
      <c r="Z59" s="2641"/>
      <c r="AA59" s="2641"/>
      <c r="AB59" s="2641"/>
      <c r="AC59" s="2641"/>
      <c r="AD59" s="2641"/>
      <c r="AE59" s="2641"/>
      <c r="AF59" s="2641"/>
      <c r="AG59" s="2641"/>
      <c r="AH59" s="2641"/>
      <c r="AI59" s="2641"/>
      <c r="AJ59" s="2641"/>
      <c r="AK59" s="2641"/>
      <c r="AL59" s="2641"/>
      <c r="AM59" s="2641"/>
      <c r="AS59" s="1073">
        <v>27</v>
      </c>
    </row>
    <row r="60" spans="1:45" ht="67.150000000000006" customHeight="1">
      <c r="O60" s="473"/>
      <c r="P60" s="1221"/>
      <c r="T60" s="2641"/>
      <c r="U60" s="2641"/>
      <c r="V60" s="2641"/>
      <c r="W60" s="2641"/>
      <c r="X60" s="2641"/>
      <c r="Y60" s="2641"/>
      <c r="Z60" s="2641"/>
      <c r="AA60" s="2641"/>
      <c r="AB60" s="2641"/>
      <c r="AC60" s="2641"/>
      <c r="AD60" s="2641"/>
      <c r="AE60" s="2641"/>
      <c r="AF60" s="2641"/>
      <c r="AG60" s="2641"/>
      <c r="AH60" s="2641"/>
      <c r="AI60" s="2641"/>
      <c r="AJ60" s="2641"/>
      <c r="AK60" s="2641"/>
      <c r="AL60" s="2641"/>
      <c r="AM60" s="2641"/>
      <c r="AS60" s="1073">
        <v>64</v>
      </c>
    </row>
    <row r="61" spans="1:45" ht="14.65" customHeight="1">
      <c r="O61" s="473"/>
      <c r="AS61" s="1073">
        <v>14</v>
      </c>
    </row>
    <row r="62" spans="1:45" ht="18.75" customHeight="1">
      <c r="O62" s="473"/>
      <c r="P62" s="1246"/>
      <c r="S62" s="1171"/>
      <c r="T62" s="2641"/>
      <c r="U62" s="2641"/>
      <c r="V62" s="2641"/>
      <c r="W62" s="2641"/>
      <c r="X62" s="2641"/>
      <c r="Y62" s="2641"/>
      <c r="Z62" s="2641"/>
      <c r="AA62" s="2641"/>
      <c r="AB62" s="2641"/>
      <c r="AC62" s="2641"/>
      <c r="AD62" s="2641"/>
      <c r="AE62" s="2641"/>
      <c r="AF62" s="2641"/>
      <c r="AG62" s="2641"/>
      <c r="AH62" s="2641"/>
      <c r="AI62" s="2641"/>
      <c r="AJ62" s="2641"/>
      <c r="AK62" s="2641"/>
      <c r="AL62" s="2641"/>
      <c r="AM62" s="2641"/>
      <c r="AS62" s="1073">
        <v>18</v>
      </c>
    </row>
    <row r="63" spans="1:45" ht="18.75" customHeight="1">
      <c r="O63" s="473"/>
      <c r="P63" s="1246"/>
      <c r="T63" s="2641"/>
      <c r="U63" s="2641"/>
      <c r="V63" s="2641"/>
      <c r="W63" s="2641"/>
      <c r="X63" s="2641"/>
      <c r="Y63" s="2641"/>
      <c r="Z63" s="2641"/>
      <c r="AA63" s="2641"/>
      <c r="AB63" s="2641"/>
      <c r="AC63" s="2641"/>
      <c r="AD63" s="2641"/>
      <c r="AE63" s="2641"/>
      <c r="AF63" s="2641"/>
      <c r="AG63" s="2641"/>
      <c r="AH63" s="2641"/>
      <c r="AI63" s="2641"/>
      <c r="AJ63" s="2641"/>
      <c r="AK63" s="2641"/>
      <c r="AL63" s="2641"/>
      <c r="AM63" s="2641"/>
      <c r="AS63" s="1073">
        <v>18</v>
      </c>
    </row>
    <row r="64" spans="1:45" ht="29.25" customHeight="1">
      <c r="O64" s="473"/>
      <c r="P64" s="1246"/>
      <c r="S64" s="1171"/>
      <c r="T64" s="2641"/>
      <c r="U64" s="2641"/>
      <c r="V64" s="2641"/>
      <c r="W64" s="2641"/>
      <c r="X64" s="2641"/>
      <c r="Y64" s="2641"/>
      <c r="Z64" s="2641"/>
      <c r="AA64" s="2641"/>
      <c r="AB64" s="2641"/>
      <c r="AC64" s="2641"/>
      <c r="AD64" s="2641"/>
      <c r="AE64" s="2641"/>
      <c r="AF64" s="2641"/>
      <c r="AG64" s="2641"/>
      <c r="AH64" s="2641"/>
      <c r="AI64" s="2641"/>
      <c r="AJ64" s="2641"/>
      <c r="AK64" s="2641"/>
      <c r="AL64" s="2641"/>
      <c r="AM64" s="2641"/>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1">
        <v>3</v>
      </c>
      <c r="R65" s="281">
        <v>3</v>
      </c>
      <c r="S65" s="517">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2" style="2406" hidden="1" customWidth="1"/>
    <col min="10" max="10" width="9.85546875" style="2406" hidden="1" customWidth="1"/>
    <col min="11" max="11" width="11.42578125" style="2406" hidden="1" customWidth="1"/>
    <col min="12" max="12" width="19.140625" style="2432" hidden="1" customWidth="1"/>
    <col min="13" max="14" width="12.28515625" style="2433" hidden="1" customWidth="1"/>
    <col min="15" max="15" width="23.42578125" style="2433" hidden="1" customWidth="1"/>
    <col min="16" max="16" width="3" style="2434" customWidth="1"/>
    <col min="17" max="18" width="3" style="2435" customWidth="1"/>
    <col min="19" max="19" width="12" style="2436" customWidth="1"/>
    <col min="20" max="20" width="31" style="2400" customWidth="1"/>
    <col min="21" max="21" width="0.140625" style="2400" customWidth="1"/>
    <col min="22" max="22" width="24.7109375" style="2400" hidden="1" customWidth="1"/>
    <col min="23" max="23" width="0.140625" style="2400" hidden="1" customWidth="1"/>
    <col min="24" max="25" width="24.7109375" style="2400" hidden="1" customWidth="1"/>
    <col min="26" max="26" width="11.7109375" style="2400" hidden="1" customWidth="1"/>
    <col min="27" max="27" width="3.7109375" style="2400" hidden="1" customWidth="1"/>
    <col min="28" max="28" width="11.7109375" style="2400" hidden="1" customWidth="1"/>
    <col min="29" max="29" width="8.5703125" style="2400" hidden="1" customWidth="1"/>
    <col min="30" max="30" width="24.7109375" style="2400" customWidth="1"/>
    <col min="31" max="31" width="0.140625" style="2400" customWidth="1"/>
    <col min="32" max="33" width="24" style="2400" customWidth="1"/>
    <col min="34" max="34" width="11" style="2400" customWidth="1"/>
    <col min="35" max="35" width="3.7109375" style="2400" customWidth="1"/>
    <col min="36" max="36" width="11" style="2400" customWidth="1"/>
    <col min="37" max="37" width="8.5703125" style="2400" hidden="1" customWidth="1"/>
    <col min="38" max="38" width="4" style="2400" customWidth="1"/>
    <col min="39" max="39" width="115" style="2400" customWidth="1"/>
    <col min="40" max="44" width="10" style="2407" customWidth="1"/>
    <col min="45" max="45" width="10.5703125" style="2400" hidden="1"/>
  </cols>
  <sheetData>
    <row r="1" spans="1:45" ht="22.5" hidden="1" customHeight="1">
      <c r="Y1" s="264"/>
      <c r="Z1" s="264"/>
      <c r="AG1" s="264"/>
      <c r="AH1" s="264"/>
      <c r="AS1" s="1073" t="s">
        <v>14</v>
      </c>
    </row>
    <row r="2" spans="1:45" ht="21" hidden="1" customHeight="1">
      <c r="A2" s="1281"/>
      <c r="B2" s="1281"/>
      <c r="C2" s="1281"/>
      <c r="D2" s="1281"/>
      <c r="E2" s="2642">
        <v>1</v>
      </c>
      <c r="F2" s="1281"/>
      <c r="G2" s="1281"/>
      <c r="H2" s="1281"/>
      <c r="I2" s="1281"/>
      <c r="J2" s="1281"/>
      <c r="K2" s="1281"/>
      <c r="L2" s="1282"/>
      <c r="M2" s="1283"/>
      <c r="N2" s="1283"/>
      <c r="O2" s="1283"/>
      <c r="P2" s="297"/>
      <c r="Q2" s="296"/>
      <c r="R2" s="291"/>
      <c r="S2" s="1254" t="e">
        <f>INDEX(PT_DIFFERENTIATION_NUM_NTAR,MATCH(A2,PT_DIFFERENTIATION_NTAR_ID,0))</f>
        <v>#N/A</v>
      </c>
      <c r="T2" s="235" t="s">
        <v>116</v>
      </c>
      <c r="U2" s="237"/>
      <c r="V2" s="2636"/>
      <c r="W2" s="2637"/>
      <c r="X2" s="2637"/>
      <c r="Y2" s="2637"/>
      <c r="Z2" s="2637"/>
      <c r="AA2" s="2637"/>
      <c r="AB2" s="2637"/>
      <c r="AC2" s="2638"/>
      <c r="AD2" s="2636" t="e">
        <f>INDEX(PT_DIFFERENTIATION_NTAR,MATCH(A2,PT_DIFFERENTIATION_NTAR_ID,0))</f>
        <v>#N/A</v>
      </c>
      <c r="AE2" s="2637"/>
      <c r="AF2" s="2637"/>
      <c r="AG2" s="2637"/>
      <c r="AH2" s="2637"/>
      <c r="AI2" s="2637"/>
      <c r="AJ2" s="2637"/>
      <c r="AK2" s="2637"/>
      <c r="AL2" s="2638"/>
      <c r="AM2" s="1176" t="s">
        <v>387</v>
      </c>
      <c r="AO2" s="436"/>
      <c r="AP2" s="436" t="str">
        <f t="shared" ref="AP2:AP15" si="0">IF(T2="","",T2)</f>
        <v>Наименование тарифа</v>
      </c>
      <c r="AQ2" s="436"/>
      <c r="AR2" s="436"/>
      <c r="AS2" s="1073">
        <v>0</v>
      </c>
    </row>
    <row r="3" spans="1:45" ht="21" hidden="1" customHeight="1">
      <c r="A3" s="1281"/>
      <c r="B3" s="1281"/>
      <c r="C3" s="1281"/>
      <c r="D3" s="1281"/>
      <c r="E3" s="2643"/>
      <c r="F3" s="2642">
        <v>1</v>
      </c>
      <c r="G3" s="1281"/>
      <c r="H3" s="1281"/>
      <c r="I3" s="1281"/>
      <c r="J3" s="1281"/>
      <c r="K3" s="1281"/>
      <c r="L3" s="1282"/>
      <c r="M3" s="1283"/>
      <c r="N3" s="1283"/>
      <c r="O3" s="1283"/>
      <c r="P3" s="1250"/>
      <c r="Q3" s="288"/>
      <c r="R3" s="289"/>
      <c r="S3" s="1254" t="e">
        <f>INDEX(PT_DIFFERENTIATION_NUM_TER,MATCH(B3,PT_DIFFERENTIATION_TER_ID,0))</f>
        <v>#N/A</v>
      </c>
      <c r="T3" s="245" t="s">
        <v>388</v>
      </c>
      <c r="U3" s="237"/>
      <c r="V3" s="2636"/>
      <c r="W3" s="2637"/>
      <c r="X3" s="2637"/>
      <c r="Y3" s="2637"/>
      <c r="Z3" s="2637"/>
      <c r="AA3" s="2637"/>
      <c r="AB3" s="2637"/>
      <c r="AC3" s="2638"/>
      <c r="AD3" s="2636" t="e">
        <f>INDEX(PT_DIFFERENTIATION_TER,MATCH(B3,PT_DIFFERENTIATION_TER_ID,0))</f>
        <v>#N/A</v>
      </c>
      <c r="AE3" s="2637"/>
      <c r="AF3" s="2637"/>
      <c r="AG3" s="2637"/>
      <c r="AH3" s="2637"/>
      <c r="AI3" s="2637"/>
      <c r="AJ3" s="2637"/>
      <c r="AK3" s="2637"/>
      <c r="AL3" s="2638"/>
      <c r="AM3" s="1176" t="s">
        <v>389</v>
      </c>
      <c r="AO3" s="436"/>
      <c r="AP3" s="436" t="str">
        <f t="shared" si="0"/>
        <v>Территория действия тарифа</v>
      </c>
      <c r="AQ3" s="436"/>
      <c r="AR3" s="436"/>
      <c r="AS3" s="1073">
        <v>0</v>
      </c>
    </row>
    <row r="4" spans="1:45" ht="23.25" hidden="1" customHeight="1">
      <c r="A4" s="1281"/>
      <c r="B4" s="1281"/>
      <c r="C4" s="1281"/>
      <c r="D4" s="1281"/>
      <c r="E4" s="2643"/>
      <c r="F4" s="2643"/>
      <c r="G4" s="2642">
        <v>1</v>
      </c>
      <c r="H4" s="1281"/>
      <c r="I4" s="1281"/>
      <c r="J4" s="1281"/>
      <c r="K4" s="1281"/>
      <c r="L4" s="1282"/>
      <c r="M4" s="1283"/>
      <c r="N4" s="1283"/>
      <c r="O4" s="1283"/>
      <c r="P4" s="290"/>
      <c r="Q4" s="288"/>
      <c r="R4" s="289"/>
      <c r="S4" s="1254" t="e">
        <f>INDEX(PT_DIFFERENTIATION_NUM_CS,MATCH(C4,PT_DIFFERENTIATION_CS_ID,0))</f>
        <v>#N/A</v>
      </c>
      <c r="T4" s="246" t="s">
        <v>390</v>
      </c>
      <c r="U4" s="237"/>
      <c r="V4" s="2636"/>
      <c r="W4" s="2637"/>
      <c r="X4" s="2637"/>
      <c r="Y4" s="2637"/>
      <c r="Z4" s="2637"/>
      <c r="AA4" s="2637"/>
      <c r="AB4" s="2637"/>
      <c r="AC4" s="2638"/>
      <c r="AD4" s="2636" t="e">
        <f>INDEX(PT_DIFFERENTIATION_CS,MATCH(C4,PT_DIFFERENTIATION_CS_ID,0))</f>
        <v>#N/A</v>
      </c>
      <c r="AE4" s="2637"/>
      <c r="AF4" s="2637"/>
      <c r="AG4" s="2637"/>
      <c r="AH4" s="2637"/>
      <c r="AI4" s="2637"/>
      <c r="AJ4" s="2637"/>
      <c r="AK4" s="2637"/>
      <c r="AL4" s="2638"/>
      <c r="AM4" s="1176" t="s">
        <v>391</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643"/>
      <c r="F5" s="2643"/>
      <c r="G5" s="2643"/>
      <c r="H5" s="2642">
        <v>1</v>
      </c>
      <c r="I5" s="1281"/>
      <c r="J5" s="1281"/>
      <c r="K5" s="1281"/>
      <c r="L5" s="1282"/>
      <c r="M5" s="1283"/>
      <c r="N5" s="1283"/>
      <c r="O5" s="1283"/>
      <c r="P5" s="290"/>
      <c r="Q5" s="288"/>
      <c r="R5" s="289"/>
      <c r="S5" s="1254" t="e">
        <f>INDEX(PT_DIFFERENTIATION_NUM_IST_TE,MATCH(D5,PT_DIFFERENTIATION_IST_TE_ID,0))</f>
        <v>#N/A</v>
      </c>
      <c r="T5" s="247" t="s">
        <v>392</v>
      </c>
      <c r="U5" s="237"/>
      <c r="V5" s="2636"/>
      <c r="W5" s="2637"/>
      <c r="X5" s="2637"/>
      <c r="Y5" s="2637"/>
      <c r="Z5" s="2637"/>
      <c r="AA5" s="2637"/>
      <c r="AB5" s="2637"/>
      <c r="AC5" s="2638"/>
      <c r="AD5" s="2636" t="e">
        <f>INDEX(PT_DIFFERENTIATION_IST_TE,MATCH(D5,PT_DIFFERENTIATION_IST_TE_ID,0))</f>
        <v>#N/A</v>
      </c>
      <c r="AE5" s="2637"/>
      <c r="AF5" s="2637"/>
      <c r="AG5" s="2637"/>
      <c r="AH5" s="2637"/>
      <c r="AI5" s="2637"/>
      <c r="AJ5" s="2637"/>
      <c r="AK5" s="2637"/>
      <c r="AL5" s="2638"/>
      <c r="AM5" s="1176" t="s">
        <v>393</v>
      </c>
      <c r="AO5" s="436"/>
      <c r="AP5" s="436" t="str">
        <f t="shared" si="0"/>
        <v xml:space="preserve">Источник тепловой энергии  </v>
      </c>
      <c r="AQ5" s="436"/>
      <c r="AR5" s="436"/>
      <c r="AS5" s="1073">
        <v>0</v>
      </c>
    </row>
    <row r="6" spans="1:45" ht="47.25" hidden="1" customHeight="1">
      <c r="A6" s="1281"/>
      <c r="B6" s="1281"/>
      <c r="C6" s="1281"/>
      <c r="D6" s="1281"/>
      <c r="E6" s="2643"/>
      <c r="F6" s="2643"/>
      <c r="G6" s="2643"/>
      <c r="H6" s="2643"/>
      <c r="I6" s="2644" t="e">
        <f>S5&amp;".1"</f>
        <v>#N/A</v>
      </c>
      <c r="J6" s="1281"/>
      <c r="K6" s="1281"/>
      <c r="L6" s="1282" t="s">
        <v>394</v>
      </c>
      <c r="M6" s="473"/>
      <c r="P6" s="2646">
        <v>1</v>
      </c>
      <c r="Q6" s="1249"/>
      <c r="R6" s="292"/>
      <c r="S6" s="1254" t="e">
        <f>$I6</f>
        <v>#N/A</v>
      </c>
      <c r="T6" s="222" t="s">
        <v>395</v>
      </c>
      <c r="U6" s="237"/>
      <c r="V6" s="2630"/>
      <c r="W6" s="2631"/>
      <c r="X6" s="2631"/>
      <c r="Y6" s="2631"/>
      <c r="Z6" s="2631"/>
      <c r="AA6" s="2631"/>
      <c r="AB6" s="2631"/>
      <c r="AC6" s="2632"/>
      <c r="AD6" s="2630"/>
      <c r="AE6" s="2631"/>
      <c r="AF6" s="2631"/>
      <c r="AG6" s="2631"/>
      <c r="AH6" s="2631"/>
      <c r="AI6" s="2631"/>
      <c r="AJ6" s="2631"/>
      <c r="AK6" s="2631"/>
      <c r="AL6" s="2632"/>
      <c r="AM6" s="1176" t="s">
        <v>396</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643"/>
      <c r="F7" s="2643"/>
      <c r="G7" s="2643"/>
      <c r="H7" s="2643"/>
      <c r="I7" s="2645"/>
      <c r="J7" s="2644" t="e">
        <f>I6&amp;".1"</f>
        <v>#N/A</v>
      </c>
      <c r="K7" s="1281"/>
      <c r="L7" s="1282" t="s">
        <v>397</v>
      </c>
      <c r="M7" s="473"/>
      <c r="N7" s="1284"/>
      <c r="P7" s="2646"/>
      <c r="Q7" s="2646">
        <v>1</v>
      </c>
      <c r="R7" s="293"/>
      <c r="S7" s="1254" t="e">
        <f>$J7</f>
        <v>#N/A</v>
      </c>
      <c r="T7" s="223" t="s">
        <v>398</v>
      </c>
      <c r="U7" s="237"/>
      <c r="V7" s="2630"/>
      <c r="W7" s="2631"/>
      <c r="X7" s="2631"/>
      <c r="Y7" s="2631"/>
      <c r="Z7" s="2631"/>
      <c r="AA7" s="2631"/>
      <c r="AB7" s="2631"/>
      <c r="AC7" s="2632"/>
      <c r="AD7" s="2630"/>
      <c r="AE7" s="2631"/>
      <c r="AF7" s="2631"/>
      <c r="AG7" s="2631"/>
      <c r="AH7" s="2631"/>
      <c r="AI7" s="2631"/>
      <c r="AJ7" s="2631"/>
      <c r="AK7" s="2631"/>
      <c r="AL7" s="2632"/>
      <c r="AM7" s="1176" t="s">
        <v>399</v>
      </c>
      <c r="AO7" s="436"/>
      <c r="AP7" s="436" t="str">
        <f t="shared" si="0"/>
        <v>Группа потребителей</v>
      </c>
      <c r="AQ7" s="436"/>
      <c r="AR7" s="436"/>
      <c r="AS7" s="1073">
        <v>0</v>
      </c>
    </row>
    <row r="8" spans="1:45" ht="21" hidden="1" customHeight="1">
      <c r="A8" s="1281"/>
      <c r="B8" s="1281"/>
      <c r="C8" s="1281"/>
      <c r="D8" s="1281"/>
      <c r="E8" s="2643"/>
      <c r="F8" s="2643"/>
      <c r="G8" s="2643"/>
      <c r="H8" s="2643"/>
      <c r="I8" s="2645"/>
      <c r="J8" s="2645"/>
      <c r="K8" s="2644" t="e">
        <f>J7&amp;".1"</f>
        <v>#N/A</v>
      </c>
      <c r="L8" s="1282" t="s">
        <v>400</v>
      </c>
      <c r="M8" s="473"/>
      <c r="N8" s="1284"/>
      <c r="O8" s="1284"/>
      <c r="P8" s="2646"/>
      <c r="Q8" s="2646"/>
      <c r="R8" s="293">
        <v>1</v>
      </c>
      <c r="S8" s="1254" t="e">
        <f>$K8</f>
        <v>#N/A</v>
      </c>
      <c r="T8" s="1265"/>
      <c r="U8" s="237"/>
      <c r="V8" s="687"/>
      <c r="W8" s="262"/>
      <c r="X8" s="687"/>
      <c r="Y8" s="1175"/>
      <c r="Z8" s="2647"/>
      <c r="AA8" s="2524" t="s">
        <v>65</v>
      </c>
      <c r="AB8" s="2647"/>
      <c r="AC8" s="2524" t="s">
        <v>65</v>
      </c>
      <c r="AD8" s="687"/>
      <c r="AE8" s="262"/>
      <c r="AF8" s="687"/>
      <c r="AG8" s="1175"/>
      <c r="AH8" s="2647"/>
      <c r="AI8" s="2524" t="s">
        <v>65</v>
      </c>
      <c r="AJ8" s="2647"/>
      <c r="AK8" s="2524" t="s">
        <v>65</v>
      </c>
      <c r="AL8" s="262"/>
      <c r="AM8" s="2665" t="s">
        <v>401</v>
      </c>
      <c r="AN8" s="447" t="e">
        <f ca="1">STRCHECKDATE(V9:AL9)</f>
        <v>#NAME?</v>
      </c>
      <c r="AO8" s="436"/>
      <c r="AP8" s="436" t="str">
        <f t="shared" si="0"/>
        <v/>
      </c>
      <c r="AQ8" s="436"/>
      <c r="AR8" s="436"/>
      <c r="AS8" s="1073">
        <v>0</v>
      </c>
    </row>
    <row r="9" spans="1:45" ht="0.75" hidden="1" customHeight="1">
      <c r="A9" s="1281"/>
      <c r="B9" s="1281"/>
      <c r="C9" s="1281"/>
      <c r="D9" s="1281"/>
      <c r="E9" s="2643"/>
      <c r="F9" s="2643"/>
      <c r="G9" s="2643"/>
      <c r="H9" s="2643"/>
      <c r="I9" s="2645"/>
      <c r="J9" s="2645"/>
      <c r="K9" s="2644"/>
      <c r="L9" s="1282"/>
      <c r="M9" s="473"/>
      <c r="N9" s="1284"/>
      <c r="O9" s="1284"/>
      <c r="P9" s="2646"/>
      <c r="Q9" s="2646"/>
      <c r="R9" s="293"/>
      <c r="S9" s="1260"/>
      <c r="T9" s="237"/>
      <c r="U9" s="237"/>
      <c r="V9" s="262"/>
      <c r="W9" s="262"/>
      <c r="X9" s="262"/>
      <c r="Y9" s="265" t="str">
        <f>Z8&amp;"-"&amp;AB8</f>
        <v>-</v>
      </c>
      <c r="Z9" s="2648"/>
      <c r="AA9" s="2524"/>
      <c r="AB9" s="2648"/>
      <c r="AC9" s="2524"/>
      <c r="AD9" s="262"/>
      <c r="AE9" s="262"/>
      <c r="AF9" s="262"/>
      <c r="AG9" s="265" t="str">
        <f>AH8&amp;"-"&amp;AJ8</f>
        <v>-</v>
      </c>
      <c r="AH9" s="2648"/>
      <c r="AI9" s="2524"/>
      <c r="AJ9" s="2648"/>
      <c r="AK9" s="2524"/>
      <c r="AL9" s="262"/>
      <c r="AM9" s="2666"/>
      <c r="AO9" s="436"/>
      <c r="AP9" s="436" t="str">
        <f t="shared" si="0"/>
        <v/>
      </c>
      <c r="AQ9" s="436"/>
      <c r="AR9" s="436"/>
      <c r="AS9" s="1073">
        <v>0</v>
      </c>
    </row>
    <row r="10" spans="1:45" ht="15" hidden="1" customHeight="1">
      <c r="A10" s="1281"/>
      <c r="B10" s="1281"/>
      <c r="C10" s="1281"/>
      <c r="D10" s="1281"/>
      <c r="E10" s="2643"/>
      <c r="F10" s="2643"/>
      <c r="G10" s="2643"/>
      <c r="H10" s="2643"/>
      <c r="I10" s="2645"/>
      <c r="J10" s="2644"/>
      <c r="K10" s="1281"/>
      <c r="L10" s="1282"/>
      <c r="M10" s="473"/>
      <c r="N10" s="1284"/>
      <c r="P10" s="2646"/>
      <c r="Q10" s="2646"/>
      <c r="R10" s="292"/>
      <c r="S10" s="1196"/>
      <c r="T10" s="225" t="s">
        <v>402</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643"/>
      <c r="F11" s="2643"/>
      <c r="G11" s="2643"/>
      <c r="H11" s="2643"/>
      <c r="I11" s="2644"/>
      <c r="J11" s="1281"/>
      <c r="K11" s="1281"/>
      <c r="L11" s="1282"/>
      <c r="M11" s="473"/>
      <c r="P11" s="2646"/>
      <c r="Q11" s="1249"/>
      <c r="R11" s="292"/>
      <c r="S11" s="1196"/>
      <c r="T11" s="224"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643"/>
      <c r="F12" s="2643"/>
      <c r="G12" s="2643"/>
      <c r="H12" s="2642"/>
      <c r="I12" s="1281"/>
      <c r="J12" s="1281"/>
      <c r="K12" s="1281"/>
      <c r="L12" s="1282"/>
      <c r="M12" s="1283"/>
      <c r="N12" s="1283"/>
      <c r="O12" s="473"/>
      <c r="P12" s="296"/>
      <c r="Q12" s="311"/>
      <c r="R12" s="291"/>
      <c r="S12" s="1196"/>
      <c r="T12" s="301" t="s">
        <v>404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407" customFormat="1" ht="0.75" hidden="1" customHeight="1">
      <c r="A13" s="1232"/>
      <c r="B13" s="1232"/>
      <c r="C13" s="1232"/>
      <c r="D13" s="1232"/>
      <c r="E13" s="2643"/>
      <c r="F13" s="2643"/>
      <c r="G13" s="2642"/>
      <c r="H13" s="1232"/>
      <c r="I13" s="1232"/>
      <c r="J13" s="1232"/>
      <c r="K13" s="1232"/>
      <c r="L13" s="1257"/>
      <c r="M13" s="1233"/>
      <c r="N13" s="1233"/>
      <c r="P13" s="1234"/>
      <c r="Q13" s="1235"/>
      <c r="R13" s="1234"/>
      <c r="S13" s="1236"/>
      <c r="T13" s="1237" t="s">
        <v>405</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7" customFormat="1" ht="0.75" hidden="1" customHeight="1">
      <c r="A14" s="1232"/>
      <c r="B14" s="1232"/>
      <c r="C14" s="1232"/>
      <c r="D14" s="1232"/>
      <c r="E14" s="2643"/>
      <c r="F14" s="2642"/>
      <c r="G14" s="1232"/>
      <c r="H14" s="1232"/>
      <c r="I14" s="1232"/>
      <c r="J14" s="1232"/>
      <c r="K14" s="1232"/>
      <c r="L14" s="1257"/>
      <c r="M14" s="1239"/>
      <c r="N14" s="1239"/>
      <c r="P14" s="1234"/>
      <c r="Q14" s="1235"/>
      <c r="R14" s="1234"/>
      <c r="S14" s="1240"/>
      <c r="T14" s="1241" t="s">
        <v>406</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7" customFormat="1" ht="0.75" hidden="1" customHeight="1">
      <c r="A15" s="1232"/>
      <c r="B15" s="1232"/>
      <c r="C15" s="1232"/>
      <c r="D15" s="1232"/>
      <c r="E15" s="2642"/>
      <c r="F15" s="1232"/>
      <c r="G15" s="1232"/>
      <c r="H15" s="1232"/>
      <c r="I15" s="1232"/>
      <c r="J15" s="1232"/>
      <c r="K15" s="1232"/>
      <c r="L15" s="1257"/>
      <c r="M15" s="1239"/>
      <c r="N15" s="1239"/>
      <c r="P15" s="1234"/>
      <c r="Q15" s="1235"/>
      <c r="R15" s="1234"/>
      <c r="S15" s="1240"/>
      <c r="T15" s="1243" t="s">
        <v>407</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640"/>
      <c r="AI17" s="2639" t="s">
        <v>65</v>
      </c>
      <c r="AJ17" s="2640"/>
      <c r="AK17" s="2639" t="s">
        <v>65</v>
      </c>
      <c r="AS17" s="1073">
        <v>0</v>
      </c>
    </row>
    <row r="18" spans="1:45" ht="14.25" hidden="1" customHeight="1">
      <c r="AD18" s="1278"/>
      <c r="AE18" s="1278"/>
      <c r="AF18" s="1278"/>
      <c r="AG18" s="265" t="str">
        <f>AH17&amp;"-"&amp;AJ17</f>
        <v>-</v>
      </c>
      <c r="AH18" s="2639"/>
      <c r="AI18" s="2639"/>
      <c r="AJ18" s="2639"/>
      <c r="AK18" s="2639"/>
      <c r="AS18" s="1073">
        <v>0</v>
      </c>
    </row>
    <row r="19" spans="1:45" ht="14.25" hidden="1" customHeight="1">
      <c r="AK19" s="264"/>
      <c r="AS19" s="1073">
        <v>0</v>
      </c>
    </row>
    <row r="20" spans="1:45" s="2406" customFormat="1" ht="22.5" hidden="1" customHeight="1">
      <c r="L20" s="1247"/>
      <c r="M20" s="1280"/>
      <c r="N20" s="1280"/>
      <c r="O20" s="1285" t="s">
        <v>408</v>
      </c>
      <c r="P20" s="1280"/>
      <c r="Q20" s="1289"/>
      <c r="R20" s="1289"/>
      <c r="S20" s="665"/>
      <c r="Z20" s="1285"/>
      <c r="AB20" s="1285"/>
      <c r="AC20" s="1284"/>
      <c r="AH20" s="1285"/>
      <c r="AJ20" s="1285"/>
      <c r="AK20" s="1284"/>
      <c r="AN20" s="447"/>
      <c r="AO20" s="447"/>
      <c r="AP20" s="447"/>
      <c r="AQ20" s="447"/>
      <c r="AR20" s="447"/>
      <c r="AS20" s="1078">
        <v>0</v>
      </c>
    </row>
    <row r="21" spans="1:45" s="240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6" customFormat="1" ht="14.25" hidden="1" customHeight="1">
      <c r="L22" s="1247"/>
      <c r="M22" s="1280"/>
      <c r="N22" s="1280"/>
      <c r="O22" s="1282" t="s">
        <v>409</v>
      </c>
      <c r="P22" s="1280"/>
      <c r="Q22" s="1289"/>
      <c r="R22" s="1289"/>
      <c r="S22" s="665"/>
      <c r="T22" s="1078" t="s">
        <v>410</v>
      </c>
      <c r="AA22" s="123" t="s">
        <v>411</v>
      </c>
      <c r="AC22" s="123" t="s">
        <v>412</v>
      </c>
      <c r="AD22" s="1078" t="s">
        <v>410</v>
      </c>
      <c r="AI22" s="123" t="s">
        <v>413</v>
      </c>
      <c r="AK22" s="123" t="s">
        <v>412</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14.65" customHeight="1">
      <c r="Q26" s="312"/>
      <c r="R26" s="312"/>
      <c r="S26" s="26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3"/>
      <c r="U26" s="2623"/>
      <c r="V26" s="2623"/>
      <c r="W26" s="2623"/>
      <c r="X26" s="2623"/>
      <c r="Y26" s="2623"/>
      <c r="Z26" s="2623"/>
      <c r="AA26" s="2623"/>
      <c r="AB26" s="2623"/>
      <c r="AC26" s="2623"/>
      <c r="AD26" s="2623"/>
      <c r="AE26" s="2623"/>
      <c r="AF26" s="2623"/>
      <c r="AG26" s="2623"/>
      <c r="AH26" s="2623"/>
      <c r="AI26" s="2623"/>
      <c r="AJ26" s="2623"/>
      <c r="AK26" s="1161"/>
      <c r="AS26" s="1073">
        <v>14</v>
      </c>
    </row>
    <row r="27" spans="1:45" ht="14.65" customHeight="1">
      <c r="Q27" s="312"/>
      <c r="R27" s="312"/>
      <c r="S27" s="2595" t="str">
        <f>IF(org=0,"Не определено",org)</f>
        <v>ПАО "ТГК-1" (филиал "Кольский")</v>
      </c>
      <c r="T27" s="2595"/>
      <c r="U27" s="2595"/>
      <c r="V27" s="2595"/>
      <c r="W27" s="2595"/>
      <c r="X27" s="2595"/>
      <c r="Y27" s="2595"/>
      <c r="Z27" s="2595"/>
      <c r="AA27" s="2595"/>
      <c r="AB27" s="2595"/>
      <c r="AC27" s="2595"/>
      <c r="AD27" s="2595"/>
      <c r="AE27" s="2595"/>
      <c r="AF27" s="2595"/>
      <c r="AG27" s="2595"/>
      <c r="AH27" s="2595"/>
      <c r="AI27" s="2595"/>
      <c r="AJ27" s="2595"/>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6" customFormat="1" ht="25.5" hidden="1" customHeight="1">
      <c r="A29" s="1286"/>
      <c r="B29" s="1286"/>
      <c r="C29" s="1286"/>
      <c r="D29" s="1286"/>
      <c r="E29" s="1286"/>
      <c r="F29" s="1286"/>
      <c r="G29" s="1286"/>
      <c r="H29" s="1286"/>
      <c r="I29" s="1286"/>
      <c r="J29" s="1286"/>
      <c r="K29" s="1286"/>
      <c r="L29" s="1287"/>
      <c r="M29" s="1286"/>
      <c r="N29" s="1286"/>
      <c r="O29" s="1286"/>
      <c r="S29" s="2633" t="s">
        <v>41</v>
      </c>
      <c r="T29" s="2633"/>
      <c r="U29" s="1290"/>
      <c r="V29" s="2635" t="str">
        <f>IF(TITLE_NAME_OR_PR_CHANGE="",IF(TITLE_NAME_OR_PR="","",TITLE_NAME_OR_PR),TITLE_NAME_OR_PR_CHANGE)</f>
        <v/>
      </c>
      <c r="W29" s="2635"/>
      <c r="X29" s="2635"/>
      <c r="Y29" s="2635"/>
      <c r="Z29" s="2635"/>
      <c r="AA29" s="2635"/>
      <c r="AB29" s="2635"/>
      <c r="AC29" s="263"/>
      <c r="AD29" s="2635" t="str">
        <f>IF(TITLE_NAME_OR_PR_CHANGE="",IF(TITLE_NAME_OR_PR="","",TITLE_NAME_OR_PR),TITLE_NAME_OR_PR_CHANGE)</f>
        <v/>
      </c>
      <c r="AE29" s="2635"/>
      <c r="AF29" s="2635"/>
      <c r="AG29" s="2635"/>
      <c r="AH29" s="2635"/>
      <c r="AI29" s="2635"/>
      <c r="AJ29" s="2635"/>
      <c r="AK29" s="263"/>
      <c r="AL29" s="263"/>
      <c r="AM29" s="217"/>
      <c r="AN29" s="304"/>
      <c r="AO29" s="304"/>
      <c r="AP29" s="304"/>
      <c r="AQ29" s="304"/>
      <c r="AR29" s="304"/>
      <c r="AS29" s="354">
        <v>0</v>
      </c>
    </row>
    <row r="30" spans="1:45" s="2416" customFormat="1" ht="18.75" hidden="1" customHeight="1">
      <c r="A30" s="1286"/>
      <c r="B30" s="1286"/>
      <c r="C30" s="1286"/>
      <c r="D30" s="1286"/>
      <c r="E30" s="1286"/>
      <c r="F30" s="1286"/>
      <c r="G30" s="1286"/>
      <c r="H30" s="1286"/>
      <c r="I30" s="1286"/>
      <c r="J30" s="1286"/>
      <c r="K30" s="1286"/>
      <c r="L30" s="1287"/>
      <c r="M30" s="1286"/>
      <c r="N30" s="1286"/>
      <c r="O30" s="1286"/>
      <c r="S30" s="2633" t="s">
        <v>414</v>
      </c>
      <c r="T30" s="2633"/>
      <c r="U30" s="1290"/>
      <c r="V30" s="2634" t="str">
        <f>IF(TITLE_DATE_PR_CHANGE="",IF(TITLE_DATE_PR="","",TITLE_DATE_PR),TITLE_DATE_PR_CHANGE)</f>
        <v/>
      </c>
      <c r="W30" s="2634"/>
      <c r="X30" s="2634"/>
      <c r="Y30" s="2634"/>
      <c r="Z30" s="2634"/>
      <c r="AA30" s="2634"/>
      <c r="AB30" s="2634"/>
      <c r="AC30" s="263"/>
      <c r="AD30" s="2634" t="str">
        <f>IF(TITLE_DATE_PR_CHANGE="",IF(TITLE_DATE_PR="","",TITLE_DATE_PR),TITLE_DATE_PR_CHANGE)</f>
        <v/>
      </c>
      <c r="AE30" s="2634"/>
      <c r="AF30" s="2634"/>
      <c r="AG30" s="2634"/>
      <c r="AH30" s="2634"/>
      <c r="AI30" s="2634"/>
      <c r="AJ30" s="2634"/>
      <c r="AK30" s="263"/>
      <c r="AL30" s="263"/>
      <c r="AM30" s="217"/>
      <c r="AN30" s="304"/>
      <c r="AO30" s="304"/>
      <c r="AP30" s="304"/>
      <c r="AQ30" s="304"/>
      <c r="AR30" s="304"/>
      <c r="AS30" s="354">
        <v>0</v>
      </c>
    </row>
    <row r="31" spans="1:45" s="2416" customFormat="1" ht="18.75" hidden="1" customHeight="1">
      <c r="A31" s="1286"/>
      <c r="B31" s="1286"/>
      <c r="C31" s="1286"/>
      <c r="D31" s="1286"/>
      <c r="E31" s="1286"/>
      <c r="F31" s="1286"/>
      <c r="G31" s="1286"/>
      <c r="H31" s="1286"/>
      <c r="I31" s="1286"/>
      <c r="J31" s="1286"/>
      <c r="K31" s="1286"/>
      <c r="L31" s="1287"/>
      <c r="M31" s="1286"/>
      <c r="N31" s="1286"/>
      <c r="O31" s="1286"/>
      <c r="S31" s="2633" t="s">
        <v>415</v>
      </c>
      <c r="T31" s="2633"/>
      <c r="U31" s="1290"/>
      <c r="V31" s="2635" t="str">
        <f>IF(TITLE_NUMBER_PR_CHANGE="",IF(TITLE_NUMBER_PR="","",TITLE_NUMBER_PR),TITLE_NUMBER_PR_CHANGE)</f>
        <v/>
      </c>
      <c r="W31" s="2635"/>
      <c r="X31" s="2635"/>
      <c r="Y31" s="2635"/>
      <c r="Z31" s="2635"/>
      <c r="AA31" s="2635"/>
      <c r="AB31" s="2635"/>
      <c r="AC31" s="263"/>
      <c r="AD31" s="2635" t="str">
        <f>IF(TITLE_NUMBER_PR_CHANGE="",IF(TITLE_NUMBER_PR="","",TITLE_NUMBER_PR),TITLE_NUMBER_PR_CHANGE)</f>
        <v/>
      </c>
      <c r="AE31" s="2635"/>
      <c r="AF31" s="2635"/>
      <c r="AG31" s="2635"/>
      <c r="AH31" s="2635"/>
      <c r="AI31" s="2635"/>
      <c r="AJ31" s="2635"/>
      <c r="AK31" s="263"/>
      <c r="AL31" s="263"/>
      <c r="AM31" s="217"/>
      <c r="AN31" s="304"/>
      <c r="AO31" s="304"/>
      <c r="AP31" s="304"/>
      <c r="AQ31" s="304"/>
      <c r="AR31" s="304"/>
      <c r="AS31" s="354">
        <v>0</v>
      </c>
    </row>
    <row r="32" spans="1:45" s="2416" customFormat="1" ht="18.75" hidden="1" customHeight="1">
      <c r="A32" s="1286"/>
      <c r="B32" s="1286"/>
      <c r="C32" s="1286"/>
      <c r="D32" s="1286"/>
      <c r="E32" s="1286"/>
      <c r="F32" s="1286"/>
      <c r="G32" s="1286"/>
      <c r="H32" s="1286"/>
      <c r="I32" s="1286"/>
      <c r="J32" s="1286"/>
      <c r="K32" s="1286"/>
      <c r="L32" s="1287"/>
      <c r="M32" s="1286"/>
      <c r="N32" s="1286"/>
      <c r="O32" s="1286"/>
      <c r="S32" s="2633" t="s">
        <v>42</v>
      </c>
      <c r="T32" s="2633"/>
      <c r="U32" s="1290"/>
      <c r="V32" s="2635" t="str">
        <f>IF(TITLE_IST_PUB_CHANGE="",IF(TITLE_IST_PUB="","",TITLE_IST_PUB),TITLE_IST_PUB_CHANGE)</f>
        <v/>
      </c>
      <c r="W32" s="2635"/>
      <c r="X32" s="2635"/>
      <c r="Y32" s="2635"/>
      <c r="Z32" s="2635"/>
      <c r="AA32" s="2635"/>
      <c r="AB32" s="2635"/>
      <c r="AC32" s="263"/>
      <c r="AD32" s="2635" t="str">
        <f>IF(TITLE_IST_PUB_CHANGE="",IF(TITLE_IST_PUB="","",TITLE_IST_PUB),TITLE_IST_PUB_CHANGE)</f>
        <v/>
      </c>
      <c r="AE32" s="2635"/>
      <c r="AF32" s="2635"/>
      <c r="AG32" s="2635"/>
      <c r="AH32" s="2635"/>
      <c r="AI32" s="2635"/>
      <c r="AJ32" s="2635"/>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6" customFormat="1" ht="18.75" hidden="1" customHeight="1">
      <c r="A34" s="1286"/>
      <c r="B34" s="1286"/>
      <c r="C34" s="1286"/>
      <c r="D34" s="1286"/>
      <c r="E34" s="1286"/>
      <c r="F34" s="1286"/>
      <c r="G34" s="1286"/>
      <c r="H34" s="1286"/>
      <c r="I34" s="1286"/>
      <c r="J34" s="1286"/>
      <c r="K34" s="1286"/>
      <c r="L34" s="1287"/>
      <c r="M34" s="1286"/>
      <c r="N34" s="1286"/>
      <c r="O34" s="1286"/>
      <c r="S34" s="2633" t="s">
        <v>416</v>
      </c>
      <c r="T34" s="2633"/>
      <c r="U34" s="1290"/>
      <c r="V34" s="2634" t="str">
        <f>IF(TITLE_DATE_PR_CHANGE="",IF(TITLE_DATE_PR="","",TITLE_DATE_PR),TITLE_DATE_PR_CHANGE)</f>
        <v/>
      </c>
      <c r="W34" s="2634"/>
      <c r="X34" s="2634"/>
      <c r="Y34" s="2634"/>
      <c r="Z34" s="2634"/>
      <c r="AA34" s="2634"/>
      <c r="AB34" s="2634"/>
      <c r="AC34" s="263"/>
      <c r="AD34" s="2634" t="str">
        <f>IF(TITLE_DATE_PR_CHANGE="",IF(TITLE_DATE_PR="","",TITLE_DATE_PR),TITLE_DATE_PR_CHANGE)</f>
        <v/>
      </c>
      <c r="AE34" s="2634"/>
      <c r="AF34" s="2634"/>
      <c r="AG34" s="2634"/>
      <c r="AH34" s="2634"/>
      <c r="AI34" s="2634"/>
      <c r="AJ34" s="2634"/>
      <c r="AK34" s="263"/>
      <c r="AL34" s="263"/>
      <c r="AM34" s="217"/>
      <c r="AN34" s="304"/>
      <c r="AO34" s="304"/>
      <c r="AP34" s="304"/>
      <c r="AQ34" s="304"/>
      <c r="AR34" s="304"/>
      <c r="AS34" s="354">
        <v>0</v>
      </c>
    </row>
    <row r="35" spans="1:45" s="2416" customFormat="1" ht="18.75" hidden="1" customHeight="1">
      <c r="A35" s="1286"/>
      <c r="B35" s="1286"/>
      <c r="C35" s="1286"/>
      <c r="D35" s="1286"/>
      <c r="E35" s="1286"/>
      <c r="F35" s="1286"/>
      <c r="G35" s="1286"/>
      <c r="H35" s="1286"/>
      <c r="I35" s="1286"/>
      <c r="J35" s="1286"/>
      <c r="K35" s="1286"/>
      <c r="L35" s="1287"/>
      <c r="M35" s="1286"/>
      <c r="N35" s="1286"/>
      <c r="O35" s="1286"/>
      <c r="S35" s="2633" t="s">
        <v>417</v>
      </c>
      <c r="T35" s="2633"/>
      <c r="U35" s="1290"/>
      <c r="V35" s="2635" t="str">
        <f>IF(TITLE_NUMBER_PR_CHANGE="",IF(TITLE_NUMBER_PR="","",TITLE_NUMBER_PR),TITLE_NUMBER_PR_CHANGE)</f>
        <v/>
      </c>
      <c r="W35" s="2635"/>
      <c r="X35" s="2635"/>
      <c r="Y35" s="2635"/>
      <c r="Z35" s="2635"/>
      <c r="AA35" s="2635"/>
      <c r="AB35" s="2635"/>
      <c r="AC35" s="263"/>
      <c r="AD35" s="2635" t="str">
        <f>IF(TITLE_NUMBER_PR_CHANGE="",IF(TITLE_NUMBER_PR="","",TITLE_NUMBER_PR),TITLE_NUMBER_PR_CHANGE)</f>
        <v/>
      </c>
      <c r="AE35" s="2635"/>
      <c r="AF35" s="2635"/>
      <c r="AG35" s="2635"/>
      <c r="AH35" s="2635"/>
      <c r="AI35" s="2635"/>
      <c r="AJ35" s="2635"/>
      <c r="AK35" s="263"/>
      <c r="AL35" s="263"/>
      <c r="AM35" s="217"/>
      <c r="AN35" s="304"/>
      <c r="AO35" s="304"/>
      <c r="AP35" s="304"/>
      <c r="AQ35" s="304"/>
      <c r="AR35" s="304"/>
      <c r="AS35" s="354">
        <v>0</v>
      </c>
    </row>
    <row r="36" spans="1:45" s="2416"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418</v>
      </c>
      <c r="AD36" s="263"/>
      <c r="AE36" s="263"/>
      <c r="AF36" s="263"/>
      <c r="AG36" s="263"/>
      <c r="AH36" s="263"/>
      <c r="AI36" s="263"/>
      <c r="AJ36" s="263"/>
      <c r="AK36" s="215" t="s">
        <v>418</v>
      </c>
      <c r="AN36" s="304"/>
      <c r="AO36" s="304"/>
      <c r="AP36" s="304"/>
      <c r="AQ36" s="304"/>
      <c r="AR36" s="304"/>
      <c r="AS36" s="354">
        <v>0</v>
      </c>
    </row>
    <row r="37" spans="1:45" ht="14.65" customHeight="1">
      <c r="Q37" s="312"/>
      <c r="R37" s="312"/>
      <c r="S37" s="1193"/>
      <c r="T37" s="299"/>
      <c r="U37" s="1162"/>
      <c r="V37" s="2654"/>
      <c r="W37" s="2654"/>
      <c r="X37" s="2654"/>
      <c r="Y37" s="2654"/>
      <c r="Z37" s="2654"/>
      <c r="AA37" s="2654"/>
      <c r="AB37" s="2654"/>
      <c r="AC37" s="2654"/>
      <c r="AD37" s="2654"/>
      <c r="AE37" s="2654"/>
      <c r="AF37" s="2654"/>
      <c r="AG37" s="2654"/>
      <c r="AH37" s="2654"/>
      <c r="AI37" s="2654"/>
      <c r="AJ37" s="2654"/>
      <c r="AK37" s="2654"/>
      <c r="AS37" s="1073">
        <v>14</v>
      </c>
    </row>
    <row r="38" spans="1:45" ht="14.65" customHeight="1">
      <c r="Q38" s="312"/>
      <c r="R38" s="312"/>
      <c r="S38" s="2514" t="s">
        <v>291</v>
      </c>
      <c r="T38" s="2514"/>
      <c r="U38" s="2514"/>
      <c r="V38" s="2514"/>
      <c r="W38" s="2514"/>
      <c r="X38" s="2514"/>
      <c r="Y38" s="2514"/>
      <c r="Z38" s="2514"/>
      <c r="AA38" s="2514"/>
      <c r="AB38" s="2514"/>
      <c r="AC38" s="2514"/>
      <c r="AD38" s="2514"/>
      <c r="AE38" s="2514"/>
      <c r="AF38" s="2514"/>
      <c r="AG38" s="2514"/>
      <c r="AH38" s="2514"/>
      <c r="AI38" s="2514"/>
      <c r="AJ38" s="2514"/>
      <c r="AK38" s="2514"/>
      <c r="AL38" s="2514"/>
      <c r="AM38" s="2514" t="s">
        <v>292</v>
      </c>
      <c r="AS38" s="1073">
        <v>14</v>
      </c>
    </row>
    <row r="39" spans="1:45" ht="14.65" customHeight="1">
      <c r="Q39" s="312"/>
      <c r="R39" s="312"/>
      <c r="S39" s="2655" t="s">
        <v>84</v>
      </c>
      <c r="T39" s="2603" t="s">
        <v>419</v>
      </c>
      <c r="U39" s="238"/>
      <c r="V39" s="2656" t="s">
        <v>420</v>
      </c>
      <c r="W39" s="2657"/>
      <c r="X39" s="2657"/>
      <c r="Y39" s="2657"/>
      <c r="Z39" s="2657"/>
      <c r="AA39" s="2657"/>
      <c r="AB39" s="2658"/>
      <c r="AC39" s="2659" t="s">
        <v>421</v>
      </c>
      <c r="AD39" s="2656" t="s">
        <v>420</v>
      </c>
      <c r="AE39" s="2657"/>
      <c r="AF39" s="2657"/>
      <c r="AG39" s="2657"/>
      <c r="AH39" s="2657"/>
      <c r="AI39" s="2657"/>
      <c r="AJ39" s="2658"/>
      <c r="AK39" s="2659" t="s">
        <v>422</v>
      </c>
      <c r="AL39" s="2662" t="s">
        <v>423</v>
      </c>
      <c r="AM39" s="2514"/>
      <c r="AS39" s="1073">
        <v>14</v>
      </c>
    </row>
    <row r="40" spans="1:45" ht="35.65" customHeight="1">
      <c r="Q40" s="312"/>
      <c r="R40" s="312"/>
      <c r="S40" s="2655"/>
      <c r="T40" s="2603"/>
      <c r="U40" s="954"/>
      <c r="V40" s="2573" t="s">
        <v>424</v>
      </c>
      <c r="W40" s="2651" t="s">
        <v>425</v>
      </c>
      <c r="X40" s="2496" t="s">
        <v>426</v>
      </c>
      <c r="Y40" s="2495"/>
      <c r="Z40" s="2496" t="s">
        <v>440</v>
      </c>
      <c r="AA40" s="2501"/>
      <c r="AB40" s="2495"/>
      <c r="AC40" s="2660"/>
      <c r="AD40" s="2573" t="s">
        <v>424</v>
      </c>
      <c r="AE40" s="2651" t="s">
        <v>425</v>
      </c>
      <c r="AF40" s="2496" t="s">
        <v>426</v>
      </c>
      <c r="AG40" s="2495"/>
      <c r="AH40" s="2496" t="s">
        <v>427</v>
      </c>
      <c r="AI40" s="2501"/>
      <c r="AJ40" s="2495"/>
      <c r="AK40" s="2660"/>
      <c r="AL40" s="2663"/>
      <c r="AM40" s="2514"/>
      <c r="AS40" s="1073">
        <v>34</v>
      </c>
    </row>
    <row r="41" spans="1:45" ht="35.65" customHeight="1">
      <c r="A41" s="1288"/>
      <c r="B41" s="1288" t="s">
        <v>128</v>
      </c>
      <c r="C41" s="1288" t="s">
        <v>129</v>
      </c>
      <c r="D41" s="1288" t="s">
        <v>130</v>
      </c>
      <c r="E41" s="1282" t="s">
        <v>428</v>
      </c>
      <c r="F41" s="1282" t="s">
        <v>429</v>
      </c>
      <c r="G41" s="1282" t="s">
        <v>430</v>
      </c>
      <c r="H41" s="1282" t="s">
        <v>431</v>
      </c>
      <c r="I41" s="1282" t="s">
        <v>432</v>
      </c>
      <c r="J41" s="1282" t="s">
        <v>433</v>
      </c>
      <c r="K41" s="1282" t="s">
        <v>434</v>
      </c>
      <c r="L41" s="1282" t="s">
        <v>409</v>
      </c>
      <c r="Q41" s="312"/>
      <c r="R41" s="312"/>
      <c r="S41" s="2655"/>
      <c r="T41" s="2603"/>
      <c r="U41" s="239"/>
      <c r="V41" s="2628"/>
      <c r="W41" s="2652"/>
      <c r="X41" s="1140" t="s">
        <v>435</v>
      </c>
      <c r="Y41" s="1140" t="s">
        <v>436</v>
      </c>
      <c r="Z41" s="1256" t="s">
        <v>437</v>
      </c>
      <c r="AA41" s="2608" t="s">
        <v>438</v>
      </c>
      <c r="AB41" s="2622"/>
      <c r="AC41" s="2661"/>
      <c r="AD41" s="2628"/>
      <c r="AE41" s="2652"/>
      <c r="AF41" s="1140" t="s">
        <v>435</v>
      </c>
      <c r="AG41" s="1140" t="s">
        <v>436</v>
      </c>
      <c r="AH41" s="1256" t="s">
        <v>437</v>
      </c>
      <c r="AI41" s="2608" t="s">
        <v>438</v>
      </c>
      <c r="AJ41" s="2622"/>
      <c r="AK41" s="2661"/>
      <c r="AL41" s="2664"/>
      <c r="AM41" s="2514"/>
      <c r="AS41" s="1073">
        <v>34</v>
      </c>
    </row>
    <row r="42" spans="1:45" s="243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102</v>
      </c>
      <c r="T42" s="1173" t="s">
        <v>103</v>
      </c>
      <c r="U42" s="1163" t="str">
        <f ca="1">OFFSET(U42,0,-1)</f>
        <v>2</v>
      </c>
      <c r="V42" s="1253">
        <f ca="1">OFFSET(V42,0,-1)+1</f>
        <v>3</v>
      </c>
      <c r="W42" s="1253"/>
      <c r="X42" s="1253">
        <f ca="1">OFFSET(X42,0,-1)+1</f>
        <v>1</v>
      </c>
      <c r="Y42" s="1253">
        <f ca="1">OFFSET(Y42,0,-1)+1</f>
        <v>2</v>
      </c>
      <c r="Z42" s="1253">
        <f ca="1">OFFSET(Z42,0,-1)+1</f>
        <v>3</v>
      </c>
      <c r="AA42" s="2653">
        <f ca="1">OFFSET(AA42,0,-1)+1</f>
        <v>4</v>
      </c>
      <c r="AB42" s="2653"/>
      <c r="AC42" s="1253">
        <f ca="1">OFFSET(AC42,0,-2)+1</f>
        <v>5</v>
      </c>
      <c r="AD42" s="1253">
        <f ca="1">OFFSET(AD42,0,-1)+1</f>
        <v>6</v>
      </c>
      <c r="AE42" s="1253"/>
      <c r="AF42" s="1253">
        <f ca="1">OFFSET(AF42,0,-1)+1</f>
        <v>1</v>
      </c>
      <c r="AG42" s="1253">
        <f ca="1">OFFSET(AG42,0,-1)+1</f>
        <v>2</v>
      </c>
      <c r="AH42" s="1253">
        <f ca="1">OFFSET(AH42,0,-1)+1</f>
        <v>3</v>
      </c>
      <c r="AI42" s="2653">
        <f ca="1">OFFSET(AI42,0,-1)+1</f>
        <v>4</v>
      </c>
      <c r="AJ42" s="2653"/>
      <c r="AK42" s="1253">
        <f ca="1">OFFSET(AK42,0,-2)+1</f>
        <v>5</v>
      </c>
      <c r="AL42" s="1163">
        <f ca="1">OFFSET(AL42,0,-1)</f>
        <v>5</v>
      </c>
      <c r="AM42" s="1253">
        <f ca="1">OFFSET(AM42,0,-1)+1</f>
        <v>6</v>
      </c>
      <c r="AN42" s="447"/>
      <c r="AO42" s="447"/>
      <c r="AP42" s="447"/>
      <c r="AQ42" s="447"/>
      <c r="AR42" s="447"/>
      <c r="AS42" s="432">
        <v>0</v>
      </c>
    </row>
    <row r="43" spans="1:45" ht="21.95" customHeight="1">
      <c r="A43" s="1281" t="s">
        <v>154</v>
      </c>
      <c r="B43" s="1281"/>
      <c r="C43" s="1281"/>
      <c r="D43" s="1281"/>
      <c r="E43" s="2642">
        <v>1</v>
      </c>
      <c r="F43" s="1281"/>
      <c r="G43" s="1281"/>
      <c r="H43" s="1281"/>
      <c r="I43" s="1281"/>
      <c r="J43" s="1281"/>
      <c r="K43" s="1281"/>
      <c r="L43" s="1282"/>
      <c r="M43" s="1283"/>
      <c r="N43" s="1283"/>
      <c r="O43" s="1283"/>
      <c r="P43" s="297"/>
      <c r="Q43" s="296"/>
      <c r="R43" s="291"/>
      <c r="S43" s="1254">
        <f>INDEX(PT_DIFFERENTIATION_NUM_NTAR,MATCH(A43,PT_DIFFERENTIATION_NTAR_ID,0))</f>
        <v>0</v>
      </c>
      <c r="T43" s="235" t="s">
        <v>116</v>
      </c>
      <c r="U43" s="237"/>
      <c r="V43" s="2636"/>
      <c r="W43" s="2637"/>
      <c r="X43" s="2637"/>
      <c r="Y43" s="2637"/>
      <c r="Z43" s="2637"/>
      <c r="AA43" s="2637"/>
      <c r="AB43" s="2637"/>
      <c r="AC43" s="2638"/>
      <c r="AD43" s="2636" t="str">
        <f>INDEX(PT_DIFFERENTIATION_NTAR,MATCH(A43,PT_DIFFERENTIATION_NTAR_ID,0))</f>
        <v/>
      </c>
      <c r="AE43" s="2637"/>
      <c r="AF43" s="2637"/>
      <c r="AG43" s="2637"/>
      <c r="AH43" s="2637"/>
      <c r="AI43" s="2637"/>
      <c r="AJ43" s="2637"/>
      <c r="AK43" s="2637"/>
      <c r="AL43" s="263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154</v>
      </c>
      <c r="B44" s="1281" t="s">
        <v>155</v>
      </c>
      <c r="C44" s="1281"/>
      <c r="D44" s="1281"/>
      <c r="E44" s="2643"/>
      <c r="F44" s="2642">
        <v>1</v>
      </c>
      <c r="G44" s="1281"/>
      <c r="H44" s="1281"/>
      <c r="I44" s="1281"/>
      <c r="J44" s="1281"/>
      <c r="K44" s="1281"/>
      <c r="L44" s="1282"/>
      <c r="M44" s="1283"/>
      <c r="N44" s="1283"/>
      <c r="O44" s="1283"/>
      <c r="P44" s="1250"/>
      <c r="Q44" s="288"/>
      <c r="R44" s="289"/>
      <c r="S44" s="1254" t="str">
        <f>INDEX(PT_DIFFERENTIATION_NUM_TER,MATCH(B44,PT_DIFFERENTIATION_TER_ID,0))</f>
        <v>.</v>
      </c>
      <c r="T44" s="245" t="s">
        <v>388</v>
      </c>
      <c r="U44" s="237"/>
      <c r="V44" s="2636"/>
      <c r="W44" s="2637"/>
      <c r="X44" s="2637"/>
      <c r="Y44" s="2637"/>
      <c r="Z44" s="2637"/>
      <c r="AA44" s="2637"/>
      <c r="AB44" s="2637"/>
      <c r="AC44" s="2638"/>
      <c r="AD44" s="2636" t="str">
        <f>INDEX(PT_DIFFERENTIATION_TER,MATCH(B44,PT_DIFFERENTIATION_TER_ID,0))</f>
        <v/>
      </c>
      <c r="AE44" s="2637"/>
      <c r="AF44" s="2637"/>
      <c r="AG44" s="2637"/>
      <c r="AH44" s="2637"/>
      <c r="AI44" s="2637"/>
      <c r="AJ44" s="2637"/>
      <c r="AK44" s="2637"/>
      <c r="AL44" s="2638"/>
      <c r="AM44" s="1176" t="s">
        <v>389</v>
      </c>
      <c r="AO44" s="436"/>
      <c r="AP44" s="436" t="str">
        <f t="shared" si="1"/>
        <v>Территория действия тарифа</v>
      </c>
      <c r="AQ44" s="436"/>
      <c r="AR44" s="436"/>
      <c r="AS44" s="1073">
        <v>21</v>
      </c>
    </row>
    <row r="45" spans="1:45" ht="24" customHeight="1">
      <c r="A45" s="1281" t="s">
        <v>154</v>
      </c>
      <c r="B45" s="1281" t="s">
        <v>155</v>
      </c>
      <c r="C45" s="1281" t="s">
        <v>156</v>
      </c>
      <c r="D45" s="1281"/>
      <c r="E45" s="2643"/>
      <c r="F45" s="2643"/>
      <c r="G45" s="2642">
        <v>1</v>
      </c>
      <c r="H45" s="1281"/>
      <c r="I45" s="1281"/>
      <c r="J45" s="1281"/>
      <c r="K45" s="1281"/>
      <c r="L45" s="1282"/>
      <c r="M45" s="1283"/>
      <c r="N45" s="1283"/>
      <c r="O45" s="1283"/>
      <c r="P45" s="290"/>
      <c r="Q45" s="288"/>
      <c r="R45" s="289"/>
      <c r="S45" s="1254" t="str">
        <f>INDEX(PT_DIFFERENTIATION_NUM_CS,MATCH(C45,PT_DIFFERENTIATION_CS_ID,0))</f>
        <v>..</v>
      </c>
      <c r="T45" s="246" t="s">
        <v>390</v>
      </c>
      <c r="U45" s="237"/>
      <c r="V45" s="2636"/>
      <c r="W45" s="2637"/>
      <c r="X45" s="2637"/>
      <c r="Y45" s="2637"/>
      <c r="Z45" s="2637"/>
      <c r="AA45" s="2637"/>
      <c r="AB45" s="2637"/>
      <c r="AC45" s="2638"/>
      <c r="AD45" s="2636" t="str">
        <f>INDEX(PT_DIFFERENTIATION_CS,MATCH(C45,PT_DIFFERENTIATION_CS_ID,0))</f>
        <v/>
      </c>
      <c r="AE45" s="2637"/>
      <c r="AF45" s="2637"/>
      <c r="AG45" s="2637"/>
      <c r="AH45" s="2637"/>
      <c r="AI45" s="2637"/>
      <c r="AJ45" s="2637"/>
      <c r="AK45" s="2637"/>
      <c r="AL45" s="2638"/>
      <c r="AM45" s="1176" t="s">
        <v>391</v>
      </c>
      <c r="AO45" s="436"/>
      <c r="AP45" s="436" t="str">
        <f t="shared" si="1"/>
        <v xml:space="preserve">Наименование системы теплоснабжения </v>
      </c>
      <c r="AQ45" s="436"/>
      <c r="AR45" s="436"/>
      <c r="AS45" s="1073">
        <v>23</v>
      </c>
    </row>
    <row r="46" spans="1:45" ht="21.95" customHeight="1">
      <c r="A46" s="1281" t="s">
        <v>154</v>
      </c>
      <c r="B46" s="1281" t="s">
        <v>155</v>
      </c>
      <c r="C46" s="1281" t="s">
        <v>156</v>
      </c>
      <c r="D46" s="1281" t="s">
        <v>157</v>
      </c>
      <c r="E46" s="2643"/>
      <c r="F46" s="2643"/>
      <c r="G46" s="2643"/>
      <c r="H46" s="2642">
        <v>1</v>
      </c>
      <c r="I46" s="1281"/>
      <c r="J46" s="1281"/>
      <c r="K46" s="1281"/>
      <c r="L46" s="1282"/>
      <c r="M46" s="1283"/>
      <c r="N46" s="1283"/>
      <c r="O46" s="1283"/>
      <c r="P46" s="290"/>
      <c r="Q46" s="288"/>
      <c r="R46" s="289"/>
      <c r="S46" s="1254" t="str">
        <f>INDEX(PT_DIFFERENTIATION_NUM_IST_TE,MATCH(D46,PT_DIFFERENTIATION_IST_TE_ID,0))</f>
        <v>...</v>
      </c>
      <c r="T46" s="247" t="s">
        <v>392</v>
      </c>
      <c r="U46" s="237"/>
      <c r="V46" s="2636"/>
      <c r="W46" s="2637"/>
      <c r="X46" s="2637"/>
      <c r="Y46" s="2637"/>
      <c r="Z46" s="2637"/>
      <c r="AA46" s="2637"/>
      <c r="AB46" s="2637"/>
      <c r="AC46" s="2638"/>
      <c r="AD46" s="2636" t="str">
        <f>INDEX(PT_DIFFERENTIATION_IST_TE,MATCH(D46,PT_DIFFERENTIATION_IST_TE_ID,0))</f>
        <v/>
      </c>
      <c r="AE46" s="2637"/>
      <c r="AF46" s="2637"/>
      <c r="AG46" s="2637"/>
      <c r="AH46" s="2637"/>
      <c r="AI46" s="2637"/>
      <c r="AJ46" s="2637"/>
      <c r="AK46" s="2637"/>
      <c r="AL46" s="2638"/>
      <c r="AM46" s="1176" t="s">
        <v>393</v>
      </c>
      <c r="AO46" s="436"/>
      <c r="AP46" s="436" t="str">
        <f t="shared" si="1"/>
        <v xml:space="preserve">Источник тепловой энергии  </v>
      </c>
      <c r="AQ46" s="436"/>
      <c r="AR46" s="436"/>
      <c r="AS46" s="1073">
        <v>21</v>
      </c>
    </row>
    <row r="47" spans="1:45" ht="49.5" customHeight="1">
      <c r="A47" s="1281" t="s">
        <v>154</v>
      </c>
      <c r="B47" s="1281" t="s">
        <v>155</v>
      </c>
      <c r="C47" s="1281" t="s">
        <v>156</v>
      </c>
      <c r="D47" s="1281" t="s">
        <v>157</v>
      </c>
      <c r="E47" s="2643"/>
      <c r="F47" s="2643"/>
      <c r="G47" s="2643"/>
      <c r="H47" s="2643"/>
      <c r="I47" s="2644" t="str">
        <f>S46&amp;".1"</f>
        <v>....1</v>
      </c>
      <c r="J47" s="1281"/>
      <c r="K47" s="1281"/>
      <c r="L47" s="1282" t="s">
        <v>394</v>
      </c>
      <c r="P47" s="2646">
        <v>1</v>
      </c>
      <c r="Q47" s="1249"/>
      <c r="R47" s="292"/>
      <c r="S47" s="1254" t="str">
        <f>$I47</f>
        <v>....1</v>
      </c>
      <c r="T47" s="222" t="s">
        <v>395</v>
      </c>
      <c r="U47" s="237"/>
      <c r="V47" s="2630"/>
      <c r="W47" s="2631"/>
      <c r="X47" s="2631"/>
      <c r="Y47" s="2631"/>
      <c r="Z47" s="2631"/>
      <c r="AA47" s="2631"/>
      <c r="AB47" s="2631"/>
      <c r="AC47" s="2632"/>
      <c r="AD47" s="2630"/>
      <c r="AE47" s="2631"/>
      <c r="AF47" s="2631"/>
      <c r="AG47" s="2631"/>
      <c r="AH47" s="2631"/>
      <c r="AI47" s="2631"/>
      <c r="AJ47" s="2631"/>
      <c r="AK47" s="2631"/>
      <c r="AL47" s="2632"/>
      <c r="AM47" s="1176" t="s">
        <v>396</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154</v>
      </c>
      <c r="B48" s="1281" t="s">
        <v>155</v>
      </c>
      <c r="C48" s="1281" t="s">
        <v>156</v>
      </c>
      <c r="D48" s="1281" t="s">
        <v>157</v>
      </c>
      <c r="E48" s="2643"/>
      <c r="F48" s="2643"/>
      <c r="G48" s="2643"/>
      <c r="H48" s="2643"/>
      <c r="I48" s="2645"/>
      <c r="J48" s="2644" t="str">
        <f>I47&amp;".1"</f>
        <v>....1.1</v>
      </c>
      <c r="K48" s="1281"/>
      <c r="L48" s="1282" t="s">
        <v>397</v>
      </c>
      <c r="P48" s="2646"/>
      <c r="Q48" s="2646">
        <v>1</v>
      </c>
      <c r="R48" s="293"/>
      <c r="S48" s="1254" t="str">
        <f>$J48</f>
        <v>....1.1</v>
      </c>
      <c r="T48" s="223" t="s">
        <v>398</v>
      </c>
      <c r="U48" s="237"/>
      <c r="V48" s="2630"/>
      <c r="W48" s="2631"/>
      <c r="X48" s="2631"/>
      <c r="Y48" s="2631"/>
      <c r="Z48" s="2631"/>
      <c r="AA48" s="2631"/>
      <c r="AB48" s="2631"/>
      <c r="AC48" s="2632"/>
      <c r="AD48" s="2630"/>
      <c r="AE48" s="2631"/>
      <c r="AF48" s="2631"/>
      <c r="AG48" s="2631"/>
      <c r="AH48" s="2631"/>
      <c r="AI48" s="2631"/>
      <c r="AJ48" s="2631"/>
      <c r="AK48" s="2631"/>
      <c r="AL48" s="2632"/>
      <c r="AM48" s="1176" t="s">
        <v>399</v>
      </c>
      <c r="AO48" s="436"/>
      <c r="AP48" s="436" t="str">
        <f t="shared" si="1"/>
        <v>Группа потребителей</v>
      </c>
      <c r="AQ48" s="436"/>
      <c r="AR48" s="436"/>
      <c r="AS48" s="1073">
        <v>21</v>
      </c>
    </row>
    <row r="49" spans="1:45" ht="21.95" customHeight="1">
      <c r="A49" s="1281" t="s">
        <v>154</v>
      </c>
      <c r="B49" s="1281" t="s">
        <v>155</v>
      </c>
      <c r="C49" s="1281" t="s">
        <v>156</v>
      </c>
      <c r="D49" s="1281" t="s">
        <v>157</v>
      </c>
      <c r="E49" s="2643"/>
      <c r="F49" s="2643"/>
      <c r="G49" s="2643"/>
      <c r="H49" s="2643"/>
      <c r="I49" s="2645"/>
      <c r="J49" s="2645"/>
      <c r="K49" s="2644" t="str">
        <f>J48&amp;".1"</f>
        <v>....1.1.1</v>
      </c>
      <c r="L49" s="1282" t="s">
        <v>400</v>
      </c>
      <c r="P49" s="2646"/>
      <c r="Q49" s="2646"/>
      <c r="R49" s="293">
        <v>1</v>
      </c>
      <c r="S49" s="1254" t="str">
        <f>$K49</f>
        <v>....1.1.1</v>
      </c>
      <c r="T49" s="1265"/>
      <c r="U49" s="237"/>
      <c r="V49" s="687"/>
      <c r="W49" s="262"/>
      <c r="X49" s="687"/>
      <c r="Y49" s="1175"/>
      <c r="Z49" s="2647"/>
      <c r="AA49" s="2524" t="s">
        <v>65</v>
      </c>
      <c r="AB49" s="2647"/>
      <c r="AC49" s="2524" t="s">
        <v>65</v>
      </c>
      <c r="AD49" s="687"/>
      <c r="AE49" s="262"/>
      <c r="AF49" s="687"/>
      <c r="AG49" s="1175"/>
      <c r="AH49" s="2647"/>
      <c r="AI49" s="2524" t="s">
        <v>65</v>
      </c>
      <c r="AJ49" s="2649"/>
      <c r="AK49" s="2524" t="s">
        <v>65</v>
      </c>
      <c r="AL49" s="1266"/>
      <c r="AM49" s="2665" t="s">
        <v>401</v>
      </c>
      <c r="AN49" s="447" t="e">
        <f ca="1">STRCHECKDATE(V50:AL50)</f>
        <v>#NAME?</v>
      </c>
      <c r="AO49" s="436"/>
      <c r="AP49" s="436" t="str">
        <f t="shared" si="1"/>
        <v/>
      </c>
      <c r="AQ49" s="436"/>
      <c r="AR49" s="436"/>
      <c r="AS49" s="1073">
        <v>21</v>
      </c>
    </row>
    <row r="50" spans="1:45" ht="1.1499999999999999" customHeight="1">
      <c r="A50" s="1281" t="s">
        <v>154</v>
      </c>
      <c r="B50" s="1281" t="s">
        <v>155</v>
      </c>
      <c r="C50" s="1281" t="s">
        <v>156</v>
      </c>
      <c r="D50" s="1281" t="s">
        <v>157</v>
      </c>
      <c r="E50" s="2643"/>
      <c r="F50" s="2643"/>
      <c r="G50" s="2643"/>
      <c r="H50" s="2643"/>
      <c r="I50" s="2645"/>
      <c r="J50" s="2645"/>
      <c r="K50" s="2644"/>
      <c r="L50" s="1282"/>
      <c r="P50" s="2646"/>
      <c r="Q50" s="2646"/>
      <c r="R50" s="293"/>
      <c r="S50" s="1260"/>
      <c r="T50" s="237"/>
      <c r="U50" s="237"/>
      <c r="V50" s="262"/>
      <c r="W50" s="262"/>
      <c r="X50" s="262"/>
      <c r="Y50" s="265" t="str">
        <f>Z49&amp;"-"&amp;AB49</f>
        <v>-</v>
      </c>
      <c r="Z50" s="2648"/>
      <c r="AA50" s="2524"/>
      <c r="AB50" s="2648"/>
      <c r="AC50" s="2524"/>
      <c r="AD50" s="262"/>
      <c r="AE50" s="262"/>
      <c r="AF50" s="262"/>
      <c r="AG50" s="265" t="str">
        <f>AH49&amp;"-"&amp;AJ49</f>
        <v>-</v>
      </c>
      <c r="AH50" s="2648"/>
      <c r="AI50" s="2524"/>
      <c r="AJ50" s="2650"/>
      <c r="AK50" s="2524"/>
      <c r="AL50" s="1267"/>
      <c r="AM50" s="2666"/>
      <c r="AO50" s="436"/>
      <c r="AP50" s="436" t="str">
        <f t="shared" si="1"/>
        <v/>
      </c>
      <c r="AQ50" s="436"/>
      <c r="AR50" s="436"/>
      <c r="AS50" s="1073">
        <v>1</v>
      </c>
    </row>
    <row r="51" spans="1:45" ht="11.45" customHeight="1">
      <c r="A51" s="1281" t="s">
        <v>154</v>
      </c>
      <c r="B51" s="1281" t="s">
        <v>155</v>
      </c>
      <c r="C51" s="1281" t="s">
        <v>156</v>
      </c>
      <c r="D51" s="1281" t="s">
        <v>157</v>
      </c>
      <c r="E51" s="2643"/>
      <c r="F51" s="2643"/>
      <c r="G51" s="2643"/>
      <c r="H51" s="2643"/>
      <c r="I51" s="2645"/>
      <c r="J51" s="2644"/>
      <c r="K51" s="1281"/>
      <c r="L51" s="1282"/>
      <c r="P51" s="2646"/>
      <c r="Q51" s="2646"/>
      <c r="R51" s="292"/>
      <c r="S51" s="1196"/>
      <c r="T51" s="225" t="s">
        <v>402</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73">
        <v>11</v>
      </c>
    </row>
    <row r="52" spans="1:45" ht="11.45" customHeight="1">
      <c r="A52" s="1281" t="s">
        <v>154</v>
      </c>
      <c r="B52" s="1281" t="s">
        <v>155</v>
      </c>
      <c r="C52" s="1281" t="s">
        <v>156</v>
      </c>
      <c r="D52" s="1281" t="s">
        <v>157</v>
      </c>
      <c r="E52" s="2643"/>
      <c r="F52" s="2643"/>
      <c r="G52" s="2643"/>
      <c r="H52" s="2643"/>
      <c r="I52" s="2644"/>
      <c r="J52" s="1281"/>
      <c r="K52" s="1281"/>
      <c r="L52" s="1282"/>
      <c r="P52" s="2646"/>
      <c r="Q52" s="1249"/>
      <c r="R52" s="292"/>
      <c r="S52" s="1196"/>
      <c r="T52" s="224"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154</v>
      </c>
      <c r="B53" s="1281" t="s">
        <v>155</v>
      </c>
      <c r="C53" s="1281" t="s">
        <v>156</v>
      </c>
      <c r="D53" s="1281" t="s">
        <v>157</v>
      </c>
      <c r="E53" s="2643"/>
      <c r="F53" s="2643"/>
      <c r="G53" s="2643"/>
      <c r="H53" s="2642"/>
      <c r="I53" s="1281"/>
      <c r="J53" s="1281"/>
      <c r="K53" s="1281"/>
      <c r="L53" s="1282"/>
      <c r="M53" s="1283"/>
      <c r="N53" s="1283"/>
      <c r="O53" s="473"/>
      <c r="P53" s="296"/>
      <c r="Q53" s="311"/>
      <c r="R53" s="291"/>
      <c r="S53" s="1196"/>
      <c r="T53" s="301" t="s">
        <v>404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407" customFormat="1" ht="1.1499999999999999" customHeight="1">
      <c r="A54" s="1261" t="s">
        <v>154</v>
      </c>
      <c r="B54" s="1261" t="s">
        <v>155</v>
      </c>
      <c r="C54" s="1261" t="s">
        <v>156</v>
      </c>
      <c r="D54" s="1232"/>
      <c r="E54" s="2643"/>
      <c r="F54" s="2643"/>
      <c r="G54" s="2642"/>
      <c r="H54" s="1232"/>
      <c r="I54" s="1232"/>
      <c r="J54" s="1232"/>
      <c r="K54" s="1232"/>
      <c r="L54" s="1257"/>
      <c r="M54" s="1233"/>
      <c r="N54" s="1233"/>
      <c r="P54" s="1234"/>
      <c r="Q54" s="1235"/>
      <c r="R54" s="1234"/>
      <c r="S54" s="1240"/>
      <c r="T54" s="1243" t="s">
        <v>405</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407" customFormat="1" ht="1.1499999999999999" customHeight="1">
      <c r="A55" s="1261" t="s">
        <v>154</v>
      </c>
      <c r="B55" s="1261" t="s">
        <v>155</v>
      </c>
      <c r="C55" s="1232"/>
      <c r="D55" s="1232"/>
      <c r="E55" s="2643"/>
      <c r="F55" s="2642"/>
      <c r="G55" s="1232"/>
      <c r="H55" s="1232"/>
      <c r="I55" s="1232"/>
      <c r="J55" s="1232"/>
      <c r="K55" s="1232"/>
      <c r="L55" s="1257"/>
      <c r="M55" s="1239"/>
      <c r="N55" s="1239"/>
      <c r="P55" s="1234"/>
      <c r="Q55" s="1235"/>
      <c r="R55" s="1234"/>
      <c r="S55" s="1240"/>
      <c r="T55" s="1243" t="s">
        <v>406</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407" customFormat="1" ht="1.1499999999999999" customHeight="1">
      <c r="A56" s="1261" t="s">
        <v>154</v>
      </c>
      <c r="B56" s="1261"/>
      <c r="C56" s="1261"/>
      <c r="D56" s="1261"/>
      <c r="E56" s="2642"/>
      <c r="F56" s="1261"/>
      <c r="G56" s="1261"/>
      <c r="H56" s="1261"/>
      <c r="I56" s="1261"/>
      <c r="J56" s="1261"/>
      <c r="K56" s="1261"/>
      <c r="L56" s="1264"/>
      <c r="M56" s="1239"/>
      <c r="N56" s="1239"/>
      <c r="O56" s="454"/>
      <c r="P56" s="316"/>
      <c r="Q56" s="1262"/>
      <c r="R56" s="316"/>
      <c r="S56" s="1240"/>
      <c r="T56" s="1243" t="s">
        <v>407</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40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439</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641"/>
      <c r="U59" s="2641"/>
      <c r="V59" s="2641"/>
      <c r="W59" s="2641"/>
      <c r="X59" s="2641"/>
      <c r="Y59" s="2641"/>
      <c r="Z59" s="2641"/>
      <c r="AA59" s="2641"/>
      <c r="AB59" s="2641"/>
      <c r="AC59" s="2641"/>
      <c r="AD59" s="2641"/>
      <c r="AE59" s="2641"/>
      <c r="AF59" s="2641"/>
      <c r="AG59" s="2641"/>
      <c r="AH59" s="2641"/>
      <c r="AI59" s="2641"/>
      <c r="AJ59" s="2641"/>
      <c r="AK59" s="2641"/>
      <c r="AL59" s="2641"/>
      <c r="AM59" s="2641"/>
      <c r="AS59" s="1073">
        <v>27</v>
      </c>
    </row>
    <row r="60" spans="1:45" ht="65.25" customHeight="1">
      <c r="O60" s="473"/>
      <c r="T60" s="2641"/>
      <c r="U60" s="2641"/>
      <c r="V60" s="2641"/>
      <c r="W60" s="2641"/>
      <c r="X60" s="2641"/>
      <c r="Y60" s="2641"/>
      <c r="Z60" s="2641"/>
      <c r="AA60" s="2641"/>
      <c r="AB60" s="2641"/>
      <c r="AC60" s="2641"/>
      <c r="AD60" s="2641"/>
      <c r="AE60" s="2641"/>
      <c r="AF60" s="2641"/>
      <c r="AG60" s="2641"/>
      <c r="AH60" s="2641"/>
      <c r="AI60" s="2641"/>
      <c r="AJ60" s="2641"/>
      <c r="AK60" s="2641"/>
      <c r="AL60" s="2641"/>
      <c r="AM60" s="2641"/>
      <c r="AS60" s="1073">
        <v>62</v>
      </c>
    </row>
    <row r="61" spans="1:45" ht="14.65" customHeight="1">
      <c r="O61" s="473"/>
      <c r="AS61" s="1073">
        <v>14</v>
      </c>
    </row>
    <row r="62" spans="1:45" ht="18.75" customHeight="1">
      <c r="O62" s="473"/>
      <c r="S62" s="1171"/>
      <c r="T62" s="2641"/>
      <c r="U62" s="2641"/>
      <c r="V62" s="2641"/>
      <c r="W62" s="2641"/>
      <c r="X62" s="2641"/>
      <c r="Y62" s="2641"/>
      <c r="Z62" s="2641"/>
      <c r="AA62" s="2641"/>
      <c r="AB62" s="2641"/>
      <c r="AC62" s="2641"/>
      <c r="AD62" s="2641"/>
      <c r="AE62" s="2641"/>
      <c r="AF62" s="2641"/>
      <c r="AG62" s="2641"/>
      <c r="AH62" s="2641"/>
      <c r="AI62" s="2641"/>
      <c r="AJ62" s="2641"/>
      <c r="AK62" s="2641"/>
      <c r="AL62" s="2641"/>
      <c r="AM62" s="2641"/>
      <c r="AS62" s="1073">
        <v>18</v>
      </c>
    </row>
    <row r="63" spans="1:45" ht="18.75" customHeight="1">
      <c r="O63" s="473"/>
      <c r="T63" s="2641"/>
      <c r="U63" s="2641"/>
      <c r="V63" s="2641"/>
      <c r="W63" s="2641"/>
      <c r="X63" s="2641"/>
      <c r="Y63" s="2641"/>
      <c r="Z63" s="2641"/>
      <c r="AA63" s="2641"/>
      <c r="AB63" s="2641"/>
      <c r="AC63" s="2641"/>
      <c r="AD63" s="2641"/>
      <c r="AE63" s="2641"/>
      <c r="AF63" s="2641"/>
      <c r="AG63" s="2641"/>
      <c r="AH63" s="2641"/>
      <c r="AI63" s="2641"/>
      <c r="AJ63" s="2641"/>
      <c r="AK63" s="2641"/>
      <c r="AL63" s="2641"/>
      <c r="AM63" s="2641"/>
      <c r="AS63" s="1073">
        <v>18</v>
      </c>
    </row>
    <row r="64" spans="1:45" ht="29.25" customHeight="1">
      <c r="O64" s="473"/>
      <c r="S64" s="1171"/>
      <c r="T64" s="2641"/>
      <c r="U64" s="2641"/>
      <c r="V64" s="2641"/>
      <c r="W64" s="2641"/>
      <c r="X64" s="2641"/>
      <c r="Y64" s="2641"/>
      <c r="Z64" s="2641"/>
      <c r="AA64" s="2641"/>
      <c r="AB64" s="2641"/>
      <c r="AC64" s="2641"/>
      <c r="AD64" s="2641"/>
      <c r="AE64" s="2641"/>
      <c r="AF64" s="2641"/>
      <c r="AG64" s="2641"/>
      <c r="AH64" s="2641"/>
      <c r="AI64" s="2641"/>
      <c r="AJ64" s="2641"/>
      <c r="AK64" s="2641"/>
      <c r="AL64" s="2641"/>
      <c r="AM64" s="2641"/>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0" hidden="1"/>
    <col min="2" max="2" width="11" style="2400" hidden="1" customWidth="1"/>
    <col min="3" max="3" width="10.5703125" style="2400" hidden="1"/>
    <col min="4" max="4" width="11.85546875" style="2400" hidden="1" customWidth="1"/>
    <col min="5" max="5" width="10" style="2400" hidden="1" customWidth="1"/>
    <col min="6" max="6" width="8.7109375" style="2400" hidden="1" customWidth="1"/>
    <col min="7" max="7" width="7.5703125" style="2400" hidden="1" customWidth="1"/>
    <col min="8" max="8" width="11.42578125" style="2400" hidden="1" customWidth="1"/>
    <col min="9" max="9" width="12" style="2400" hidden="1" customWidth="1"/>
    <col min="10" max="10" width="9.85546875" style="2400" hidden="1" customWidth="1"/>
    <col min="11" max="11" width="11.42578125" style="2400" hidden="1" customWidth="1"/>
    <col min="12" max="12" width="19.140625" style="2404" hidden="1" customWidth="1"/>
    <col min="13" max="14" width="12.28515625" style="2434" hidden="1" customWidth="1"/>
    <col min="15" max="15" width="23.42578125" style="2434" hidden="1" customWidth="1"/>
    <col min="16" max="16" width="3" style="2434" customWidth="1"/>
    <col min="17" max="18" width="3" style="2435" customWidth="1"/>
    <col min="19" max="19" width="12" style="2436" customWidth="1"/>
    <col min="20" max="20" width="31" style="2400" customWidth="1"/>
    <col min="21" max="21" width="0.140625" style="2400" customWidth="1"/>
    <col min="22" max="22" width="24.7109375" style="2400" hidden="1" customWidth="1"/>
    <col min="23" max="23" width="0.140625" style="2400" hidden="1" customWidth="1"/>
    <col min="24" max="25" width="24.7109375" style="2400" hidden="1" customWidth="1"/>
    <col min="26" max="26" width="11.7109375" style="2400" hidden="1" customWidth="1"/>
    <col min="27" max="27" width="3.7109375" style="2400" hidden="1" customWidth="1"/>
    <col min="28" max="28" width="11.7109375" style="2400" hidden="1" customWidth="1"/>
    <col min="29" max="29" width="8.5703125" style="2400" hidden="1" customWidth="1"/>
    <col min="30" max="30" width="24.7109375" style="2400" customWidth="1"/>
    <col min="31" max="31" width="0.140625" style="2400" customWidth="1"/>
    <col min="32" max="33" width="24" style="2400" customWidth="1"/>
    <col min="34" max="34" width="11" style="2400" customWidth="1"/>
    <col min="35" max="35" width="3.7109375" style="2400" customWidth="1"/>
    <col min="36" max="36" width="11" style="2400" customWidth="1"/>
    <col min="37" max="37" width="8.5703125" style="2400" hidden="1" customWidth="1"/>
    <col min="38" max="38" width="4" style="2400" customWidth="1"/>
    <col min="39" max="39" width="115" style="2400" customWidth="1"/>
    <col min="40" max="44" width="10" style="2407" customWidth="1"/>
    <col min="45" max="45" width="10.5703125" style="2400" hidden="1"/>
  </cols>
  <sheetData>
    <row r="1" spans="1:45" ht="22.5" hidden="1" customHeight="1">
      <c r="AS1" s="1549" t="s">
        <v>14</v>
      </c>
    </row>
    <row r="2" spans="1:45" ht="21" hidden="1" customHeight="1">
      <c r="A2" s="1185"/>
      <c r="B2" s="1185"/>
      <c r="C2" s="1185"/>
      <c r="D2" s="1185"/>
      <c r="E2" s="2668">
        <v>1</v>
      </c>
      <c r="F2" s="1185"/>
      <c r="G2" s="1185"/>
      <c r="H2" s="1185"/>
      <c r="I2" s="1185"/>
      <c r="J2" s="1185"/>
      <c r="K2" s="1185"/>
      <c r="L2" s="1228"/>
      <c r="M2" s="1528"/>
      <c r="N2" s="1528"/>
      <c r="O2" s="1528"/>
      <c r="P2" s="1508"/>
      <c r="Q2" s="296"/>
      <c r="R2" s="291"/>
      <c r="S2" s="1870" t="e">
        <f>INDEX(PT_DIFFERENTIATION_NUM_NTAR,MATCH(A2,PT_DIFFERENTIATION_NTAR_ID,0))</f>
        <v>#N/A</v>
      </c>
      <c r="T2" s="1443" t="s">
        <v>116</v>
      </c>
      <c r="U2" s="237"/>
      <c r="V2" s="2636"/>
      <c r="W2" s="2637"/>
      <c r="X2" s="2637"/>
      <c r="Y2" s="2637"/>
      <c r="Z2" s="2637"/>
      <c r="AA2" s="2637"/>
      <c r="AB2" s="2637"/>
      <c r="AC2" s="2638"/>
      <c r="AD2" s="2636" t="e">
        <f>INDEX(PT_DIFFERENTIATION_NTAR,MATCH(A2,PT_DIFFERENTIATION_NTAR_ID,0))</f>
        <v>#N/A</v>
      </c>
      <c r="AE2" s="2637"/>
      <c r="AF2" s="2637"/>
      <c r="AG2" s="2637"/>
      <c r="AH2" s="2637"/>
      <c r="AI2" s="2637"/>
      <c r="AJ2" s="2637"/>
      <c r="AK2" s="2637"/>
      <c r="AL2" s="2638"/>
      <c r="AM2" s="1176" t="s">
        <v>387</v>
      </c>
      <c r="AO2" s="1542"/>
      <c r="AP2" s="1542" t="str">
        <f t="shared" ref="AP2:AP15" si="0">IF(T2="","",T2)</f>
        <v>Наименование тарифа</v>
      </c>
      <c r="AQ2" s="1542"/>
      <c r="AR2" s="1542"/>
      <c r="AS2" s="1549">
        <v>0</v>
      </c>
    </row>
    <row r="3" spans="1:45" ht="21" hidden="1" customHeight="1">
      <c r="A3" s="1185"/>
      <c r="B3" s="1185"/>
      <c r="C3" s="1185"/>
      <c r="D3" s="1185"/>
      <c r="E3" s="2669"/>
      <c r="F3" s="2668">
        <v>1</v>
      </c>
      <c r="G3" s="1185"/>
      <c r="H3" s="1185"/>
      <c r="I3" s="1185"/>
      <c r="J3" s="1185"/>
      <c r="K3" s="1185"/>
      <c r="L3" s="1228"/>
      <c r="M3" s="1528"/>
      <c r="N3" s="1528"/>
      <c r="O3" s="1528"/>
      <c r="P3" s="1852"/>
      <c r="Q3" s="288"/>
      <c r="R3" s="289"/>
      <c r="S3" s="1870" t="e">
        <f>INDEX(PT_DIFFERENTIATION_NUM_TER,MATCH(B3,PT_DIFFERENTIATION_TER_ID,0))</f>
        <v>#N/A</v>
      </c>
      <c r="T3" s="1440" t="s">
        <v>388</v>
      </c>
      <c r="U3" s="237"/>
      <c r="V3" s="2636"/>
      <c r="W3" s="2637"/>
      <c r="X3" s="2637"/>
      <c r="Y3" s="2637"/>
      <c r="Z3" s="2637"/>
      <c r="AA3" s="2637"/>
      <c r="AB3" s="2637"/>
      <c r="AC3" s="2638"/>
      <c r="AD3" s="2636" t="e">
        <f>INDEX(PT_DIFFERENTIATION_TER,MATCH(B3,PT_DIFFERENTIATION_TER_ID,0))</f>
        <v>#N/A</v>
      </c>
      <c r="AE3" s="2637"/>
      <c r="AF3" s="2637"/>
      <c r="AG3" s="2637"/>
      <c r="AH3" s="2637"/>
      <c r="AI3" s="2637"/>
      <c r="AJ3" s="2637"/>
      <c r="AK3" s="2637"/>
      <c r="AL3" s="2638"/>
      <c r="AM3" s="1176" t="s">
        <v>389</v>
      </c>
      <c r="AO3" s="1542"/>
      <c r="AP3" s="1542" t="str">
        <f t="shared" si="0"/>
        <v>Территория действия тарифа</v>
      </c>
      <c r="AQ3" s="1542"/>
      <c r="AR3" s="1542"/>
      <c r="AS3" s="1549">
        <v>0</v>
      </c>
    </row>
    <row r="4" spans="1:45" ht="23.25" hidden="1" customHeight="1">
      <c r="A4" s="1185"/>
      <c r="B4" s="1185"/>
      <c r="C4" s="1185"/>
      <c r="D4" s="1185"/>
      <c r="E4" s="2669"/>
      <c r="F4" s="2669"/>
      <c r="G4" s="2668">
        <v>1</v>
      </c>
      <c r="H4" s="1185"/>
      <c r="I4" s="1185"/>
      <c r="J4" s="1185"/>
      <c r="K4" s="1185"/>
      <c r="L4" s="1228"/>
      <c r="M4" s="1528"/>
      <c r="N4" s="1528"/>
      <c r="O4" s="1528"/>
      <c r="P4" s="290"/>
      <c r="Q4" s="288"/>
      <c r="R4" s="289"/>
      <c r="S4" s="1870" t="e">
        <f>INDEX(PT_DIFFERENTIATION_NUM_CS,MATCH(C4,PT_DIFFERENTIATION_CS_ID,0))</f>
        <v>#N/A</v>
      </c>
      <c r="T4" s="246" t="s">
        <v>390</v>
      </c>
      <c r="U4" s="237"/>
      <c r="V4" s="2636"/>
      <c r="W4" s="2637"/>
      <c r="X4" s="2637"/>
      <c r="Y4" s="2637"/>
      <c r="Z4" s="2637"/>
      <c r="AA4" s="2637"/>
      <c r="AB4" s="2637"/>
      <c r="AC4" s="2638"/>
      <c r="AD4" s="2636" t="e">
        <f>INDEX(PT_DIFFERENTIATION_CS,MATCH(C4,PT_DIFFERENTIATION_CS_ID,0))</f>
        <v>#N/A</v>
      </c>
      <c r="AE4" s="2637"/>
      <c r="AF4" s="2637"/>
      <c r="AG4" s="2637"/>
      <c r="AH4" s="2637"/>
      <c r="AI4" s="2637"/>
      <c r="AJ4" s="2637"/>
      <c r="AK4" s="2637"/>
      <c r="AL4" s="2638"/>
      <c r="AM4" s="1176" t="s">
        <v>391</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69"/>
      <c r="F5" s="2669"/>
      <c r="G5" s="2669"/>
      <c r="H5" s="2668">
        <v>1</v>
      </c>
      <c r="I5" s="1185"/>
      <c r="J5" s="1185"/>
      <c r="K5" s="1185"/>
      <c r="L5" s="1228"/>
      <c r="M5" s="1528"/>
      <c r="N5" s="1528"/>
      <c r="O5" s="1528"/>
      <c r="P5" s="290"/>
      <c r="Q5" s="288"/>
      <c r="R5" s="289"/>
      <c r="S5" s="1870" t="e">
        <f>INDEX(PT_DIFFERENTIATION_NUM_IST_TE,MATCH(D5,PT_DIFFERENTIATION_IST_TE_ID,0))</f>
        <v>#N/A</v>
      </c>
      <c r="T5" s="247" t="s">
        <v>392</v>
      </c>
      <c r="U5" s="237"/>
      <c r="V5" s="2636"/>
      <c r="W5" s="2637"/>
      <c r="X5" s="2637"/>
      <c r="Y5" s="2637"/>
      <c r="Z5" s="2637"/>
      <c r="AA5" s="2637"/>
      <c r="AB5" s="2637"/>
      <c r="AC5" s="2638"/>
      <c r="AD5" s="2636" t="e">
        <f>INDEX(PT_DIFFERENTIATION_IST_TE,MATCH(D5,PT_DIFFERENTIATION_IST_TE_ID,0))</f>
        <v>#N/A</v>
      </c>
      <c r="AE5" s="2637"/>
      <c r="AF5" s="2637"/>
      <c r="AG5" s="2637"/>
      <c r="AH5" s="2637"/>
      <c r="AI5" s="2637"/>
      <c r="AJ5" s="2637"/>
      <c r="AK5" s="2637"/>
      <c r="AL5" s="2638"/>
      <c r="AM5" s="1176" t="s">
        <v>393</v>
      </c>
      <c r="AO5" s="1542"/>
      <c r="AP5" s="1542" t="str">
        <f t="shared" si="0"/>
        <v xml:space="preserve">Источник тепловой энергии  </v>
      </c>
      <c r="AQ5" s="1542"/>
      <c r="AR5" s="1542"/>
      <c r="AS5" s="1549">
        <v>0</v>
      </c>
    </row>
    <row r="6" spans="1:45" ht="47.25" hidden="1" customHeight="1">
      <c r="A6" s="1185"/>
      <c r="B6" s="1185"/>
      <c r="C6" s="1185"/>
      <c r="D6" s="1185"/>
      <c r="E6" s="2669"/>
      <c r="F6" s="2669"/>
      <c r="G6" s="2669"/>
      <c r="H6" s="2669"/>
      <c r="I6" s="2514" t="e">
        <f>S5&amp;".1"</f>
        <v>#N/A</v>
      </c>
      <c r="J6" s="1185"/>
      <c r="K6" s="1185"/>
      <c r="L6" s="1228" t="s">
        <v>394</v>
      </c>
      <c r="M6" s="1553"/>
      <c r="P6" s="2646">
        <v>1</v>
      </c>
      <c r="Q6" s="1866"/>
      <c r="R6" s="292"/>
      <c r="S6" s="1870" t="e">
        <f>$I6</f>
        <v>#N/A</v>
      </c>
      <c r="T6" s="222" t="s">
        <v>395</v>
      </c>
      <c r="U6" s="237"/>
      <c r="V6" s="2630"/>
      <c r="W6" s="2631"/>
      <c r="X6" s="2631"/>
      <c r="Y6" s="2631"/>
      <c r="Z6" s="2631"/>
      <c r="AA6" s="2631"/>
      <c r="AB6" s="2631"/>
      <c r="AC6" s="2632"/>
      <c r="AD6" s="2630"/>
      <c r="AE6" s="2631"/>
      <c r="AF6" s="2631"/>
      <c r="AG6" s="2631"/>
      <c r="AH6" s="2631"/>
      <c r="AI6" s="2631"/>
      <c r="AJ6" s="2631"/>
      <c r="AK6" s="2631"/>
      <c r="AL6" s="2632"/>
      <c r="AM6" s="1176" t="s">
        <v>396</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69"/>
      <c r="F7" s="2669"/>
      <c r="G7" s="2669"/>
      <c r="H7" s="2669"/>
      <c r="I7" s="2496"/>
      <c r="J7" s="2514" t="e">
        <f>I6&amp;".1"</f>
        <v>#N/A</v>
      </c>
      <c r="K7" s="1185"/>
      <c r="L7" s="1228" t="s">
        <v>397</v>
      </c>
      <c r="M7" s="1553"/>
      <c r="N7" s="1549"/>
      <c r="P7" s="2646"/>
      <c r="Q7" s="2646">
        <v>1</v>
      </c>
      <c r="R7" s="293"/>
      <c r="S7" s="1870" t="e">
        <f>$J7</f>
        <v>#N/A</v>
      </c>
      <c r="T7" s="223" t="s">
        <v>398</v>
      </c>
      <c r="U7" s="237"/>
      <c r="V7" s="2630"/>
      <c r="W7" s="2631"/>
      <c r="X7" s="2631"/>
      <c r="Y7" s="2631"/>
      <c r="Z7" s="2631"/>
      <c r="AA7" s="2631"/>
      <c r="AB7" s="2631"/>
      <c r="AC7" s="2632"/>
      <c r="AD7" s="2630"/>
      <c r="AE7" s="2631"/>
      <c r="AF7" s="2631"/>
      <c r="AG7" s="2631"/>
      <c r="AH7" s="2631"/>
      <c r="AI7" s="2631"/>
      <c r="AJ7" s="2631"/>
      <c r="AK7" s="2631"/>
      <c r="AL7" s="2632"/>
      <c r="AM7" s="1176" t="s">
        <v>399</v>
      </c>
      <c r="AO7" s="1542"/>
      <c r="AP7" s="1542" t="str">
        <f t="shared" si="0"/>
        <v>Группа потребителей</v>
      </c>
      <c r="AQ7" s="1542"/>
      <c r="AR7" s="1542"/>
      <c r="AS7" s="1549">
        <v>0</v>
      </c>
    </row>
    <row r="8" spans="1:45" ht="21" hidden="1" customHeight="1">
      <c r="A8" s="1185"/>
      <c r="B8" s="1185"/>
      <c r="C8" s="1185"/>
      <c r="D8" s="1185"/>
      <c r="E8" s="2669"/>
      <c r="F8" s="2669"/>
      <c r="G8" s="2669"/>
      <c r="H8" s="2669"/>
      <c r="I8" s="2496"/>
      <c r="J8" s="2496"/>
      <c r="K8" s="2514" t="e">
        <f>J7&amp;".1"</f>
        <v>#N/A</v>
      </c>
      <c r="L8" s="1228" t="s">
        <v>400</v>
      </c>
      <c r="M8" s="1553"/>
      <c r="N8" s="1549"/>
      <c r="O8" s="1549"/>
      <c r="P8" s="2646"/>
      <c r="Q8" s="2646"/>
      <c r="R8" s="293">
        <v>1</v>
      </c>
      <c r="S8" s="1870" t="e">
        <f>$K8</f>
        <v>#N/A</v>
      </c>
      <c r="T8" s="1265"/>
      <c r="U8" s="237"/>
      <c r="V8" s="687"/>
      <c r="W8" s="262"/>
      <c r="X8" s="687"/>
      <c r="Y8" s="1175"/>
      <c r="Z8" s="2647"/>
      <c r="AA8" s="2524" t="s">
        <v>65</v>
      </c>
      <c r="AB8" s="2647"/>
      <c r="AC8" s="2524" t="s">
        <v>65</v>
      </c>
      <c r="AD8" s="687"/>
      <c r="AE8" s="262"/>
      <c r="AF8" s="687"/>
      <c r="AG8" s="1175"/>
      <c r="AH8" s="2647"/>
      <c r="AI8" s="2524" t="s">
        <v>65</v>
      </c>
      <c r="AJ8" s="2647"/>
      <c r="AK8" s="2524" t="s">
        <v>65</v>
      </c>
      <c r="AL8" s="262"/>
      <c r="AM8" s="2665" t="s">
        <v>401</v>
      </c>
      <c r="AN8" s="1554" t="e">
        <f ca="1">STRCHECKDATE(V9:AL9)</f>
        <v>#NAME?</v>
      </c>
      <c r="AO8" s="1542"/>
      <c r="AP8" s="1542" t="str">
        <f t="shared" si="0"/>
        <v/>
      </c>
      <c r="AQ8" s="1542"/>
      <c r="AR8" s="1542"/>
      <c r="AS8" s="1549">
        <v>0</v>
      </c>
    </row>
    <row r="9" spans="1:45" ht="0.75" hidden="1" customHeight="1">
      <c r="A9" s="1185"/>
      <c r="B9" s="1185"/>
      <c r="C9" s="1185"/>
      <c r="D9" s="1185"/>
      <c r="E9" s="2669"/>
      <c r="F9" s="2669"/>
      <c r="G9" s="2669"/>
      <c r="H9" s="2669"/>
      <c r="I9" s="2496"/>
      <c r="J9" s="2496"/>
      <c r="K9" s="2514"/>
      <c r="L9" s="1228"/>
      <c r="M9" s="1553"/>
      <c r="N9" s="1549"/>
      <c r="O9" s="1549"/>
      <c r="P9" s="2646"/>
      <c r="Q9" s="2646"/>
      <c r="R9" s="293"/>
      <c r="S9" s="1879"/>
      <c r="T9" s="237"/>
      <c r="U9" s="237"/>
      <c r="V9" s="262"/>
      <c r="W9" s="262"/>
      <c r="X9" s="262"/>
      <c r="Y9" s="265" t="str">
        <f>Z8&amp;"-"&amp;AB8</f>
        <v>-</v>
      </c>
      <c r="Z9" s="2648"/>
      <c r="AA9" s="2524"/>
      <c r="AB9" s="2648"/>
      <c r="AC9" s="2524"/>
      <c r="AD9" s="262"/>
      <c r="AE9" s="262"/>
      <c r="AF9" s="262"/>
      <c r="AG9" s="265" t="str">
        <f>AH8&amp;"-"&amp;AJ8</f>
        <v>-</v>
      </c>
      <c r="AH9" s="2648"/>
      <c r="AI9" s="2524"/>
      <c r="AJ9" s="2648"/>
      <c r="AK9" s="2524"/>
      <c r="AL9" s="262"/>
      <c r="AM9" s="2666"/>
      <c r="AO9" s="1542"/>
      <c r="AP9" s="1542" t="str">
        <f t="shared" si="0"/>
        <v/>
      </c>
      <c r="AQ9" s="1542"/>
      <c r="AR9" s="1542"/>
      <c r="AS9" s="1549">
        <v>0</v>
      </c>
    </row>
    <row r="10" spans="1:45" ht="15" hidden="1" customHeight="1">
      <c r="A10" s="1185"/>
      <c r="B10" s="1185"/>
      <c r="C10" s="1185"/>
      <c r="D10" s="1185"/>
      <c r="E10" s="2669"/>
      <c r="F10" s="2669"/>
      <c r="G10" s="2669"/>
      <c r="H10" s="2669"/>
      <c r="I10" s="2496"/>
      <c r="J10" s="2514"/>
      <c r="K10" s="1185"/>
      <c r="L10" s="1228"/>
      <c r="M10" s="1553"/>
      <c r="N10" s="1549"/>
      <c r="P10" s="2646"/>
      <c r="Q10" s="2646"/>
      <c r="R10" s="292"/>
      <c r="S10" s="1196"/>
      <c r="T10" s="225" t="s">
        <v>402</v>
      </c>
      <c r="U10" s="536"/>
      <c r="V10" s="536"/>
      <c r="W10" s="536"/>
      <c r="X10" s="536"/>
      <c r="Y10" s="536"/>
      <c r="Z10" s="536"/>
      <c r="AA10" s="536"/>
      <c r="AB10" s="536"/>
      <c r="AC10" s="536"/>
      <c r="AD10" s="536"/>
      <c r="AE10" s="536"/>
      <c r="AF10" s="536"/>
      <c r="AG10" s="536"/>
      <c r="AH10" s="536"/>
      <c r="AI10" s="536"/>
      <c r="AJ10" s="536"/>
      <c r="AK10" s="536"/>
      <c r="AL10" s="261"/>
      <c r="AM10" s="266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69"/>
      <c r="F11" s="2669"/>
      <c r="G11" s="2669"/>
      <c r="H11" s="2669"/>
      <c r="I11" s="2514"/>
      <c r="J11" s="1185"/>
      <c r="K11" s="1185"/>
      <c r="L11" s="1228"/>
      <c r="M11" s="1553"/>
      <c r="P11" s="2646"/>
      <c r="Q11" s="1866"/>
      <c r="R11" s="292"/>
      <c r="S11" s="1196"/>
      <c r="T11" s="224" t="s">
        <v>403</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669"/>
      <c r="F12" s="2669"/>
      <c r="G12" s="2669"/>
      <c r="H12" s="2668"/>
      <c r="I12" s="1185"/>
      <c r="J12" s="1185"/>
      <c r="K12" s="1185"/>
      <c r="L12" s="1228"/>
      <c r="M12" s="1528"/>
      <c r="N12" s="1528"/>
      <c r="O12" s="1553"/>
      <c r="P12" s="296"/>
      <c r="Q12" s="311"/>
      <c r="R12" s="291"/>
      <c r="S12" s="1196"/>
      <c r="T12" s="301" t="s">
        <v>404</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407" customFormat="1" ht="0.75" hidden="1" customHeight="1">
      <c r="A13" s="1292"/>
      <c r="B13" s="1292"/>
      <c r="C13" s="1292"/>
      <c r="D13" s="1292"/>
      <c r="E13" s="2669"/>
      <c r="F13" s="2669"/>
      <c r="G13" s="2668"/>
      <c r="H13" s="1292"/>
      <c r="I13" s="1292"/>
      <c r="J13" s="1292"/>
      <c r="K13" s="1292"/>
      <c r="L13" s="1295"/>
      <c r="M13" s="1296"/>
      <c r="N13" s="1296"/>
      <c r="O13" s="287"/>
      <c r="P13" s="1234"/>
      <c r="Q13" s="1235"/>
      <c r="R13" s="1234"/>
      <c r="S13" s="1236"/>
      <c r="T13" s="1237" t="s">
        <v>405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407" customFormat="1" ht="0.75" hidden="1" customHeight="1">
      <c r="A14" s="1292"/>
      <c r="B14" s="1292"/>
      <c r="C14" s="1292"/>
      <c r="D14" s="1292"/>
      <c r="E14" s="2669"/>
      <c r="F14" s="2668"/>
      <c r="G14" s="1292"/>
      <c r="H14" s="1292"/>
      <c r="I14" s="1292"/>
      <c r="J14" s="1292"/>
      <c r="K14" s="1292"/>
      <c r="L14" s="1295"/>
      <c r="M14" s="1297"/>
      <c r="N14" s="1297"/>
      <c r="O14" s="287"/>
      <c r="P14" s="1234"/>
      <c r="Q14" s="1235"/>
      <c r="R14" s="1234"/>
      <c r="S14" s="1240"/>
      <c r="T14" s="1241" t="s">
        <v>406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407" customFormat="1" ht="0.75" hidden="1" customHeight="1">
      <c r="A15" s="1292"/>
      <c r="B15" s="1292"/>
      <c r="C15" s="1292"/>
      <c r="D15" s="1292"/>
      <c r="E15" s="2668"/>
      <c r="F15" s="1292"/>
      <c r="G15" s="1292"/>
      <c r="H15" s="1292"/>
      <c r="I15" s="1292"/>
      <c r="J15" s="1292"/>
      <c r="K15" s="1292"/>
      <c r="L15" s="1295"/>
      <c r="M15" s="1297"/>
      <c r="N15" s="1297"/>
      <c r="O15" s="287"/>
      <c r="P15" s="1234"/>
      <c r="Q15" s="1235"/>
      <c r="R15" s="1234"/>
      <c r="S15" s="1240"/>
      <c r="T15" s="1243" t="s">
        <v>407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640"/>
      <c r="AI17" s="2639" t="s">
        <v>65</v>
      </c>
      <c r="AJ17" s="2640"/>
      <c r="AK17" s="2639" t="s">
        <v>65</v>
      </c>
      <c r="AS17" s="1549">
        <v>0</v>
      </c>
    </row>
    <row r="18" spans="1:45" ht="14.25" hidden="1" customHeight="1">
      <c r="AD18" s="1278"/>
      <c r="AE18" s="1278"/>
      <c r="AF18" s="1278"/>
      <c r="AG18" s="265" t="str">
        <f>AH17&amp;"-"&amp;AJ17</f>
        <v>-</v>
      </c>
      <c r="AH18" s="2639"/>
      <c r="AI18" s="2639"/>
      <c r="AJ18" s="2639"/>
      <c r="AK18" s="2639"/>
      <c r="AS18" s="1549">
        <v>0</v>
      </c>
    </row>
    <row r="19" spans="1:45" ht="14.25" hidden="1" customHeight="1">
      <c r="AS19" s="1549">
        <v>0</v>
      </c>
    </row>
    <row r="20" spans="1:45" s="2406" customFormat="1" ht="14.25" hidden="1" customHeight="1">
      <c r="A20" s="1549"/>
      <c r="B20" s="1549"/>
      <c r="C20" s="1549"/>
      <c r="D20" s="1549"/>
      <c r="E20" s="1549"/>
      <c r="F20" s="1549"/>
      <c r="G20" s="1549"/>
      <c r="H20" s="1549"/>
      <c r="I20" s="1549"/>
      <c r="J20" s="1549"/>
      <c r="K20" s="1549"/>
      <c r="L20" s="1851"/>
      <c r="M20" s="1877"/>
      <c r="N20" s="1877"/>
      <c r="O20" s="1263" t="s">
        <v>408</v>
      </c>
      <c r="P20" s="1280"/>
      <c r="Q20" s="1289"/>
      <c r="R20" s="1289"/>
      <c r="S20" s="665"/>
      <c r="Z20" s="1285"/>
      <c r="AB20" s="1285"/>
      <c r="AH20" s="1285"/>
      <c r="AJ20" s="1285"/>
      <c r="AN20" s="1554"/>
      <c r="AO20" s="1554"/>
      <c r="AP20" s="1554"/>
      <c r="AQ20" s="1554"/>
      <c r="AR20" s="1554"/>
      <c r="AS20" s="1284">
        <v>0</v>
      </c>
    </row>
    <row r="21" spans="1:45" s="2406"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5"/>
      <c r="AN21" s="1554"/>
      <c r="AO21" s="1554"/>
      <c r="AP21" s="1554"/>
      <c r="AQ21" s="1554"/>
      <c r="AR21" s="1554"/>
      <c r="AS21" s="1284">
        <v>0</v>
      </c>
    </row>
    <row r="22" spans="1:45" s="2406" customFormat="1" ht="14.25" hidden="1" customHeight="1">
      <c r="A22" s="1549"/>
      <c r="B22" s="1549"/>
      <c r="C22" s="1549"/>
      <c r="D22" s="1549"/>
      <c r="E22" s="1549"/>
      <c r="F22" s="1549"/>
      <c r="G22" s="1549"/>
      <c r="H22" s="1549"/>
      <c r="I22" s="1549"/>
      <c r="J22" s="1549"/>
      <c r="K22" s="1549"/>
      <c r="L22" s="1851"/>
      <c r="M22" s="1877"/>
      <c r="N22" s="1877"/>
      <c r="O22" s="1228" t="s">
        <v>409</v>
      </c>
      <c r="P22" s="1280"/>
      <c r="Q22" s="1289"/>
      <c r="R22" s="1289"/>
      <c r="S22" s="665"/>
      <c r="T22" s="1284" t="s">
        <v>410</v>
      </c>
      <c r="AA22" s="531" t="s">
        <v>411</v>
      </c>
      <c r="AC22" s="531" t="s">
        <v>412</v>
      </c>
      <c r="AD22" s="1284" t="s">
        <v>410</v>
      </c>
      <c r="AI22" s="531" t="s">
        <v>413</v>
      </c>
      <c r="AK22" s="531" t="s">
        <v>412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26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3"/>
      <c r="U26" s="2623"/>
      <c r="V26" s="2623"/>
      <c r="W26" s="2623"/>
      <c r="X26" s="2623"/>
      <c r="Y26" s="2623"/>
      <c r="Z26" s="2623"/>
      <c r="AA26" s="2623"/>
      <c r="AB26" s="2623"/>
      <c r="AC26" s="2623"/>
      <c r="AD26" s="2623"/>
      <c r="AE26" s="2623"/>
      <c r="AF26" s="2623"/>
      <c r="AG26" s="2623"/>
      <c r="AH26" s="2623"/>
      <c r="AI26" s="2623"/>
      <c r="AJ26" s="2623"/>
      <c r="AK26" s="1161"/>
      <c r="AS26" s="1549">
        <v>14</v>
      </c>
    </row>
    <row r="27" spans="1:45" ht="14.65" customHeight="1">
      <c r="Q27" s="312"/>
      <c r="R27" s="312"/>
      <c r="S27" s="2595" t="str">
        <f>IF(org=0,"Не определено",org)</f>
        <v>ПАО "ТГК-1" (филиал "Кольский")</v>
      </c>
      <c r="T27" s="2595"/>
      <c r="U27" s="2595"/>
      <c r="V27" s="2595"/>
      <c r="W27" s="2595"/>
      <c r="X27" s="2595"/>
      <c r="Y27" s="2595"/>
      <c r="Z27" s="2595"/>
      <c r="AA27" s="2595"/>
      <c r="AB27" s="2595"/>
      <c r="AC27" s="2595"/>
      <c r="AD27" s="2595"/>
      <c r="AE27" s="2595"/>
      <c r="AF27" s="2595"/>
      <c r="AG27" s="2595"/>
      <c r="AH27" s="2595"/>
      <c r="AI27" s="2595"/>
      <c r="AJ27" s="2595"/>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416" customFormat="1" ht="25.5" hidden="1" customHeight="1">
      <c r="A29" s="1166"/>
      <c r="B29" s="1166"/>
      <c r="C29" s="1166"/>
      <c r="D29" s="1166"/>
      <c r="E29" s="1166"/>
      <c r="F29" s="1166"/>
      <c r="G29" s="1166"/>
      <c r="H29" s="1166"/>
      <c r="I29" s="1166"/>
      <c r="J29" s="1166"/>
      <c r="K29" s="1166"/>
      <c r="L29" s="1298"/>
      <c r="M29" s="1166"/>
      <c r="N29" s="1166"/>
      <c r="O29" s="1166"/>
      <c r="S29" s="2633" t="s">
        <v>41</v>
      </c>
      <c r="T29" s="2633"/>
      <c r="U29" s="1290"/>
      <c r="V29" s="2635" t="str">
        <f>IF(TITLE_NAME_OR_PR_CHANGE="",IF(TITLE_NAME_OR_PR="","",TITLE_NAME_OR_PR),TITLE_NAME_OR_PR_CHANGE)</f>
        <v/>
      </c>
      <c r="W29" s="2635"/>
      <c r="X29" s="2635"/>
      <c r="Y29" s="2635"/>
      <c r="Z29" s="2635"/>
      <c r="AA29" s="2635"/>
      <c r="AB29" s="2635"/>
      <c r="AC29" s="1553"/>
      <c r="AD29" s="2635" t="str">
        <f>IF(TITLE_NAME_OR_PR_CHANGE="",IF(TITLE_NAME_OR_PR="","",TITLE_NAME_OR_PR),TITLE_NAME_OR_PR_CHANGE)</f>
        <v/>
      </c>
      <c r="AE29" s="2635"/>
      <c r="AF29" s="2635"/>
      <c r="AG29" s="2635"/>
      <c r="AH29" s="2635"/>
      <c r="AI29" s="2635"/>
      <c r="AJ29" s="2635"/>
      <c r="AK29" s="1553"/>
      <c r="AL29" s="1553"/>
      <c r="AM29" s="217"/>
      <c r="AN29" s="304"/>
      <c r="AO29" s="304"/>
      <c r="AP29" s="304"/>
      <c r="AQ29" s="304"/>
      <c r="AR29" s="304"/>
      <c r="AS29" s="354">
        <v>0</v>
      </c>
    </row>
    <row r="30" spans="1:45" s="2416" customFormat="1" ht="18.75" hidden="1" customHeight="1">
      <c r="A30" s="1166"/>
      <c r="B30" s="1166"/>
      <c r="C30" s="1166"/>
      <c r="D30" s="1166"/>
      <c r="E30" s="1166"/>
      <c r="F30" s="1166"/>
      <c r="G30" s="1166"/>
      <c r="H30" s="1166"/>
      <c r="I30" s="1166"/>
      <c r="J30" s="1166"/>
      <c r="K30" s="1166"/>
      <c r="L30" s="1298"/>
      <c r="M30" s="1166"/>
      <c r="N30" s="1166"/>
      <c r="O30" s="1166"/>
      <c r="S30" s="2633" t="s">
        <v>414</v>
      </c>
      <c r="T30" s="2633"/>
      <c r="U30" s="1290"/>
      <c r="V30" s="2634" t="str">
        <f>IF(TITLE_DATE_PR_CHANGE="",IF(TITLE_DATE_PR="","",TITLE_DATE_PR),TITLE_DATE_PR_CHANGE)</f>
        <v/>
      </c>
      <c r="W30" s="2634"/>
      <c r="X30" s="2634"/>
      <c r="Y30" s="2634"/>
      <c r="Z30" s="2634"/>
      <c r="AA30" s="2634"/>
      <c r="AB30" s="2634"/>
      <c r="AC30" s="1553"/>
      <c r="AD30" s="2634" t="str">
        <f>IF(TITLE_DATE_PR_CHANGE="",IF(TITLE_DATE_PR="","",TITLE_DATE_PR),TITLE_DATE_PR_CHANGE)</f>
        <v/>
      </c>
      <c r="AE30" s="2634"/>
      <c r="AF30" s="2634"/>
      <c r="AG30" s="2634"/>
      <c r="AH30" s="2634"/>
      <c r="AI30" s="2634"/>
      <c r="AJ30" s="2634"/>
      <c r="AK30" s="1553"/>
      <c r="AL30" s="1553"/>
      <c r="AM30" s="217"/>
      <c r="AN30" s="304"/>
      <c r="AO30" s="304"/>
      <c r="AP30" s="304"/>
      <c r="AQ30" s="304"/>
      <c r="AR30" s="304"/>
      <c r="AS30" s="354">
        <v>0</v>
      </c>
    </row>
    <row r="31" spans="1:45" s="2416" customFormat="1" ht="18.75" hidden="1" customHeight="1">
      <c r="A31" s="1166"/>
      <c r="B31" s="1166"/>
      <c r="C31" s="1166"/>
      <c r="D31" s="1166"/>
      <c r="E31" s="1166"/>
      <c r="F31" s="1166"/>
      <c r="G31" s="1166"/>
      <c r="H31" s="1166"/>
      <c r="I31" s="1166"/>
      <c r="J31" s="1166"/>
      <c r="K31" s="1166"/>
      <c r="L31" s="1298"/>
      <c r="M31" s="1166"/>
      <c r="N31" s="1166"/>
      <c r="O31" s="1166"/>
      <c r="S31" s="2633" t="s">
        <v>415</v>
      </c>
      <c r="T31" s="2633"/>
      <c r="U31" s="1290"/>
      <c r="V31" s="2635" t="str">
        <f>IF(TITLE_NUMBER_PR_CHANGE="",IF(TITLE_NUMBER_PR="","",TITLE_NUMBER_PR),TITLE_NUMBER_PR_CHANGE)</f>
        <v/>
      </c>
      <c r="W31" s="2635"/>
      <c r="X31" s="2635"/>
      <c r="Y31" s="2635"/>
      <c r="Z31" s="2635"/>
      <c r="AA31" s="2635"/>
      <c r="AB31" s="2635"/>
      <c r="AC31" s="1553"/>
      <c r="AD31" s="2635" t="str">
        <f>IF(TITLE_NUMBER_PR_CHANGE="",IF(TITLE_NUMBER_PR="","",TITLE_NUMBER_PR),TITLE_NUMBER_PR_CHANGE)</f>
        <v/>
      </c>
      <c r="AE31" s="2635"/>
      <c r="AF31" s="2635"/>
      <c r="AG31" s="2635"/>
      <c r="AH31" s="2635"/>
      <c r="AI31" s="2635"/>
      <c r="AJ31" s="2635"/>
      <c r="AK31" s="1553"/>
      <c r="AL31" s="1553"/>
      <c r="AM31" s="217"/>
      <c r="AN31" s="304"/>
      <c r="AO31" s="304"/>
      <c r="AP31" s="304"/>
      <c r="AQ31" s="304"/>
      <c r="AR31" s="304"/>
      <c r="AS31" s="354">
        <v>0</v>
      </c>
    </row>
    <row r="32" spans="1:45" s="2416" customFormat="1" ht="18.75" hidden="1" customHeight="1">
      <c r="A32" s="1166"/>
      <c r="B32" s="1166"/>
      <c r="C32" s="1166"/>
      <c r="D32" s="1166"/>
      <c r="E32" s="1166"/>
      <c r="F32" s="1166"/>
      <c r="G32" s="1166"/>
      <c r="H32" s="1166"/>
      <c r="I32" s="1166"/>
      <c r="J32" s="1166"/>
      <c r="K32" s="1166"/>
      <c r="L32" s="1298"/>
      <c r="M32" s="1166"/>
      <c r="N32" s="1166"/>
      <c r="O32" s="1166"/>
      <c r="S32" s="2633" t="s">
        <v>42</v>
      </c>
      <c r="T32" s="2633"/>
      <c r="U32" s="1290"/>
      <c r="V32" s="2635" t="str">
        <f>IF(TITLE_IST_PUB_CHANGE="",IF(TITLE_IST_PUB="","",TITLE_IST_PUB),TITLE_IST_PUB_CHANGE)</f>
        <v/>
      </c>
      <c r="W32" s="2635"/>
      <c r="X32" s="2635"/>
      <c r="Y32" s="2635"/>
      <c r="Z32" s="2635"/>
      <c r="AA32" s="2635"/>
      <c r="AB32" s="2635"/>
      <c r="AC32" s="1553"/>
      <c r="AD32" s="2635" t="str">
        <f>IF(TITLE_IST_PUB_CHANGE="",IF(TITLE_IST_PUB="","",TITLE_IST_PUB),TITLE_IST_PUB_CHANGE)</f>
        <v/>
      </c>
      <c r="AE32" s="2635"/>
      <c r="AF32" s="2635"/>
      <c r="AG32" s="2635"/>
      <c r="AH32" s="2635"/>
      <c r="AI32" s="2635"/>
      <c r="AJ32" s="2635"/>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416" customFormat="1" ht="18.75" hidden="1" customHeight="1">
      <c r="A34" s="1166"/>
      <c r="B34" s="1166"/>
      <c r="C34" s="1166"/>
      <c r="D34" s="1166"/>
      <c r="E34" s="1166"/>
      <c r="F34" s="1166"/>
      <c r="G34" s="1166"/>
      <c r="H34" s="1166"/>
      <c r="I34" s="1166"/>
      <c r="J34" s="1166"/>
      <c r="K34" s="1166"/>
      <c r="L34" s="1298"/>
      <c r="M34" s="1166"/>
      <c r="N34" s="1166"/>
      <c r="O34" s="1166"/>
      <c r="S34" s="2633" t="s">
        <v>416</v>
      </c>
      <c r="T34" s="2633"/>
      <c r="U34" s="1290"/>
      <c r="V34" s="2634" t="str">
        <f>IF(TITLE_DATE_PR_CHANGE="",IF(TITLE_DATE_PR="","",TITLE_DATE_PR),TITLE_DATE_PR_CHANGE)</f>
        <v/>
      </c>
      <c r="W34" s="2634"/>
      <c r="X34" s="2634"/>
      <c r="Y34" s="2634"/>
      <c r="Z34" s="2634"/>
      <c r="AA34" s="2634"/>
      <c r="AB34" s="2634"/>
      <c r="AC34" s="1553"/>
      <c r="AD34" s="2634" t="str">
        <f>IF(TITLE_DATE_PR_CHANGE="",IF(TITLE_DATE_PR="","",TITLE_DATE_PR),TITLE_DATE_PR_CHANGE)</f>
        <v/>
      </c>
      <c r="AE34" s="2634"/>
      <c r="AF34" s="2634"/>
      <c r="AG34" s="2634"/>
      <c r="AH34" s="2634"/>
      <c r="AI34" s="2634"/>
      <c r="AJ34" s="2634"/>
      <c r="AK34" s="1553"/>
      <c r="AL34" s="1553"/>
      <c r="AM34" s="217"/>
      <c r="AN34" s="304"/>
      <c r="AO34" s="304"/>
      <c r="AP34" s="304"/>
      <c r="AQ34" s="304"/>
      <c r="AR34" s="304"/>
      <c r="AS34" s="354">
        <v>0</v>
      </c>
    </row>
    <row r="35" spans="1:45" s="2416" customFormat="1" ht="18.75" hidden="1" customHeight="1">
      <c r="A35" s="1166"/>
      <c r="B35" s="1166"/>
      <c r="C35" s="1166"/>
      <c r="D35" s="1166"/>
      <c r="E35" s="1166"/>
      <c r="F35" s="1166"/>
      <c r="G35" s="1166"/>
      <c r="H35" s="1166"/>
      <c r="I35" s="1166"/>
      <c r="J35" s="1166"/>
      <c r="K35" s="1166"/>
      <c r="L35" s="1298"/>
      <c r="M35" s="1166"/>
      <c r="N35" s="1166"/>
      <c r="O35" s="1166"/>
      <c r="S35" s="2633" t="s">
        <v>417</v>
      </c>
      <c r="T35" s="2633"/>
      <c r="U35" s="1290"/>
      <c r="V35" s="2635" t="str">
        <f>IF(TITLE_NUMBER_PR_CHANGE="",IF(TITLE_NUMBER_PR="","",TITLE_NUMBER_PR),TITLE_NUMBER_PR_CHANGE)</f>
        <v/>
      </c>
      <c r="W35" s="2635"/>
      <c r="X35" s="2635"/>
      <c r="Y35" s="2635"/>
      <c r="Z35" s="2635"/>
      <c r="AA35" s="2635"/>
      <c r="AB35" s="2635"/>
      <c r="AC35" s="1553"/>
      <c r="AD35" s="2635" t="str">
        <f>IF(TITLE_NUMBER_PR_CHANGE="",IF(TITLE_NUMBER_PR="","",TITLE_NUMBER_PR),TITLE_NUMBER_PR_CHANGE)</f>
        <v/>
      </c>
      <c r="AE35" s="2635"/>
      <c r="AF35" s="2635"/>
      <c r="AG35" s="2635"/>
      <c r="AH35" s="2635"/>
      <c r="AI35" s="2635"/>
      <c r="AJ35" s="2635"/>
      <c r="AK35" s="1553"/>
      <c r="AL35" s="1553"/>
      <c r="AM35" s="217"/>
      <c r="AN35" s="304"/>
      <c r="AO35" s="304"/>
      <c r="AP35" s="304"/>
      <c r="AQ35" s="304"/>
      <c r="AR35" s="304"/>
      <c r="AS35" s="354">
        <v>0</v>
      </c>
    </row>
    <row r="36" spans="1:45" s="2416"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418</v>
      </c>
      <c r="AD36" s="1553"/>
      <c r="AE36" s="1553"/>
      <c r="AF36" s="1553"/>
      <c r="AG36" s="1553"/>
      <c r="AH36" s="1553"/>
      <c r="AI36" s="1553"/>
      <c r="AJ36" s="1553"/>
      <c r="AK36" s="1560" t="s">
        <v>418</v>
      </c>
      <c r="AN36" s="304"/>
      <c r="AO36" s="304"/>
      <c r="AP36" s="304"/>
      <c r="AQ36" s="304"/>
      <c r="AR36" s="304"/>
      <c r="AS36" s="354">
        <v>0</v>
      </c>
    </row>
    <row r="37" spans="1:45" ht="14.65" customHeight="1">
      <c r="Q37" s="312"/>
      <c r="R37" s="312"/>
      <c r="S37" s="1193"/>
      <c r="T37" s="393"/>
      <c r="U37" s="1162"/>
      <c r="V37" s="2654"/>
      <c r="W37" s="2654"/>
      <c r="X37" s="2654"/>
      <c r="Y37" s="2654"/>
      <c r="Z37" s="2654"/>
      <c r="AA37" s="2654"/>
      <c r="AB37" s="2654"/>
      <c r="AC37" s="2654"/>
      <c r="AD37" s="2654"/>
      <c r="AE37" s="2654"/>
      <c r="AF37" s="2654"/>
      <c r="AG37" s="2654"/>
      <c r="AH37" s="2654"/>
      <c r="AI37" s="2654"/>
      <c r="AJ37" s="2654"/>
      <c r="AK37" s="2654"/>
      <c r="AS37" s="1549">
        <v>14</v>
      </c>
    </row>
    <row r="38" spans="1:45" ht="14.65" customHeight="1">
      <c r="Q38" s="312"/>
      <c r="R38" s="312"/>
      <c r="S38" s="2514" t="s">
        <v>291</v>
      </c>
      <c r="T38" s="2514"/>
      <c r="U38" s="2514"/>
      <c r="V38" s="2514"/>
      <c r="W38" s="2514"/>
      <c r="X38" s="2514"/>
      <c r="Y38" s="2514"/>
      <c r="Z38" s="2514"/>
      <c r="AA38" s="2514"/>
      <c r="AB38" s="2514"/>
      <c r="AC38" s="2514"/>
      <c r="AD38" s="2514"/>
      <c r="AE38" s="2514"/>
      <c r="AF38" s="2514"/>
      <c r="AG38" s="2514"/>
      <c r="AH38" s="2514"/>
      <c r="AI38" s="2514"/>
      <c r="AJ38" s="2514"/>
      <c r="AK38" s="2514"/>
      <c r="AL38" s="2514"/>
      <c r="AM38" s="2514" t="s">
        <v>292</v>
      </c>
      <c r="AS38" s="1549">
        <v>14</v>
      </c>
    </row>
    <row r="39" spans="1:45" ht="14.65" customHeight="1">
      <c r="Q39" s="312"/>
      <c r="R39" s="312"/>
      <c r="S39" s="2655" t="s">
        <v>84</v>
      </c>
      <c r="T39" s="2603" t="s">
        <v>419</v>
      </c>
      <c r="U39" s="274"/>
      <c r="V39" s="2656" t="s">
        <v>420</v>
      </c>
      <c r="W39" s="2657"/>
      <c r="X39" s="2657"/>
      <c r="Y39" s="2657"/>
      <c r="Z39" s="2657"/>
      <c r="AA39" s="2657"/>
      <c r="AB39" s="2658"/>
      <c r="AC39" s="2659" t="s">
        <v>421</v>
      </c>
      <c r="AD39" s="2656" t="s">
        <v>420</v>
      </c>
      <c r="AE39" s="2657"/>
      <c r="AF39" s="2657"/>
      <c r="AG39" s="2657"/>
      <c r="AH39" s="2657"/>
      <c r="AI39" s="2657"/>
      <c r="AJ39" s="2658"/>
      <c r="AK39" s="2659" t="s">
        <v>422</v>
      </c>
      <c r="AL39" s="2662" t="s">
        <v>423</v>
      </c>
      <c r="AM39" s="2514"/>
      <c r="AS39" s="1549">
        <v>14</v>
      </c>
    </row>
    <row r="40" spans="1:45" ht="35.65" customHeight="1">
      <c r="Q40" s="312"/>
      <c r="R40" s="312"/>
      <c r="S40" s="2655"/>
      <c r="T40" s="2603"/>
      <c r="U40" s="954"/>
      <c r="V40" s="2573" t="s">
        <v>424</v>
      </c>
      <c r="W40" s="2651" t="s">
        <v>425</v>
      </c>
      <c r="X40" s="2496" t="s">
        <v>426</v>
      </c>
      <c r="Y40" s="2495"/>
      <c r="Z40" s="2496" t="s">
        <v>440</v>
      </c>
      <c r="AA40" s="2501"/>
      <c r="AB40" s="2495"/>
      <c r="AC40" s="2660"/>
      <c r="AD40" s="2573" t="s">
        <v>424</v>
      </c>
      <c r="AE40" s="2651" t="s">
        <v>425</v>
      </c>
      <c r="AF40" s="2496" t="s">
        <v>426</v>
      </c>
      <c r="AG40" s="2495"/>
      <c r="AH40" s="2496" t="s">
        <v>427</v>
      </c>
      <c r="AI40" s="2501"/>
      <c r="AJ40" s="2495"/>
      <c r="AK40" s="2660"/>
      <c r="AL40" s="2663"/>
      <c r="AM40" s="2514"/>
      <c r="AS40" s="1549">
        <v>34</v>
      </c>
    </row>
    <row r="41" spans="1:45" ht="35.65" customHeight="1">
      <c r="A41" s="1184"/>
      <c r="B41" s="1184" t="s">
        <v>128</v>
      </c>
      <c r="C41" s="1184" t="s">
        <v>129</v>
      </c>
      <c r="D41" s="1184" t="s">
        <v>130</v>
      </c>
      <c r="E41" s="1228" t="s">
        <v>428</v>
      </c>
      <c r="F41" s="1228" t="s">
        <v>429</v>
      </c>
      <c r="G41" s="1228" t="s">
        <v>430</v>
      </c>
      <c r="H41" s="1228" t="s">
        <v>431</v>
      </c>
      <c r="I41" s="1228" t="s">
        <v>432</v>
      </c>
      <c r="J41" s="1228" t="s">
        <v>433</v>
      </c>
      <c r="K41" s="1228" t="s">
        <v>434</v>
      </c>
      <c r="L41" s="1228" t="s">
        <v>409</v>
      </c>
      <c r="Q41" s="312"/>
      <c r="R41" s="312"/>
      <c r="S41" s="2655"/>
      <c r="T41" s="2603"/>
      <c r="U41" s="239"/>
      <c r="V41" s="2628"/>
      <c r="W41" s="2652"/>
      <c r="X41" s="1850" t="s">
        <v>435</v>
      </c>
      <c r="Y41" s="1850" t="s">
        <v>436</v>
      </c>
      <c r="Z41" s="1850" t="s">
        <v>437</v>
      </c>
      <c r="AA41" s="2608" t="s">
        <v>438</v>
      </c>
      <c r="AB41" s="2622"/>
      <c r="AC41" s="2661"/>
      <c r="AD41" s="2628"/>
      <c r="AE41" s="2652"/>
      <c r="AF41" s="1850" t="s">
        <v>435</v>
      </c>
      <c r="AG41" s="1850" t="s">
        <v>436</v>
      </c>
      <c r="AH41" s="1850" t="s">
        <v>437</v>
      </c>
      <c r="AI41" s="2608" t="s">
        <v>438</v>
      </c>
      <c r="AJ41" s="2622"/>
      <c r="AK41" s="2661"/>
      <c r="AL41" s="2664"/>
      <c r="AM41" s="2514"/>
      <c r="AS41" s="1549">
        <v>34</v>
      </c>
    </row>
    <row r="42" spans="1:45" s="2431"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102</v>
      </c>
      <c r="T42" s="1173" t="s">
        <v>103</v>
      </c>
      <c r="U42" s="1163" t="str">
        <f ca="1">OFFSET(U42,0,-1)</f>
        <v>2</v>
      </c>
      <c r="V42" s="1868">
        <f ca="1">OFFSET(V42,0,-1)+1</f>
        <v>3</v>
      </c>
      <c r="W42" s="1868"/>
      <c r="X42" s="1868">
        <f ca="1">OFFSET(X42,0,-1)+1</f>
        <v>1</v>
      </c>
      <c r="Y42" s="1868">
        <f ca="1">OFFSET(Y42,0,-1)+1</f>
        <v>2</v>
      </c>
      <c r="Z42" s="1868">
        <f ca="1">OFFSET(Z42,0,-1)+1</f>
        <v>3</v>
      </c>
      <c r="AA42" s="2653">
        <f ca="1">OFFSET(AA42,0,-1)+1</f>
        <v>4</v>
      </c>
      <c r="AB42" s="2653"/>
      <c r="AC42" s="1868">
        <f ca="1">OFFSET(AC42,0,-2)+1</f>
        <v>5</v>
      </c>
      <c r="AD42" s="1868">
        <f ca="1">OFFSET(AD42,0,-1)+1</f>
        <v>6</v>
      </c>
      <c r="AE42" s="1868"/>
      <c r="AF42" s="1868">
        <f ca="1">OFFSET(AF42,0,-1)+1</f>
        <v>1</v>
      </c>
      <c r="AG42" s="1868">
        <f ca="1">OFFSET(AG42,0,-1)+1</f>
        <v>2</v>
      </c>
      <c r="AH42" s="1868">
        <f ca="1">OFFSET(AH42,0,-1)+1</f>
        <v>3</v>
      </c>
      <c r="AI42" s="2653">
        <f ca="1">OFFSET(AI42,0,-1)+1</f>
        <v>4</v>
      </c>
      <c r="AJ42" s="2653"/>
      <c r="AK42" s="1868">
        <f ca="1">OFFSET(AK42,0,-2)+1</f>
        <v>5</v>
      </c>
      <c r="AL42" s="1163">
        <f ca="1">OFFSET(AL42,0,-1)</f>
        <v>5</v>
      </c>
      <c r="AM42" s="1868">
        <f ca="1">OFFSET(AM42,0,-1)+1</f>
        <v>6</v>
      </c>
      <c r="AN42" s="1554"/>
      <c r="AO42" s="1554"/>
      <c r="AP42" s="1554"/>
      <c r="AQ42" s="1554"/>
      <c r="AR42" s="1554"/>
      <c r="AS42" s="1559">
        <v>0</v>
      </c>
    </row>
    <row r="43" spans="1:45" ht="21.95" customHeight="1">
      <c r="A43" s="1185" t="s">
        <v>203</v>
      </c>
      <c r="B43" s="1185"/>
      <c r="C43" s="1185"/>
      <c r="D43" s="1185"/>
      <c r="E43" s="2668">
        <v>1</v>
      </c>
      <c r="F43" s="1185"/>
      <c r="G43" s="1185"/>
      <c r="H43" s="1185"/>
      <c r="I43" s="1185"/>
      <c r="J43" s="1185"/>
      <c r="K43" s="1185"/>
      <c r="L43" s="1228"/>
      <c r="M43" s="1528"/>
      <c r="N43" s="1528"/>
      <c r="O43" s="1528"/>
      <c r="P43" s="1508"/>
      <c r="Q43" s="296"/>
      <c r="R43" s="291"/>
      <c r="S43" s="1870">
        <f>INDEX(PT_DIFFERENTIATION_NUM_NTAR,MATCH(A43,PT_DIFFERENTIATION_NTAR_ID,0))</f>
        <v>0</v>
      </c>
      <c r="T43" s="1443" t="s">
        <v>116</v>
      </c>
      <c r="U43" s="237"/>
      <c r="V43" s="2636"/>
      <c r="W43" s="2637"/>
      <c r="X43" s="2637"/>
      <c r="Y43" s="2637"/>
      <c r="Z43" s="2637"/>
      <c r="AA43" s="2637"/>
      <c r="AB43" s="2637"/>
      <c r="AC43" s="2638"/>
      <c r="AD43" s="2636" t="str">
        <f>INDEX(PT_DIFFERENTIATION_NTAR,MATCH(A43,PT_DIFFERENTIATION_NTAR_ID,0))</f>
        <v/>
      </c>
      <c r="AE43" s="2637"/>
      <c r="AF43" s="2637"/>
      <c r="AG43" s="2637"/>
      <c r="AH43" s="2637"/>
      <c r="AI43" s="2637"/>
      <c r="AJ43" s="2637"/>
      <c r="AK43" s="2637"/>
      <c r="AL43" s="263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203</v>
      </c>
      <c r="B44" s="1185" t="s">
        <v>204</v>
      </c>
      <c r="C44" s="1185"/>
      <c r="D44" s="1185"/>
      <c r="E44" s="2669"/>
      <c r="F44" s="2668">
        <v>1</v>
      </c>
      <c r="G44" s="1185"/>
      <c r="H44" s="1185"/>
      <c r="I44" s="1185"/>
      <c r="J44" s="1185"/>
      <c r="K44" s="1185"/>
      <c r="L44" s="1228"/>
      <c r="M44" s="1528"/>
      <c r="N44" s="1528"/>
      <c r="O44" s="1528"/>
      <c r="P44" s="1852"/>
      <c r="Q44" s="288"/>
      <c r="R44" s="289"/>
      <c r="S44" s="1870" t="str">
        <f>INDEX(PT_DIFFERENTIATION_NUM_TER,MATCH(B44,PT_DIFFERENTIATION_TER_ID,0))</f>
        <v>.</v>
      </c>
      <c r="T44" s="1440" t="s">
        <v>388</v>
      </c>
      <c r="U44" s="237"/>
      <c r="V44" s="2636"/>
      <c r="W44" s="2637"/>
      <c r="X44" s="2637"/>
      <c r="Y44" s="2637"/>
      <c r="Z44" s="2637"/>
      <c r="AA44" s="2637"/>
      <c r="AB44" s="2637"/>
      <c r="AC44" s="2638"/>
      <c r="AD44" s="2636" t="str">
        <f>INDEX(PT_DIFFERENTIATION_TER,MATCH(B44,PT_DIFFERENTIATION_TER_ID,0))</f>
        <v/>
      </c>
      <c r="AE44" s="2637"/>
      <c r="AF44" s="2637"/>
      <c r="AG44" s="2637"/>
      <c r="AH44" s="2637"/>
      <c r="AI44" s="2637"/>
      <c r="AJ44" s="2637"/>
      <c r="AK44" s="2637"/>
      <c r="AL44" s="2638"/>
      <c r="AM44" s="1176" t="s">
        <v>389</v>
      </c>
      <c r="AO44" s="1542"/>
      <c r="AP44" s="1542" t="str">
        <f t="shared" si="1"/>
        <v>Территория действия тарифа</v>
      </c>
      <c r="AQ44" s="1542"/>
      <c r="AR44" s="1542"/>
      <c r="AS44" s="1549">
        <v>21</v>
      </c>
    </row>
    <row r="45" spans="1:45" ht="24" customHeight="1">
      <c r="A45" s="1185" t="s">
        <v>203</v>
      </c>
      <c r="B45" s="1185" t="s">
        <v>204</v>
      </c>
      <c r="C45" s="1185" t="s">
        <v>205</v>
      </c>
      <c r="D45" s="1185"/>
      <c r="E45" s="2669"/>
      <c r="F45" s="2669"/>
      <c r="G45" s="2668">
        <v>1</v>
      </c>
      <c r="H45" s="1185"/>
      <c r="I45" s="1185"/>
      <c r="J45" s="1185"/>
      <c r="K45" s="1185"/>
      <c r="L45" s="1228"/>
      <c r="M45" s="1528"/>
      <c r="N45" s="1528"/>
      <c r="O45" s="1528"/>
      <c r="P45" s="290"/>
      <c r="Q45" s="288"/>
      <c r="R45" s="289"/>
      <c r="S45" s="1870" t="str">
        <f>INDEX(PT_DIFFERENTIATION_NUM_CS,MATCH(C45,PT_DIFFERENTIATION_CS_ID,0))</f>
        <v>..</v>
      </c>
      <c r="T45" s="246" t="s">
        <v>390</v>
      </c>
      <c r="U45" s="237"/>
      <c r="V45" s="2636"/>
      <c r="W45" s="2637"/>
      <c r="X45" s="2637"/>
      <c r="Y45" s="2637"/>
      <c r="Z45" s="2637"/>
      <c r="AA45" s="2637"/>
      <c r="AB45" s="2637"/>
      <c r="AC45" s="2638"/>
      <c r="AD45" s="2636" t="str">
        <f>INDEX(PT_DIFFERENTIATION_CS,MATCH(C45,PT_DIFFERENTIATION_CS_ID,0))</f>
        <v/>
      </c>
      <c r="AE45" s="2637"/>
      <c r="AF45" s="2637"/>
      <c r="AG45" s="2637"/>
      <c r="AH45" s="2637"/>
      <c r="AI45" s="2637"/>
      <c r="AJ45" s="2637"/>
      <c r="AK45" s="2637"/>
      <c r="AL45" s="2638"/>
      <c r="AM45" s="1176" t="s">
        <v>391</v>
      </c>
      <c r="AO45" s="1542"/>
      <c r="AP45" s="1542" t="str">
        <f t="shared" si="1"/>
        <v xml:space="preserve">Наименование системы теплоснабжения </v>
      </c>
      <c r="AQ45" s="1542"/>
      <c r="AR45" s="1542"/>
      <c r="AS45" s="1549">
        <v>23</v>
      </c>
    </row>
    <row r="46" spans="1:45" ht="21.95" customHeight="1">
      <c r="A46" s="1185" t="s">
        <v>203</v>
      </c>
      <c r="B46" s="1185" t="s">
        <v>204</v>
      </c>
      <c r="C46" s="1185" t="s">
        <v>205</v>
      </c>
      <c r="D46" s="1185" t="s">
        <v>206</v>
      </c>
      <c r="E46" s="2669"/>
      <c r="F46" s="2669"/>
      <c r="G46" s="2669"/>
      <c r="H46" s="2668">
        <v>1</v>
      </c>
      <c r="I46" s="1185"/>
      <c r="J46" s="1185"/>
      <c r="K46" s="1185"/>
      <c r="L46" s="1228"/>
      <c r="M46" s="1528"/>
      <c r="N46" s="1528"/>
      <c r="O46" s="1528"/>
      <c r="P46" s="290"/>
      <c r="Q46" s="288"/>
      <c r="R46" s="289"/>
      <c r="S46" s="1870" t="str">
        <f>INDEX(PT_DIFFERENTIATION_NUM_IST_TE,MATCH(D46,PT_DIFFERENTIATION_IST_TE_ID,0))</f>
        <v>...</v>
      </c>
      <c r="T46" s="247" t="s">
        <v>392</v>
      </c>
      <c r="U46" s="237"/>
      <c r="V46" s="2636"/>
      <c r="W46" s="2637"/>
      <c r="X46" s="2637"/>
      <c r="Y46" s="2637"/>
      <c r="Z46" s="2637"/>
      <c r="AA46" s="2637"/>
      <c r="AB46" s="2637"/>
      <c r="AC46" s="2638"/>
      <c r="AD46" s="2636" t="str">
        <f>INDEX(PT_DIFFERENTIATION_IST_TE,MATCH(D46,PT_DIFFERENTIATION_IST_TE_ID,0))</f>
        <v/>
      </c>
      <c r="AE46" s="2637"/>
      <c r="AF46" s="2637"/>
      <c r="AG46" s="2637"/>
      <c r="AH46" s="2637"/>
      <c r="AI46" s="2637"/>
      <c r="AJ46" s="2637"/>
      <c r="AK46" s="2637"/>
      <c r="AL46" s="2638"/>
      <c r="AM46" s="1176" t="s">
        <v>393</v>
      </c>
      <c r="AO46" s="1542"/>
      <c r="AP46" s="1542" t="str">
        <f t="shared" si="1"/>
        <v xml:space="preserve">Источник тепловой энергии  </v>
      </c>
      <c r="AQ46" s="1542"/>
      <c r="AR46" s="1542"/>
      <c r="AS46" s="1549">
        <v>21</v>
      </c>
    </row>
    <row r="47" spans="1:45" ht="49.5" customHeight="1">
      <c r="A47" s="1185" t="s">
        <v>203</v>
      </c>
      <c r="B47" s="1185" t="s">
        <v>204</v>
      </c>
      <c r="C47" s="1185" t="s">
        <v>205</v>
      </c>
      <c r="D47" s="1185" t="s">
        <v>206</v>
      </c>
      <c r="E47" s="2669"/>
      <c r="F47" s="2669"/>
      <c r="G47" s="2669"/>
      <c r="H47" s="2669"/>
      <c r="I47" s="2514" t="str">
        <f>S46&amp;".1"</f>
        <v>....1</v>
      </c>
      <c r="J47" s="1185"/>
      <c r="K47" s="1185"/>
      <c r="L47" s="1228" t="s">
        <v>394</v>
      </c>
      <c r="P47" s="2646">
        <v>1</v>
      </c>
      <c r="Q47" s="1866"/>
      <c r="R47" s="292"/>
      <c r="S47" s="1870" t="str">
        <f>$I47</f>
        <v>....1</v>
      </c>
      <c r="T47" s="222" t="s">
        <v>395</v>
      </c>
      <c r="U47" s="237"/>
      <c r="V47" s="2630"/>
      <c r="W47" s="2631"/>
      <c r="X47" s="2631"/>
      <c r="Y47" s="2631"/>
      <c r="Z47" s="2631"/>
      <c r="AA47" s="2631"/>
      <c r="AB47" s="2631"/>
      <c r="AC47" s="2632"/>
      <c r="AD47" s="2630"/>
      <c r="AE47" s="2631"/>
      <c r="AF47" s="2631"/>
      <c r="AG47" s="2631"/>
      <c r="AH47" s="2631"/>
      <c r="AI47" s="2631"/>
      <c r="AJ47" s="2631"/>
      <c r="AK47" s="2631"/>
      <c r="AL47" s="2632"/>
      <c r="AM47" s="1176" t="s">
        <v>396</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203</v>
      </c>
      <c r="B48" s="1185" t="s">
        <v>204</v>
      </c>
      <c r="C48" s="1185" t="s">
        <v>205</v>
      </c>
      <c r="D48" s="1185" t="s">
        <v>206</v>
      </c>
      <c r="E48" s="2669"/>
      <c r="F48" s="2669"/>
      <c r="G48" s="2669"/>
      <c r="H48" s="2669"/>
      <c r="I48" s="2496"/>
      <c r="J48" s="2514" t="str">
        <f>I47&amp;".1"</f>
        <v>....1.1</v>
      </c>
      <c r="K48" s="1185"/>
      <c r="L48" s="1228" t="s">
        <v>397</v>
      </c>
      <c r="P48" s="2646"/>
      <c r="Q48" s="2646">
        <v>1</v>
      </c>
      <c r="R48" s="293"/>
      <c r="S48" s="1870" t="str">
        <f>$J48</f>
        <v>....1.1</v>
      </c>
      <c r="T48" s="223" t="s">
        <v>398</v>
      </c>
      <c r="U48" s="237"/>
      <c r="V48" s="2630"/>
      <c r="W48" s="2631"/>
      <c r="X48" s="2631"/>
      <c r="Y48" s="2631"/>
      <c r="Z48" s="2631"/>
      <c r="AA48" s="2631"/>
      <c r="AB48" s="2631"/>
      <c r="AC48" s="2632"/>
      <c r="AD48" s="2630"/>
      <c r="AE48" s="2631"/>
      <c r="AF48" s="2631"/>
      <c r="AG48" s="2631"/>
      <c r="AH48" s="2631"/>
      <c r="AI48" s="2631"/>
      <c r="AJ48" s="2631"/>
      <c r="AK48" s="2631"/>
      <c r="AL48" s="2632"/>
      <c r="AM48" s="1176" t="s">
        <v>399</v>
      </c>
      <c r="AO48" s="1542"/>
      <c r="AP48" s="1542" t="str">
        <f t="shared" si="1"/>
        <v>Группа потребителей</v>
      </c>
      <c r="AQ48" s="1542"/>
      <c r="AR48" s="1542"/>
      <c r="AS48" s="1549">
        <v>21</v>
      </c>
    </row>
    <row r="49" spans="1:45" ht="21.95" customHeight="1">
      <c r="A49" s="1185" t="s">
        <v>203</v>
      </c>
      <c r="B49" s="1185" t="s">
        <v>204</v>
      </c>
      <c r="C49" s="1185" t="s">
        <v>205</v>
      </c>
      <c r="D49" s="1185" t="s">
        <v>206</v>
      </c>
      <c r="E49" s="2669"/>
      <c r="F49" s="2669"/>
      <c r="G49" s="2669"/>
      <c r="H49" s="2669"/>
      <c r="I49" s="2496"/>
      <c r="J49" s="2496"/>
      <c r="K49" s="2514" t="str">
        <f>J48&amp;".1"</f>
        <v>....1.1.1</v>
      </c>
      <c r="L49" s="1228" t="s">
        <v>400</v>
      </c>
      <c r="P49" s="2646"/>
      <c r="Q49" s="2646"/>
      <c r="R49" s="293">
        <v>1</v>
      </c>
      <c r="S49" s="1870" t="str">
        <f>$K49</f>
        <v>....1.1.1</v>
      </c>
      <c r="T49" s="1265"/>
      <c r="U49" s="237"/>
      <c r="V49" s="687"/>
      <c r="W49" s="262"/>
      <c r="X49" s="687"/>
      <c r="Y49" s="1175"/>
      <c r="Z49" s="2647"/>
      <c r="AA49" s="2524" t="s">
        <v>65</v>
      </c>
      <c r="AB49" s="2647"/>
      <c r="AC49" s="2524" t="s">
        <v>65</v>
      </c>
      <c r="AD49" s="687"/>
      <c r="AE49" s="262"/>
      <c r="AF49" s="687"/>
      <c r="AG49" s="1175"/>
      <c r="AH49" s="2647"/>
      <c r="AI49" s="2524" t="s">
        <v>65</v>
      </c>
      <c r="AJ49" s="2649"/>
      <c r="AK49" s="2524" t="s">
        <v>65</v>
      </c>
      <c r="AL49" s="1266"/>
      <c r="AM49" s="2665" t="s">
        <v>401</v>
      </c>
      <c r="AN49" s="1554" t="e">
        <f ca="1">STRCHECKDATE(V50:AL50)</f>
        <v>#NAME?</v>
      </c>
      <c r="AO49" s="1542"/>
      <c r="AP49" s="1542" t="str">
        <f t="shared" si="1"/>
        <v/>
      </c>
      <c r="AQ49" s="1542"/>
      <c r="AR49" s="1542"/>
      <c r="AS49" s="1549">
        <v>21</v>
      </c>
    </row>
    <row r="50" spans="1:45" ht="1.1499999999999999" customHeight="1">
      <c r="A50" s="1185" t="s">
        <v>203</v>
      </c>
      <c r="B50" s="1185" t="s">
        <v>204</v>
      </c>
      <c r="C50" s="1185" t="s">
        <v>205</v>
      </c>
      <c r="D50" s="1185" t="s">
        <v>206</v>
      </c>
      <c r="E50" s="2669"/>
      <c r="F50" s="2669"/>
      <c r="G50" s="2669"/>
      <c r="H50" s="2669"/>
      <c r="I50" s="2496"/>
      <c r="J50" s="2496"/>
      <c r="K50" s="2514"/>
      <c r="L50" s="1228"/>
      <c r="P50" s="2646"/>
      <c r="Q50" s="2646"/>
      <c r="R50" s="293"/>
      <c r="S50" s="1879"/>
      <c r="T50" s="237"/>
      <c r="U50" s="237"/>
      <c r="V50" s="262"/>
      <c r="W50" s="262"/>
      <c r="X50" s="262"/>
      <c r="Y50" s="265" t="str">
        <f>Z49&amp;"-"&amp;AB49</f>
        <v>-</v>
      </c>
      <c r="Z50" s="2648"/>
      <c r="AA50" s="2524"/>
      <c r="AB50" s="2648"/>
      <c r="AC50" s="2524"/>
      <c r="AD50" s="262"/>
      <c r="AE50" s="262"/>
      <c r="AF50" s="262"/>
      <c r="AG50" s="265" t="str">
        <f>AH49&amp;"-"&amp;AJ49</f>
        <v>-</v>
      </c>
      <c r="AH50" s="2648"/>
      <c r="AI50" s="2524"/>
      <c r="AJ50" s="2650"/>
      <c r="AK50" s="2524"/>
      <c r="AL50" s="1267"/>
      <c r="AM50" s="2666"/>
      <c r="AO50" s="1542"/>
      <c r="AP50" s="1542" t="str">
        <f t="shared" si="1"/>
        <v/>
      </c>
      <c r="AQ50" s="1542"/>
      <c r="AR50" s="1542"/>
      <c r="AS50" s="1549">
        <v>1</v>
      </c>
    </row>
    <row r="51" spans="1:45" ht="11.45" customHeight="1">
      <c r="A51" s="1185" t="s">
        <v>203</v>
      </c>
      <c r="B51" s="1185" t="s">
        <v>204</v>
      </c>
      <c r="C51" s="1185" t="s">
        <v>205</v>
      </c>
      <c r="D51" s="1185" t="s">
        <v>206</v>
      </c>
      <c r="E51" s="2669"/>
      <c r="F51" s="2669"/>
      <c r="G51" s="2669"/>
      <c r="H51" s="2669"/>
      <c r="I51" s="2496"/>
      <c r="J51" s="2514"/>
      <c r="K51" s="1185"/>
      <c r="L51" s="1228"/>
      <c r="P51" s="2646"/>
      <c r="Q51" s="2646"/>
      <c r="R51" s="292"/>
      <c r="S51" s="1196"/>
      <c r="T51" s="225" t="s">
        <v>402</v>
      </c>
      <c r="U51" s="536"/>
      <c r="V51" s="536"/>
      <c r="W51" s="536"/>
      <c r="X51" s="536"/>
      <c r="Y51" s="536"/>
      <c r="Z51" s="536"/>
      <c r="AA51" s="536"/>
      <c r="AB51" s="536"/>
      <c r="AC51" s="536"/>
      <c r="AD51" s="536"/>
      <c r="AE51" s="536"/>
      <c r="AF51" s="536"/>
      <c r="AG51" s="536"/>
      <c r="AH51" s="536"/>
      <c r="AI51" s="536"/>
      <c r="AJ51" s="536"/>
      <c r="AK51" s="536"/>
      <c r="AL51" s="261"/>
      <c r="AM51" s="2667"/>
      <c r="AO51" s="1542"/>
      <c r="AP51" s="1542" t="str">
        <f t="shared" si="1"/>
        <v>Добавить вид теплоносителя (параметры теплоносителя)</v>
      </c>
      <c r="AQ51" s="1542"/>
      <c r="AR51" s="1542"/>
      <c r="AS51" s="1549">
        <v>11</v>
      </c>
    </row>
    <row r="52" spans="1:45" ht="11.45" customHeight="1">
      <c r="A52" s="1185" t="s">
        <v>203</v>
      </c>
      <c r="B52" s="1185" t="s">
        <v>204</v>
      </c>
      <c r="C52" s="1185" t="s">
        <v>205</v>
      </c>
      <c r="D52" s="1185" t="s">
        <v>206</v>
      </c>
      <c r="E52" s="2669"/>
      <c r="F52" s="2669"/>
      <c r="G52" s="2669"/>
      <c r="H52" s="2669"/>
      <c r="I52" s="2514"/>
      <c r="J52" s="1185"/>
      <c r="K52" s="1185"/>
      <c r="L52" s="1228"/>
      <c r="P52" s="2646"/>
      <c r="Q52" s="1866"/>
      <c r="R52" s="292"/>
      <c r="S52" s="1196"/>
      <c r="T52" s="224" t="s">
        <v>403</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203</v>
      </c>
      <c r="B53" s="1185" t="s">
        <v>204</v>
      </c>
      <c r="C53" s="1185" t="s">
        <v>205</v>
      </c>
      <c r="D53" s="1185" t="s">
        <v>206</v>
      </c>
      <c r="E53" s="2669"/>
      <c r="F53" s="2669"/>
      <c r="G53" s="2669"/>
      <c r="H53" s="2668"/>
      <c r="I53" s="1185"/>
      <c r="J53" s="1185"/>
      <c r="K53" s="1185"/>
      <c r="L53" s="1228"/>
      <c r="M53" s="1528"/>
      <c r="N53" s="1528"/>
      <c r="O53" s="1553"/>
      <c r="P53" s="296"/>
      <c r="Q53" s="311"/>
      <c r="R53" s="291"/>
      <c r="S53" s="1196"/>
      <c r="T53" s="301" t="s">
        <v>404</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407" customFormat="1" ht="4.1500000000000004" customHeight="1">
      <c r="A54" s="1293" t="s">
        <v>203</v>
      </c>
      <c r="B54" s="1293" t="s">
        <v>204</v>
      </c>
      <c r="C54" s="1293" t="s">
        <v>205</v>
      </c>
      <c r="D54" s="1292"/>
      <c r="E54" s="2669"/>
      <c r="F54" s="2669"/>
      <c r="G54" s="2668"/>
      <c r="H54" s="1292"/>
      <c r="I54" s="1292"/>
      <c r="J54" s="1292"/>
      <c r="K54" s="1292"/>
      <c r="L54" s="1295"/>
      <c r="M54" s="1296"/>
      <c r="N54" s="1296"/>
      <c r="O54" s="287"/>
      <c r="P54" s="1234"/>
      <c r="Q54" s="1235"/>
      <c r="R54" s="1234"/>
      <c r="S54" s="1240"/>
      <c r="T54" s="1243" t="s">
        <v>405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407" customFormat="1" ht="4.1500000000000004" customHeight="1">
      <c r="A55" s="1293" t="s">
        <v>203</v>
      </c>
      <c r="B55" s="1293" t="s">
        <v>204</v>
      </c>
      <c r="C55" s="1292"/>
      <c r="D55" s="1292"/>
      <c r="E55" s="2669"/>
      <c r="F55" s="2668"/>
      <c r="G55" s="1292"/>
      <c r="H55" s="1292"/>
      <c r="I55" s="1292"/>
      <c r="J55" s="1292"/>
      <c r="K55" s="1292"/>
      <c r="L55" s="1295"/>
      <c r="M55" s="1297"/>
      <c r="N55" s="1297"/>
      <c r="O55" s="287"/>
      <c r="P55" s="1234"/>
      <c r="Q55" s="1235"/>
      <c r="R55" s="1234"/>
      <c r="S55" s="1240"/>
      <c r="T55" s="1243" t="s">
        <v>406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407" customFormat="1" ht="4.1500000000000004" customHeight="1">
      <c r="A56" s="1293" t="s">
        <v>203</v>
      </c>
      <c r="B56" s="1293"/>
      <c r="C56" s="1293"/>
      <c r="D56" s="1293"/>
      <c r="E56" s="2668"/>
      <c r="F56" s="1293"/>
      <c r="G56" s="1293"/>
      <c r="H56" s="1293"/>
      <c r="I56" s="1293"/>
      <c r="J56" s="1293"/>
      <c r="K56" s="1293"/>
      <c r="L56" s="1299"/>
      <c r="M56" s="1297"/>
      <c r="N56" s="1297"/>
      <c r="O56" s="287"/>
      <c r="P56" s="316"/>
      <c r="Q56" s="1262"/>
      <c r="R56" s="316"/>
      <c r="S56" s="1240"/>
      <c r="T56" s="1243" t="s">
        <v>407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407" customFormat="1" ht="4.1500000000000004" customHeight="1">
      <c r="A57" s="1292"/>
      <c r="B57" s="1292"/>
      <c r="C57" s="1292"/>
      <c r="D57" s="1292"/>
      <c r="E57" s="1293"/>
      <c r="F57" s="1292"/>
      <c r="G57" s="1292"/>
      <c r="H57" s="1292"/>
      <c r="I57" s="1292"/>
      <c r="J57" s="1292"/>
      <c r="K57" s="1292"/>
      <c r="L57" s="1295"/>
      <c r="M57" s="1297"/>
      <c r="N57" s="1297"/>
      <c r="O57" s="287"/>
      <c r="P57" s="1234"/>
      <c r="Q57" s="1235"/>
      <c r="R57" s="1234"/>
      <c r="S57" s="1240"/>
      <c r="T57" s="1243" t="s">
        <v>439</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641"/>
      <c r="U59" s="2641"/>
      <c r="V59" s="2641"/>
      <c r="W59" s="2641"/>
      <c r="X59" s="2641"/>
      <c r="Y59" s="2641"/>
      <c r="Z59" s="2641"/>
      <c r="AA59" s="2641"/>
      <c r="AB59" s="2641"/>
      <c r="AC59" s="2641"/>
      <c r="AD59" s="2641"/>
      <c r="AE59" s="2641"/>
      <c r="AF59" s="2641"/>
      <c r="AG59" s="2641"/>
      <c r="AH59" s="2641"/>
      <c r="AI59" s="2641"/>
      <c r="AJ59" s="2641"/>
      <c r="AK59" s="2641"/>
      <c r="AL59" s="2641"/>
      <c r="AM59" s="2641"/>
      <c r="AS59" s="1549">
        <v>27</v>
      </c>
    </row>
    <row r="60" spans="1:45" ht="65.25" customHeight="1">
      <c r="O60" s="1553"/>
      <c r="T60" s="2641"/>
      <c r="U60" s="2641"/>
      <c r="V60" s="2641"/>
      <c r="W60" s="2641"/>
      <c r="X60" s="2641"/>
      <c r="Y60" s="2641"/>
      <c r="Z60" s="2641"/>
      <c r="AA60" s="2641"/>
      <c r="AB60" s="2641"/>
      <c r="AC60" s="2641"/>
      <c r="AD60" s="2641"/>
      <c r="AE60" s="2641"/>
      <c r="AF60" s="2641"/>
      <c r="AG60" s="2641"/>
      <c r="AH60" s="2641"/>
      <c r="AI60" s="2641"/>
      <c r="AJ60" s="2641"/>
      <c r="AK60" s="2641"/>
      <c r="AL60" s="2641"/>
      <c r="AM60" s="2641"/>
      <c r="AS60" s="1549">
        <v>62</v>
      </c>
    </row>
    <row r="61" spans="1:45" ht="14.65" customHeight="1">
      <c r="O61" s="1553"/>
      <c r="AS61" s="1549">
        <v>14</v>
      </c>
    </row>
    <row r="62" spans="1:45" ht="18.75" customHeight="1">
      <c r="O62" s="1553"/>
      <c r="S62" s="1171"/>
      <c r="T62" s="2641"/>
      <c r="U62" s="2641"/>
      <c r="V62" s="2641"/>
      <c r="W62" s="2641"/>
      <c r="X62" s="2641"/>
      <c r="Y62" s="2641"/>
      <c r="Z62" s="2641"/>
      <c r="AA62" s="2641"/>
      <c r="AB62" s="2641"/>
      <c r="AC62" s="2641"/>
      <c r="AD62" s="2641"/>
      <c r="AE62" s="2641"/>
      <c r="AF62" s="2641"/>
      <c r="AG62" s="2641"/>
      <c r="AH62" s="2641"/>
      <c r="AI62" s="2641"/>
      <c r="AJ62" s="2641"/>
      <c r="AK62" s="2641"/>
      <c r="AL62" s="2641"/>
      <c r="AM62" s="2641"/>
      <c r="AS62" s="1549">
        <v>18</v>
      </c>
    </row>
    <row r="63" spans="1:45" ht="18.75" customHeight="1">
      <c r="O63" s="1553"/>
      <c r="T63" s="2641"/>
      <c r="U63" s="2641"/>
      <c r="V63" s="2641"/>
      <c r="W63" s="2641"/>
      <c r="X63" s="2641"/>
      <c r="Y63" s="2641"/>
      <c r="Z63" s="2641"/>
      <c r="AA63" s="2641"/>
      <c r="AB63" s="2641"/>
      <c r="AC63" s="2641"/>
      <c r="AD63" s="2641"/>
      <c r="AE63" s="2641"/>
      <c r="AF63" s="2641"/>
      <c r="AG63" s="2641"/>
      <c r="AH63" s="2641"/>
      <c r="AI63" s="2641"/>
      <c r="AJ63" s="2641"/>
      <c r="AK63" s="2641"/>
      <c r="AL63" s="2641"/>
      <c r="AM63" s="2641"/>
      <c r="AS63" s="1549">
        <v>18</v>
      </c>
    </row>
    <row r="64" spans="1:45" ht="29.25" customHeight="1">
      <c r="O64" s="1553"/>
      <c r="S64" s="1171"/>
      <c r="T64" s="2641"/>
      <c r="U64" s="2641"/>
      <c r="V64" s="2641"/>
      <c r="W64" s="2641"/>
      <c r="X64" s="2641"/>
      <c r="Y64" s="2641"/>
      <c r="Z64" s="2641"/>
      <c r="AA64" s="2641"/>
      <c r="AB64" s="2641"/>
      <c r="AC64" s="2641"/>
      <c r="AD64" s="2641"/>
      <c r="AE64" s="2641"/>
      <c r="AF64" s="2641"/>
      <c r="AG64" s="2641"/>
      <c r="AH64" s="2641"/>
      <c r="AI64" s="2641"/>
      <c r="AJ64" s="2641"/>
      <c r="AK64" s="2641"/>
      <c r="AL64" s="2641"/>
      <c r="AM64" s="2641"/>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0" hidden="1"/>
    <col min="2" max="2" width="11" style="2400" hidden="1" customWidth="1"/>
    <col min="3" max="3" width="10.5703125" style="2400" hidden="1"/>
    <col min="4" max="4" width="11.85546875" style="2400" hidden="1" customWidth="1"/>
    <col min="5" max="5" width="10" style="2400" hidden="1" customWidth="1"/>
    <col min="6" max="6" width="8.7109375" style="2400" hidden="1" customWidth="1"/>
    <col min="7" max="7" width="7.5703125" style="2400" hidden="1" customWidth="1"/>
    <col min="8" max="8" width="11.42578125" style="2400" hidden="1" customWidth="1"/>
    <col min="9" max="9" width="12" style="2400" hidden="1" customWidth="1"/>
    <col min="10" max="10" width="9.85546875" style="2400" hidden="1" customWidth="1"/>
    <col min="11" max="11" width="11.42578125" style="2400" hidden="1" customWidth="1"/>
    <col min="12" max="12" width="19.140625" style="2404" hidden="1" customWidth="1"/>
    <col min="13" max="14" width="12.28515625" style="2434" hidden="1" customWidth="1"/>
    <col min="15" max="15" width="23.42578125" style="2434" hidden="1" customWidth="1"/>
    <col min="16" max="16" width="3" style="2434" customWidth="1"/>
    <col min="17" max="18" width="3" style="2435" customWidth="1"/>
    <col min="19" max="19" width="12" style="2436" customWidth="1"/>
    <col min="20" max="20" width="31" style="2400" customWidth="1"/>
    <col min="21" max="21" width="0.140625" style="2400" customWidth="1"/>
    <col min="22" max="22" width="24.7109375" style="2400" hidden="1" customWidth="1"/>
    <col min="23" max="23" width="0.140625" style="2400" hidden="1" customWidth="1"/>
    <col min="24" max="25" width="24.7109375" style="2400" hidden="1" customWidth="1"/>
    <col min="26" max="26" width="11.7109375" style="2400" hidden="1" customWidth="1"/>
    <col min="27" max="27" width="3.7109375" style="2400" hidden="1" customWidth="1"/>
    <col min="28" max="28" width="11.7109375" style="2400" hidden="1" customWidth="1"/>
    <col min="29" max="29" width="8.5703125" style="2400" hidden="1" customWidth="1"/>
    <col min="30" max="30" width="24.7109375" style="2400" customWidth="1"/>
    <col min="31" max="31" width="0.140625" style="2400" customWidth="1"/>
    <col min="32" max="33" width="24" style="2400" customWidth="1"/>
    <col min="34" max="34" width="11" style="2400" customWidth="1"/>
    <col min="35" max="35" width="3.7109375" style="2400" customWidth="1"/>
    <col min="36" max="36" width="11" style="2400" customWidth="1"/>
    <col min="37" max="37" width="8.5703125" style="2400" hidden="1" customWidth="1"/>
    <col min="38" max="38" width="4" style="2400" customWidth="1"/>
    <col min="39" max="39" width="115" style="2400" customWidth="1"/>
    <col min="40" max="44" width="10" style="2407" customWidth="1"/>
    <col min="45" max="45" width="10.5703125" style="2400" hidden="1"/>
  </cols>
  <sheetData>
    <row r="1" spans="1:45" ht="22.5" hidden="1" customHeight="1">
      <c r="AS1" s="1549" t="s">
        <v>14</v>
      </c>
    </row>
    <row r="2" spans="1:45" ht="21" hidden="1" customHeight="1">
      <c r="A2" s="1185"/>
      <c r="B2" s="1185"/>
      <c r="C2" s="1185"/>
      <c r="D2" s="1185"/>
      <c r="E2" s="2668">
        <v>1</v>
      </c>
      <c r="F2" s="1185"/>
      <c r="G2" s="1185"/>
      <c r="H2" s="1185"/>
      <c r="I2" s="1185"/>
      <c r="J2" s="1185"/>
      <c r="K2" s="1185"/>
      <c r="L2" s="1228"/>
      <c r="M2" s="1528"/>
      <c r="N2" s="1528"/>
      <c r="O2" s="1528"/>
      <c r="P2" s="1508"/>
      <c r="Q2" s="296"/>
      <c r="R2" s="291"/>
      <c r="S2" s="1870" t="e">
        <f>INDEX(PT_DIFFERENTIATION_NUM_NTAR,MATCH(A2,PT_DIFFERENTIATION_NTAR_ID,0))</f>
        <v>#N/A</v>
      </c>
      <c r="T2" s="1443" t="s">
        <v>116</v>
      </c>
      <c r="U2" s="237"/>
      <c r="V2" s="2636"/>
      <c r="W2" s="2637"/>
      <c r="X2" s="2637"/>
      <c r="Y2" s="2637"/>
      <c r="Z2" s="2637"/>
      <c r="AA2" s="2637"/>
      <c r="AB2" s="2637"/>
      <c r="AC2" s="2638"/>
      <c r="AD2" s="2636" t="e">
        <f>INDEX(PT_DIFFERENTIATION_NTAR,MATCH(A2,PT_DIFFERENTIATION_NTAR_ID,0))</f>
        <v>#N/A</v>
      </c>
      <c r="AE2" s="2637"/>
      <c r="AF2" s="2637"/>
      <c r="AG2" s="2637"/>
      <c r="AH2" s="2637"/>
      <c r="AI2" s="2637"/>
      <c r="AJ2" s="2637"/>
      <c r="AK2" s="2637"/>
      <c r="AL2" s="2638"/>
      <c r="AM2" s="1176" t="s">
        <v>387</v>
      </c>
      <c r="AO2" s="1542"/>
      <c r="AP2" s="1542" t="str">
        <f t="shared" ref="AP2:AP15" si="0">IF(T2="","",T2)</f>
        <v>Наименование тарифа</v>
      </c>
      <c r="AQ2" s="1542"/>
      <c r="AR2" s="1542"/>
      <c r="AS2" s="1549">
        <v>0</v>
      </c>
    </row>
    <row r="3" spans="1:45" ht="21" hidden="1" customHeight="1">
      <c r="A3" s="1185"/>
      <c r="B3" s="1185"/>
      <c r="C3" s="1185"/>
      <c r="D3" s="1185"/>
      <c r="E3" s="2669"/>
      <c r="F3" s="2668">
        <v>1</v>
      </c>
      <c r="G3" s="1185"/>
      <c r="H3" s="1185"/>
      <c r="I3" s="1185"/>
      <c r="J3" s="1185"/>
      <c r="K3" s="1185"/>
      <c r="L3" s="1228"/>
      <c r="M3" s="1528"/>
      <c r="N3" s="1528"/>
      <c r="O3" s="1528"/>
      <c r="P3" s="1852"/>
      <c r="Q3" s="288"/>
      <c r="R3" s="289"/>
      <c r="S3" s="1870" t="e">
        <f>INDEX(PT_DIFFERENTIATION_NUM_TER,MATCH(B3,PT_DIFFERENTIATION_TER_ID,0))</f>
        <v>#N/A</v>
      </c>
      <c r="T3" s="1440" t="s">
        <v>388</v>
      </c>
      <c r="U3" s="237"/>
      <c r="V3" s="2636"/>
      <c r="W3" s="2637"/>
      <c r="X3" s="2637"/>
      <c r="Y3" s="2637"/>
      <c r="Z3" s="2637"/>
      <c r="AA3" s="2637"/>
      <c r="AB3" s="2637"/>
      <c r="AC3" s="2638"/>
      <c r="AD3" s="2636" t="e">
        <f>INDEX(PT_DIFFERENTIATION_TER,MATCH(B3,PT_DIFFERENTIATION_TER_ID,0))</f>
        <v>#N/A</v>
      </c>
      <c r="AE3" s="2637"/>
      <c r="AF3" s="2637"/>
      <c r="AG3" s="2637"/>
      <c r="AH3" s="2637"/>
      <c r="AI3" s="2637"/>
      <c r="AJ3" s="2637"/>
      <c r="AK3" s="2637"/>
      <c r="AL3" s="2638"/>
      <c r="AM3" s="1176" t="s">
        <v>389</v>
      </c>
      <c r="AO3" s="1542"/>
      <c r="AP3" s="1542" t="str">
        <f t="shared" si="0"/>
        <v>Территория действия тарифа</v>
      </c>
      <c r="AQ3" s="1542"/>
      <c r="AR3" s="1542"/>
      <c r="AS3" s="1549">
        <v>0</v>
      </c>
    </row>
    <row r="4" spans="1:45" ht="23.25" hidden="1" customHeight="1">
      <c r="A4" s="1185"/>
      <c r="B4" s="1185"/>
      <c r="C4" s="1185"/>
      <c r="D4" s="1185"/>
      <c r="E4" s="2669"/>
      <c r="F4" s="2669"/>
      <c r="G4" s="2668">
        <v>1</v>
      </c>
      <c r="H4" s="1185"/>
      <c r="I4" s="1185"/>
      <c r="J4" s="1185"/>
      <c r="K4" s="1185"/>
      <c r="L4" s="1228"/>
      <c r="M4" s="1528"/>
      <c r="N4" s="1528"/>
      <c r="O4" s="1528"/>
      <c r="P4" s="290"/>
      <c r="Q4" s="288"/>
      <c r="R4" s="289"/>
      <c r="S4" s="1870" t="e">
        <f>INDEX(PT_DIFFERENTIATION_NUM_CS,MATCH(C4,PT_DIFFERENTIATION_CS_ID,0))</f>
        <v>#N/A</v>
      </c>
      <c r="T4" s="246" t="s">
        <v>390</v>
      </c>
      <c r="U4" s="237"/>
      <c r="V4" s="2636"/>
      <c r="W4" s="2637"/>
      <c r="X4" s="2637"/>
      <c r="Y4" s="2637"/>
      <c r="Z4" s="2637"/>
      <c r="AA4" s="2637"/>
      <c r="AB4" s="2637"/>
      <c r="AC4" s="2638"/>
      <c r="AD4" s="2636" t="e">
        <f>INDEX(PT_DIFFERENTIATION_CS,MATCH(C4,PT_DIFFERENTIATION_CS_ID,0))</f>
        <v>#N/A</v>
      </c>
      <c r="AE4" s="2637"/>
      <c r="AF4" s="2637"/>
      <c r="AG4" s="2637"/>
      <c r="AH4" s="2637"/>
      <c r="AI4" s="2637"/>
      <c r="AJ4" s="2637"/>
      <c r="AK4" s="2637"/>
      <c r="AL4" s="2638"/>
      <c r="AM4" s="1176" t="s">
        <v>391</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669"/>
      <c r="F5" s="2669"/>
      <c r="G5" s="2669"/>
      <c r="H5" s="2668">
        <v>1</v>
      </c>
      <c r="I5" s="1185"/>
      <c r="J5" s="1185"/>
      <c r="K5" s="1185"/>
      <c r="L5" s="1228"/>
      <c r="M5" s="1528"/>
      <c r="N5" s="1528"/>
      <c r="O5" s="1528"/>
      <c r="P5" s="290"/>
      <c r="Q5" s="288"/>
      <c r="R5" s="289"/>
      <c r="S5" s="1870" t="e">
        <f>INDEX(PT_DIFFERENTIATION_NUM_IST_TE,MATCH(D5,PT_DIFFERENTIATION_IST_TE_ID,0))</f>
        <v>#N/A</v>
      </c>
      <c r="T5" s="247" t="s">
        <v>392</v>
      </c>
      <c r="U5" s="237"/>
      <c r="V5" s="2636"/>
      <c r="W5" s="2637"/>
      <c r="X5" s="2637"/>
      <c r="Y5" s="2637"/>
      <c r="Z5" s="2637"/>
      <c r="AA5" s="2637"/>
      <c r="AB5" s="2637"/>
      <c r="AC5" s="2638"/>
      <c r="AD5" s="2636" t="e">
        <f>INDEX(PT_DIFFERENTIATION_IST_TE,MATCH(D5,PT_DIFFERENTIATION_IST_TE_ID,0))</f>
        <v>#N/A</v>
      </c>
      <c r="AE5" s="2637"/>
      <c r="AF5" s="2637"/>
      <c r="AG5" s="2637"/>
      <c r="AH5" s="2637"/>
      <c r="AI5" s="2637"/>
      <c r="AJ5" s="2637"/>
      <c r="AK5" s="2637"/>
      <c r="AL5" s="2638"/>
      <c r="AM5" s="1176" t="s">
        <v>393</v>
      </c>
      <c r="AO5" s="1542"/>
      <c r="AP5" s="1542" t="str">
        <f t="shared" si="0"/>
        <v xml:space="preserve">Источник тепловой энергии  </v>
      </c>
      <c r="AQ5" s="1542"/>
      <c r="AR5" s="1542"/>
      <c r="AS5" s="1549">
        <v>0</v>
      </c>
    </row>
    <row r="6" spans="1:45" ht="47.25" hidden="1" customHeight="1">
      <c r="A6" s="1185"/>
      <c r="B6" s="1185"/>
      <c r="C6" s="1185"/>
      <c r="D6" s="1185"/>
      <c r="E6" s="2669"/>
      <c r="F6" s="2669"/>
      <c r="G6" s="2669"/>
      <c r="H6" s="2669"/>
      <c r="I6" s="2514" t="e">
        <f>S5&amp;".1"</f>
        <v>#N/A</v>
      </c>
      <c r="J6" s="1185"/>
      <c r="K6" s="1185"/>
      <c r="L6" s="1228" t="s">
        <v>394</v>
      </c>
      <c r="M6" s="1553"/>
      <c r="P6" s="2646">
        <v>1</v>
      </c>
      <c r="Q6" s="1866"/>
      <c r="R6" s="292"/>
      <c r="S6" s="1870" t="e">
        <f>$I6</f>
        <v>#N/A</v>
      </c>
      <c r="T6" s="222" t="s">
        <v>395</v>
      </c>
      <c r="U6" s="237"/>
      <c r="V6" s="2630"/>
      <c r="W6" s="2631"/>
      <c r="X6" s="2631"/>
      <c r="Y6" s="2631"/>
      <c r="Z6" s="2631"/>
      <c r="AA6" s="2631"/>
      <c r="AB6" s="2631"/>
      <c r="AC6" s="2632"/>
      <c r="AD6" s="2630"/>
      <c r="AE6" s="2631"/>
      <c r="AF6" s="2631"/>
      <c r="AG6" s="2631"/>
      <c r="AH6" s="2631"/>
      <c r="AI6" s="2631"/>
      <c r="AJ6" s="2631"/>
      <c r="AK6" s="2631"/>
      <c r="AL6" s="2632"/>
      <c r="AM6" s="1176" t="s">
        <v>396</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669"/>
      <c r="F7" s="2669"/>
      <c r="G7" s="2669"/>
      <c r="H7" s="2669"/>
      <c r="I7" s="2496"/>
      <c r="J7" s="2514" t="e">
        <f>I6&amp;".1"</f>
        <v>#N/A</v>
      </c>
      <c r="K7" s="1185"/>
      <c r="L7" s="1228" t="s">
        <v>397</v>
      </c>
      <c r="M7" s="1553"/>
      <c r="N7" s="1549"/>
      <c r="P7" s="2646"/>
      <c r="Q7" s="2646">
        <v>1</v>
      </c>
      <c r="R7" s="293"/>
      <c r="S7" s="1870" t="e">
        <f>$J7</f>
        <v>#N/A</v>
      </c>
      <c r="T7" s="223" t="s">
        <v>398</v>
      </c>
      <c r="U7" s="237"/>
      <c r="V7" s="2630"/>
      <c r="W7" s="2631"/>
      <c r="X7" s="2631"/>
      <c r="Y7" s="2631"/>
      <c r="Z7" s="2631"/>
      <c r="AA7" s="2631"/>
      <c r="AB7" s="2631"/>
      <c r="AC7" s="2632"/>
      <c r="AD7" s="2630"/>
      <c r="AE7" s="2631"/>
      <c r="AF7" s="2631"/>
      <c r="AG7" s="2631"/>
      <c r="AH7" s="2631"/>
      <c r="AI7" s="2631"/>
      <c r="AJ7" s="2631"/>
      <c r="AK7" s="2631"/>
      <c r="AL7" s="2632"/>
      <c r="AM7" s="1176" t="s">
        <v>399</v>
      </c>
      <c r="AO7" s="1542"/>
      <c r="AP7" s="1542" t="str">
        <f t="shared" si="0"/>
        <v>Группа потребителей</v>
      </c>
      <c r="AQ7" s="1542"/>
      <c r="AR7" s="1542"/>
      <c r="AS7" s="1549">
        <v>0</v>
      </c>
    </row>
    <row r="8" spans="1:45" ht="21" hidden="1" customHeight="1">
      <c r="A8" s="1185"/>
      <c r="B8" s="1185"/>
      <c r="C8" s="1185"/>
      <c r="D8" s="1185"/>
      <c r="E8" s="2669"/>
      <c r="F8" s="2669"/>
      <c r="G8" s="2669"/>
      <c r="H8" s="2669"/>
      <c r="I8" s="2496"/>
      <c r="J8" s="2496"/>
      <c r="K8" s="2514" t="e">
        <f>J7&amp;".1"</f>
        <v>#N/A</v>
      </c>
      <c r="L8" s="1228" t="s">
        <v>400</v>
      </c>
      <c r="M8" s="1553"/>
      <c r="N8" s="1549"/>
      <c r="O8" s="1549"/>
      <c r="P8" s="2646"/>
      <c r="Q8" s="2646"/>
      <c r="R8" s="293">
        <v>1</v>
      </c>
      <c r="S8" s="1870" t="e">
        <f>$K8</f>
        <v>#N/A</v>
      </c>
      <c r="T8" s="1265"/>
      <c r="U8" s="237"/>
      <c r="V8" s="687"/>
      <c r="W8" s="262"/>
      <c r="X8" s="687"/>
      <c r="Y8" s="1175"/>
      <c r="Z8" s="2647"/>
      <c r="AA8" s="2524" t="s">
        <v>65</v>
      </c>
      <c r="AB8" s="2647"/>
      <c r="AC8" s="2524" t="s">
        <v>65</v>
      </c>
      <c r="AD8" s="687"/>
      <c r="AE8" s="262"/>
      <c r="AF8" s="687"/>
      <c r="AG8" s="1175"/>
      <c r="AH8" s="2647"/>
      <c r="AI8" s="2524" t="s">
        <v>65</v>
      </c>
      <c r="AJ8" s="2647"/>
      <c r="AK8" s="2524" t="s">
        <v>65</v>
      </c>
      <c r="AL8" s="262"/>
      <c r="AM8" s="2665" t="s">
        <v>401</v>
      </c>
      <c r="AN8" s="1554" t="e">
        <f ca="1">STRCHECKDATE(V9:AL9)</f>
        <v>#NAME?</v>
      </c>
      <c r="AO8" s="1542"/>
      <c r="AP8" s="1542" t="str">
        <f t="shared" si="0"/>
        <v/>
      </c>
      <c r="AQ8" s="1542"/>
      <c r="AR8" s="1542"/>
      <c r="AS8" s="1549">
        <v>0</v>
      </c>
    </row>
    <row r="9" spans="1:45" ht="0.75" hidden="1" customHeight="1">
      <c r="A9" s="1185"/>
      <c r="B9" s="1185"/>
      <c r="C9" s="1185"/>
      <c r="D9" s="1185"/>
      <c r="E9" s="2669"/>
      <c r="F9" s="2669"/>
      <c r="G9" s="2669"/>
      <c r="H9" s="2669"/>
      <c r="I9" s="2496"/>
      <c r="J9" s="2496"/>
      <c r="K9" s="2514"/>
      <c r="L9" s="1228"/>
      <c r="M9" s="1553"/>
      <c r="N9" s="1549"/>
      <c r="O9" s="1549"/>
      <c r="P9" s="2646"/>
      <c r="Q9" s="2646"/>
      <c r="R9" s="293"/>
      <c r="S9" s="1879"/>
      <c r="T9" s="237"/>
      <c r="U9" s="237"/>
      <c r="V9" s="262"/>
      <c r="W9" s="262"/>
      <c r="X9" s="262"/>
      <c r="Y9" s="265" t="str">
        <f>Z8&amp;"-"&amp;AB8</f>
        <v>-</v>
      </c>
      <c r="Z9" s="2648"/>
      <c r="AA9" s="2524"/>
      <c r="AB9" s="2648"/>
      <c r="AC9" s="2524"/>
      <c r="AD9" s="262"/>
      <c r="AE9" s="262"/>
      <c r="AF9" s="262"/>
      <c r="AG9" s="265" t="str">
        <f>AH8&amp;"-"&amp;AJ8</f>
        <v>-</v>
      </c>
      <c r="AH9" s="2648"/>
      <c r="AI9" s="2524"/>
      <c r="AJ9" s="2648"/>
      <c r="AK9" s="2524"/>
      <c r="AL9" s="262"/>
      <c r="AM9" s="2666"/>
      <c r="AO9" s="1542"/>
      <c r="AP9" s="1542" t="str">
        <f t="shared" si="0"/>
        <v/>
      </c>
      <c r="AQ9" s="1542"/>
      <c r="AR9" s="1542"/>
      <c r="AS9" s="1549">
        <v>0</v>
      </c>
    </row>
    <row r="10" spans="1:45" ht="15" hidden="1" customHeight="1">
      <c r="A10" s="1185"/>
      <c r="B10" s="1185"/>
      <c r="C10" s="1185"/>
      <c r="D10" s="1185"/>
      <c r="E10" s="2669"/>
      <c r="F10" s="2669"/>
      <c r="G10" s="2669"/>
      <c r="H10" s="2669"/>
      <c r="I10" s="2496"/>
      <c r="J10" s="2514"/>
      <c r="K10" s="1185"/>
      <c r="L10" s="1228"/>
      <c r="M10" s="1553"/>
      <c r="N10" s="1549"/>
      <c r="P10" s="2646"/>
      <c r="Q10" s="2646"/>
      <c r="R10" s="292"/>
      <c r="S10" s="1196"/>
      <c r="T10" s="225" t="s">
        <v>402</v>
      </c>
      <c r="U10" s="536"/>
      <c r="V10" s="536"/>
      <c r="W10" s="536"/>
      <c r="X10" s="536"/>
      <c r="Y10" s="536"/>
      <c r="Z10" s="536"/>
      <c r="AA10" s="536"/>
      <c r="AB10" s="536"/>
      <c r="AC10" s="536"/>
      <c r="AD10" s="536"/>
      <c r="AE10" s="536"/>
      <c r="AF10" s="536"/>
      <c r="AG10" s="536"/>
      <c r="AH10" s="536"/>
      <c r="AI10" s="536"/>
      <c r="AJ10" s="536"/>
      <c r="AK10" s="536"/>
      <c r="AL10" s="261"/>
      <c r="AM10" s="266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669"/>
      <c r="F11" s="2669"/>
      <c r="G11" s="2669"/>
      <c r="H11" s="2669"/>
      <c r="I11" s="2514"/>
      <c r="J11" s="1185"/>
      <c r="K11" s="1185"/>
      <c r="L11" s="1228"/>
      <c r="M11" s="1553"/>
      <c r="P11" s="2646"/>
      <c r="Q11" s="1866"/>
      <c r="R11" s="292"/>
      <c r="S11" s="1196"/>
      <c r="T11" s="224" t="s">
        <v>403</v>
      </c>
      <c r="U11" s="536"/>
      <c r="V11" s="536"/>
      <c r="W11" s="536"/>
      <c r="X11" s="536"/>
      <c r="Y11" s="536"/>
      <c r="Z11" s="536"/>
      <c r="AA11" s="536"/>
      <c r="AB11" s="536"/>
      <c r="AC11" s="302"/>
      <c r="AD11" s="536"/>
      <c r="AE11" s="536"/>
      <c r="AF11" s="536"/>
      <c r="AG11" s="536"/>
      <c r="AH11" s="536"/>
      <c r="AI11" s="536"/>
      <c r="AJ11" s="536"/>
      <c r="AK11" s="302"/>
      <c r="AL11" s="536"/>
      <c r="AM11" s="240"/>
      <c r="AO11" s="1542"/>
      <c r="AP11" s="1542" t="str">
        <f t="shared" si="0"/>
        <v>Добавить группу потребителей</v>
      </c>
      <c r="AQ11" s="1542"/>
      <c r="AR11" s="1542"/>
      <c r="AS11" s="1549">
        <v>0</v>
      </c>
    </row>
    <row r="12" spans="1:45" ht="14.25" hidden="1" customHeight="1">
      <c r="A12" s="1185"/>
      <c r="B12" s="1185"/>
      <c r="C12" s="1185"/>
      <c r="D12" s="1185"/>
      <c r="E12" s="2669"/>
      <c r="F12" s="2669"/>
      <c r="G12" s="2669"/>
      <c r="H12" s="2668"/>
      <c r="I12" s="1185"/>
      <c r="J12" s="1185"/>
      <c r="K12" s="1185"/>
      <c r="L12" s="1228"/>
      <c r="M12" s="1528"/>
      <c r="N12" s="1528"/>
      <c r="O12" s="1553"/>
      <c r="P12" s="296"/>
      <c r="Q12" s="311"/>
      <c r="R12" s="291"/>
      <c r="S12" s="1196"/>
      <c r="T12" s="301" t="s">
        <v>404</v>
      </c>
      <c r="U12" s="536"/>
      <c r="V12" s="536"/>
      <c r="W12" s="536"/>
      <c r="X12" s="536"/>
      <c r="Y12" s="536"/>
      <c r="Z12" s="536"/>
      <c r="AA12" s="536"/>
      <c r="AB12" s="536"/>
      <c r="AC12" s="302"/>
      <c r="AD12" s="536"/>
      <c r="AE12" s="536"/>
      <c r="AF12" s="536"/>
      <c r="AG12" s="536"/>
      <c r="AH12" s="536"/>
      <c r="AI12" s="536"/>
      <c r="AJ12" s="536"/>
      <c r="AK12" s="302"/>
      <c r="AL12" s="536"/>
      <c r="AM12" s="240"/>
      <c r="AO12" s="1542"/>
      <c r="AP12" s="1542" t="str">
        <f t="shared" si="0"/>
        <v>Добавить схему подключения</v>
      </c>
      <c r="AQ12" s="1542"/>
      <c r="AR12" s="1542"/>
      <c r="AS12" s="1549">
        <v>0</v>
      </c>
    </row>
    <row r="13" spans="1:45" s="2407" customFormat="1" ht="0.75" hidden="1" customHeight="1">
      <c r="A13" s="1886"/>
      <c r="B13" s="1886"/>
      <c r="C13" s="1886"/>
      <c r="D13" s="1886"/>
      <c r="E13" s="2669"/>
      <c r="F13" s="2669"/>
      <c r="G13" s="2668"/>
      <c r="H13" s="1886"/>
      <c r="I13" s="1886"/>
      <c r="J13" s="1886"/>
      <c r="K13" s="1886"/>
      <c r="L13" s="1298"/>
      <c r="M13" s="1528"/>
      <c r="N13" s="1528"/>
      <c r="O13" s="1553"/>
      <c r="P13" s="1234"/>
      <c r="Q13" s="1235"/>
      <c r="R13" s="1234"/>
      <c r="S13" s="1236"/>
      <c r="T13" s="1237" t="s">
        <v>405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407" customFormat="1" ht="0.75" hidden="1" customHeight="1">
      <c r="A14" s="1886"/>
      <c r="B14" s="1886"/>
      <c r="C14" s="1886"/>
      <c r="D14" s="1886"/>
      <c r="E14" s="2669"/>
      <c r="F14" s="2668"/>
      <c r="G14" s="1886"/>
      <c r="H14" s="1886"/>
      <c r="I14" s="1886"/>
      <c r="J14" s="1886"/>
      <c r="K14" s="1886"/>
      <c r="L14" s="1298"/>
      <c r="M14" s="1887"/>
      <c r="N14" s="1887"/>
      <c r="O14" s="1553"/>
      <c r="P14" s="1234"/>
      <c r="Q14" s="1235"/>
      <c r="R14" s="1234"/>
      <c r="S14" s="1240"/>
      <c r="T14" s="1241" t="s">
        <v>406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407" customFormat="1" ht="0.75" hidden="1" customHeight="1">
      <c r="A15" s="1886"/>
      <c r="B15" s="1886"/>
      <c r="C15" s="1886"/>
      <c r="D15" s="1886"/>
      <c r="E15" s="2668"/>
      <c r="F15" s="1886"/>
      <c r="G15" s="1886"/>
      <c r="H15" s="1886"/>
      <c r="I15" s="1886"/>
      <c r="J15" s="1886"/>
      <c r="K15" s="1886"/>
      <c r="L15" s="1298"/>
      <c r="M15" s="1887"/>
      <c r="N15" s="1887"/>
      <c r="O15" s="1553"/>
      <c r="P15" s="1234"/>
      <c r="Q15" s="1235"/>
      <c r="R15" s="1234"/>
      <c r="S15" s="1240"/>
      <c r="T15" s="1243" t="s">
        <v>407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640"/>
      <c r="AI17" s="2639" t="s">
        <v>65</v>
      </c>
      <c r="AJ17" s="2640"/>
      <c r="AK17" s="2639" t="s">
        <v>65</v>
      </c>
      <c r="AS17" s="1549">
        <v>0</v>
      </c>
    </row>
    <row r="18" spans="1:45" ht="14.25" hidden="1" customHeight="1">
      <c r="AD18" s="1278"/>
      <c r="AE18" s="1278"/>
      <c r="AF18" s="1278"/>
      <c r="AG18" s="265" t="str">
        <f>AH17&amp;"-"&amp;AJ17</f>
        <v>-</v>
      </c>
      <c r="AH18" s="2639"/>
      <c r="AI18" s="2639"/>
      <c r="AJ18" s="2639"/>
      <c r="AK18" s="2639"/>
      <c r="AS18" s="1549">
        <v>0</v>
      </c>
    </row>
    <row r="19" spans="1:45" ht="14.25" hidden="1" customHeight="1">
      <c r="AS19" s="1549">
        <v>0</v>
      </c>
    </row>
    <row r="20" spans="1:45" s="2406" customFormat="1" ht="14.25" hidden="1" customHeight="1">
      <c r="A20" s="1549"/>
      <c r="B20" s="1549"/>
      <c r="C20" s="1549"/>
      <c r="D20" s="1549"/>
      <c r="E20" s="1549"/>
      <c r="F20" s="1549"/>
      <c r="G20" s="1549"/>
      <c r="H20" s="1549"/>
      <c r="I20" s="1549"/>
      <c r="J20" s="1549"/>
      <c r="K20" s="1549"/>
      <c r="L20" s="1851"/>
      <c r="M20" s="1877"/>
      <c r="N20" s="1877"/>
      <c r="O20" s="1263" t="s">
        <v>408</v>
      </c>
      <c r="P20" s="1280"/>
      <c r="Q20" s="1289"/>
      <c r="R20" s="1289"/>
      <c r="S20" s="665"/>
      <c r="Z20" s="1285"/>
      <c r="AB20" s="1285"/>
      <c r="AH20" s="1285"/>
      <c r="AJ20" s="1285"/>
      <c r="AN20" s="1554"/>
      <c r="AO20" s="1554"/>
      <c r="AP20" s="1554"/>
      <c r="AQ20" s="1554"/>
      <c r="AR20" s="1554"/>
      <c r="AS20" s="1284">
        <v>0</v>
      </c>
    </row>
    <row r="21" spans="1:45" s="2406"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5"/>
      <c r="AN21" s="1554"/>
      <c r="AO21" s="1554"/>
      <c r="AP21" s="1554"/>
      <c r="AQ21" s="1554"/>
      <c r="AR21" s="1554"/>
      <c r="AS21" s="1284">
        <v>0</v>
      </c>
    </row>
    <row r="22" spans="1:45" s="2406" customFormat="1" ht="14.25" hidden="1" customHeight="1">
      <c r="A22" s="1549"/>
      <c r="B22" s="1549"/>
      <c r="C22" s="1549"/>
      <c r="D22" s="1549"/>
      <c r="E22" s="1549"/>
      <c r="F22" s="1549"/>
      <c r="G22" s="1549"/>
      <c r="H22" s="1549"/>
      <c r="I22" s="1549"/>
      <c r="J22" s="1549"/>
      <c r="K22" s="1549"/>
      <c r="L22" s="1851"/>
      <c r="M22" s="1877"/>
      <c r="N22" s="1877"/>
      <c r="O22" s="1228" t="s">
        <v>409</v>
      </c>
      <c r="P22" s="1280"/>
      <c r="Q22" s="1289"/>
      <c r="R22" s="1289"/>
      <c r="S22" s="665"/>
      <c r="T22" s="1284" t="s">
        <v>410</v>
      </c>
      <c r="AA22" s="531" t="s">
        <v>411</v>
      </c>
      <c r="AC22" s="531" t="s">
        <v>412</v>
      </c>
      <c r="AD22" s="1284" t="s">
        <v>410</v>
      </c>
      <c r="AI22" s="531" t="s">
        <v>413</v>
      </c>
      <c r="AK22" s="531" t="s">
        <v>412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2"/>
      <c r="R25" s="312"/>
      <c r="S25" s="1193"/>
      <c r="T25" s="393"/>
      <c r="U25" s="393"/>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2"/>
      <c r="R26" s="312"/>
      <c r="S26" s="26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3"/>
      <c r="U26" s="2623"/>
      <c r="V26" s="2623"/>
      <c r="W26" s="2623"/>
      <c r="X26" s="2623"/>
      <c r="Y26" s="2623"/>
      <c r="Z26" s="2623"/>
      <c r="AA26" s="2623"/>
      <c r="AB26" s="2623"/>
      <c r="AC26" s="2623"/>
      <c r="AD26" s="2623"/>
      <c r="AE26" s="2623"/>
      <c r="AF26" s="2623"/>
      <c r="AG26" s="2623"/>
      <c r="AH26" s="2623"/>
      <c r="AI26" s="2623"/>
      <c r="AJ26" s="2623"/>
      <c r="AK26" s="1161"/>
      <c r="AS26" s="1549">
        <v>14</v>
      </c>
    </row>
    <row r="27" spans="1:45" ht="14.65" customHeight="1">
      <c r="Q27" s="312"/>
      <c r="R27" s="312"/>
      <c r="S27" s="2595" t="str">
        <f>IF(org=0,"Не определено",org)</f>
        <v>ПАО "ТГК-1" (филиал "Кольский")</v>
      </c>
      <c r="T27" s="2595"/>
      <c r="U27" s="2595"/>
      <c r="V27" s="2595"/>
      <c r="W27" s="2595"/>
      <c r="X27" s="2595"/>
      <c r="Y27" s="2595"/>
      <c r="Z27" s="2595"/>
      <c r="AA27" s="2595"/>
      <c r="AB27" s="2595"/>
      <c r="AC27" s="2595"/>
      <c r="AD27" s="2595"/>
      <c r="AE27" s="2595"/>
      <c r="AF27" s="2595"/>
      <c r="AG27" s="2595"/>
      <c r="AH27" s="2595"/>
      <c r="AI27" s="2595"/>
      <c r="AJ27" s="2595"/>
      <c r="AK27" s="1161"/>
      <c r="AS27" s="1549">
        <v>14</v>
      </c>
    </row>
    <row r="28" spans="1:45" ht="14.25" hidden="1" customHeight="1">
      <c r="Q28" s="312"/>
      <c r="R28" s="312"/>
      <c r="S28" s="1193"/>
      <c r="T28" s="393"/>
      <c r="U28" s="393"/>
      <c r="V28" s="259"/>
      <c r="W28" s="259"/>
      <c r="X28" s="259"/>
      <c r="Y28" s="259"/>
      <c r="Z28" s="259"/>
      <c r="AA28" s="259"/>
      <c r="AB28" s="259"/>
      <c r="AC28" s="259"/>
      <c r="AD28" s="259"/>
      <c r="AE28" s="259"/>
      <c r="AF28" s="259"/>
      <c r="AG28" s="259"/>
      <c r="AH28" s="259"/>
      <c r="AI28" s="259"/>
      <c r="AJ28" s="259"/>
      <c r="AK28" s="259"/>
      <c r="AL28" s="1553"/>
      <c r="AS28" s="1549">
        <v>0</v>
      </c>
    </row>
    <row r="29" spans="1:45" s="2416" customFormat="1" ht="25.5" hidden="1" customHeight="1">
      <c r="A29" s="1166"/>
      <c r="B29" s="1166"/>
      <c r="C29" s="1166"/>
      <c r="D29" s="1166"/>
      <c r="E29" s="1166"/>
      <c r="F29" s="1166"/>
      <c r="G29" s="1166"/>
      <c r="H29" s="1166"/>
      <c r="I29" s="1166"/>
      <c r="J29" s="1166"/>
      <c r="K29" s="1166"/>
      <c r="L29" s="1298"/>
      <c r="M29" s="1166"/>
      <c r="N29" s="1166"/>
      <c r="O29" s="1166"/>
      <c r="S29" s="2633" t="s">
        <v>41</v>
      </c>
      <c r="T29" s="2633"/>
      <c r="U29" s="1290"/>
      <c r="V29" s="2635" t="str">
        <f>IF(TITLE_NAME_OR_PR_CHANGE="",IF(TITLE_NAME_OR_PR="","",TITLE_NAME_OR_PR),TITLE_NAME_OR_PR_CHANGE)</f>
        <v/>
      </c>
      <c r="W29" s="2635"/>
      <c r="X29" s="2635"/>
      <c r="Y29" s="2635"/>
      <c r="Z29" s="2635"/>
      <c r="AA29" s="2635"/>
      <c r="AB29" s="2635"/>
      <c r="AC29" s="1553"/>
      <c r="AD29" s="2635" t="str">
        <f>IF(TITLE_NAME_OR_PR_CHANGE="",IF(TITLE_NAME_OR_PR="","",TITLE_NAME_OR_PR),TITLE_NAME_OR_PR_CHANGE)</f>
        <v/>
      </c>
      <c r="AE29" s="2635"/>
      <c r="AF29" s="2635"/>
      <c r="AG29" s="2635"/>
      <c r="AH29" s="2635"/>
      <c r="AI29" s="2635"/>
      <c r="AJ29" s="2635"/>
      <c r="AK29" s="1553"/>
      <c r="AL29" s="1553"/>
      <c r="AM29" s="217"/>
      <c r="AN29" s="304"/>
      <c r="AO29" s="304"/>
      <c r="AP29" s="304"/>
      <c r="AQ29" s="304"/>
      <c r="AR29" s="304"/>
      <c r="AS29" s="354">
        <v>0</v>
      </c>
    </row>
    <row r="30" spans="1:45" s="2416" customFormat="1" ht="18.75" hidden="1" customHeight="1">
      <c r="A30" s="1166"/>
      <c r="B30" s="1166"/>
      <c r="C30" s="1166"/>
      <c r="D30" s="1166"/>
      <c r="E30" s="1166"/>
      <c r="F30" s="1166"/>
      <c r="G30" s="1166"/>
      <c r="H30" s="1166"/>
      <c r="I30" s="1166"/>
      <c r="J30" s="1166"/>
      <c r="K30" s="1166"/>
      <c r="L30" s="1298"/>
      <c r="M30" s="1166"/>
      <c r="N30" s="1166"/>
      <c r="O30" s="1166"/>
      <c r="S30" s="2633" t="s">
        <v>414</v>
      </c>
      <c r="T30" s="2633"/>
      <c r="U30" s="1290"/>
      <c r="V30" s="2634" t="str">
        <f>IF(TITLE_DATE_PR_CHANGE="",IF(TITLE_DATE_PR="","",TITLE_DATE_PR),TITLE_DATE_PR_CHANGE)</f>
        <v/>
      </c>
      <c r="W30" s="2634"/>
      <c r="X30" s="2634"/>
      <c r="Y30" s="2634"/>
      <c r="Z30" s="2634"/>
      <c r="AA30" s="2634"/>
      <c r="AB30" s="2634"/>
      <c r="AC30" s="1553"/>
      <c r="AD30" s="2634" t="str">
        <f>IF(TITLE_DATE_PR_CHANGE="",IF(TITLE_DATE_PR="","",TITLE_DATE_PR),TITLE_DATE_PR_CHANGE)</f>
        <v/>
      </c>
      <c r="AE30" s="2634"/>
      <c r="AF30" s="2634"/>
      <c r="AG30" s="2634"/>
      <c r="AH30" s="2634"/>
      <c r="AI30" s="2634"/>
      <c r="AJ30" s="2634"/>
      <c r="AK30" s="1553"/>
      <c r="AL30" s="1553"/>
      <c r="AM30" s="217"/>
      <c r="AN30" s="304"/>
      <c r="AO30" s="304"/>
      <c r="AP30" s="304"/>
      <c r="AQ30" s="304"/>
      <c r="AR30" s="304"/>
      <c r="AS30" s="354">
        <v>0</v>
      </c>
    </row>
    <row r="31" spans="1:45" s="2416" customFormat="1" ht="18.75" hidden="1" customHeight="1">
      <c r="A31" s="1166"/>
      <c r="B31" s="1166"/>
      <c r="C31" s="1166"/>
      <c r="D31" s="1166"/>
      <c r="E31" s="1166"/>
      <c r="F31" s="1166"/>
      <c r="G31" s="1166"/>
      <c r="H31" s="1166"/>
      <c r="I31" s="1166"/>
      <c r="J31" s="1166"/>
      <c r="K31" s="1166"/>
      <c r="L31" s="1298"/>
      <c r="M31" s="1166"/>
      <c r="N31" s="1166"/>
      <c r="O31" s="1166"/>
      <c r="S31" s="2633" t="s">
        <v>415</v>
      </c>
      <c r="T31" s="2633"/>
      <c r="U31" s="1290"/>
      <c r="V31" s="2635" t="str">
        <f>IF(TITLE_NUMBER_PR_CHANGE="",IF(TITLE_NUMBER_PR="","",TITLE_NUMBER_PR),TITLE_NUMBER_PR_CHANGE)</f>
        <v/>
      </c>
      <c r="W31" s="2635"/>
      <c r="X31" s="2635"/>
      <c r="Y31" s="2635"/>
      <c r="Z31" s="2635"/>
      <c r="AA31" s="2635"/>
      <c r="AB31" s="2635"/>
      <c r="AC31" s="1553"/>
      <c r="AD31" s="2635" t="str">
        <f>IF(TITLE_NUMBER_PR_CHANGE="",IF(TITLE_NUMBER_PR="","",TITLE_NUMBER_PR),TITLE_NUMBER_PR_CHANGE)</f>
        <v/>
      </c>
      <c r="AE31" s="2635"/>
      <c r="AF31" s="2635"/>
      <c r="AG31" s="2635"/>
      <c r="AH31" s="2635"/>
      <c r="AI31" s="2635"/>
      <c r="AJ31" s="2635"/>
      <c r="AK31" s="1553"/>
      <c r="AL31" s="1553"/>
      <c r="AM31" s="217"/>
      <c r="AN31" s="304"/>
      <c r="AO31" s="304"/>
      <c r="AP31" s="304"/>
      <c r="AQ31" s="304"/>
      <c r="AR31" s="304"/>
      <c r="AS31" s="354">
        <v>0</v>
      </c>
    </row>
    <row r="32" spans="1:45" s="2416" customFormat="1" ht="18.75" hidden="1" customHeight="1">
      <c r="A32" s="1166"/>
      <c r="B32" s="1166"/>
      <c r="C32" s="1166"/>
      <c r="D32" s="1166"/>
      <c r="E32" s="1166"/>
      <c r="F32" s="1166"/>
      <c r="G32" s="1166"/>
      <c r="H32" s="1166"/>
      <c r="I32" s="1166"/>
      <c r="J32" s="1166"/>
      <c r="K32" s="1166"/>
      <c r="L32" s="1298"/>
      <c r="M32" s="1166"/>
      <c r="N32" s="1166"/>
      <c r="O32" s="1166"/>
      <c r="S32" s="2633" t="s">
        <v>42</v>
      </c>
      <c r="T32" s="2633"/>
      <c r="U32" s="1290"/>
      <c r="V32" s="2635" t="str">
        <f>IF(TITLE_IST_PUB_CHANGE="",IF(TITLE_IST_PUB="","",TITLE_IST_PUB),TITLE_IST_PUB_CHANGE)</f>
        <v/>
      </c>
      <c r="W32" s="2635"/>
      <c r="X32" s="2635"/>
      <c r="Y32" s="2635"/>
      <c r="Z32" s="2635"/>
      <c r="AA32" s="2635"/>
      <c r="AB32" s="2635"/>
      <c r="AC32" s="1553"/>
      <c r="AD32" s="2635" t="str">
        <f>IF(TITLE_IST_PUB_CHANGE="",IF(TITLE_IST_PUB="","",TITLE_IST_PUB),TITLE_IST_PUB_CHANGE)</f>
        <v/>
      </c>
      <c r="AE32" s="2635"/>
      <c r="AF32" s="2635"/>
      <c r="AG32" s="2635"/>
      <c r="AH32" s="2635"/>
      <c r="AI32" s="2635"/>
      <c r="AJ32" s="2635"/>
      <c r="AK32" s="1553"/>
      <c r="AL32" s="1553"/>
      <c r="AM32" s="217"/>
      <c r="AN32" s="304"/>
      <c r="AO32" s="304"/>
      <c r="AP32" s="304"/>
      <c r="AQ32" s="304"/>
      <c r="AR32" s="304"/>
      <c r="AS32" s="354">
        <v>0</v>
      </c>
    </row>
    <row r="33" spans="1:45" ht="14.25" hidden="1" customHeight="1">
      <c r="Q33" s="312"/>
      <c r="R33" s="312"/>
      <c r="S33" s="1193"/>
      <c r="T33" s="393"/>
      <c r="U33" s="393"/>
      <c r="V33" s="259"/>
      <c r="W33" s="259"/>
      <c r="X33" s="259"/>
      <c r="Y33" s="259"/>
      <c r="Z33" s="259"/>
      <c r="AA33" s="259"/>
      <c r="AB33" s="259"/>
      <c r="AC33" s="259"/>
      <c r="AD33" s="259"/>
      <c r="AE33" s="259"/>
      <c r="AF33" s="259"/>
      <c r="AG33" s="259"/>
      <c r="AH33" s="259"/>
      <c r="AI33" s="259"/>
      <c r="AJ33" s="259"/>
      <c r="AK33" s="259"/>
      <c r="AL33" s="1553"/>
      <c r="AS33" s="1549">
        <v>0</v>
      </c>
    </row>
    <row r="34" spans="1:45" s="2416" customFormat="1" ht="18.75" hidden="1" customHeight="1">
      <c r="A34" s="1166"/>
      <c r="B34" s="1166"/>
      <c r="C34" s="1166"/>
      <c r="D34" s="1166"/>
      <c r="E34" s="1166"/>
      <c r="F34" s="1166"/>
      <c r="G34" s="1166"/>
      <c r="H34" s="1166"/>
      <c r="I34" s="1166"/>
      <c r="J34" s="1166"/>
      <c r="K34" s="1166"/>
      <c r="L34" s="1298"/>
      <c r="M34" s="1166"/>
      <c r="N34" s="1166"/>
      <c r="O34" s="1166"/>
      <c r="S34" s="2633" t="s">
        <v>416</v>
      </c>
      <c r="T34" s="2633"/>
      <c r="U34" s="1290"/>
      <c r="V34" s="2634" t="str">
        <f>IF(TITLE_DATE_PR_CHANGE="",IF(TITLE_DATE_PR="","",TITLE_DATE_PR),TITLE_DATE_PR_CHANGE)</f>
        <v/>
      </c>
      <c r="W34" s="2634"/>
      <c r="X34" s="2634"/>
      <c r="Y34" s="2634"/>
      <c r="Z34" s="2634"/>
      <c r="AA34" s="2634"/>
      <c r="AB34" s="2634"/>
      <c r="AC34" s="1553"/>
      <c r="AD34" s="2634" t="str">
        <f>IF(TITLE_DATE_PR_CHANGE="",IF(TITLE_DATE_PR="","",TITLE_DATE_PR),TITLE_DATE_PR_CHANGE)</f>
        <v/>
      </c>
      <c r="AE34" s="2634"/>
      <c r="AF34" s="2634"/>
      <c r="AG34" s="2634"/>
      <c r="AH34" s="2634"/>
      <c r="AI34" s="2634"/>
      <c r="AJ34" s="2634"/>
      <c r="AK34" s="1553"/>
      <c r="AL34" s="1553"/>
      <c r="AM34" s="217"/>
      <c r="AN34" s="304"/>
      <c r="AO34" s="304"/>
      <c r="AP34" s="304"/>
      <c r="AQ34" s="304"/>
      <c r="AR34" s="304"/>
      <c r="AS34" s="354">
        <v>0</v>
      </c>
    </row>
    <row r="35" spans="1:45" s="2416" customFormat="1" ht="18.75" hidden="1" customHeight="1">
      <c r="A35" s="1166"/>
      <c r="B35" s="1166"/>
      <c r="C35" s="1166"/>
      <c r="D35" s="1166"/>
      <c r="E35" s="1166"/>
      <c r="F35" s="1166"/>
      <c r="G35" s="1166"/>
      <c r="H35" s="1166"/>
      <c r="I35" s="1166"/>
      <c r="J35" s="1166"/>
      <c r="K35" s="1166"/>
      <c r="L35" s="1298"/>
      <c r="M35" s="1166"/>
      <c r="N35" s="1166"/>
      <c r="O35" s="1166"/>
      <c r="S35" s="2633" t="s">
        <v>417</v>
      </c>
      <c r="T35" s="2633"/>
      <c r="U35" s="1290"/>
      <c r="V35" s="2635" t="str">
        <f>IF(TITLE_NUMBER_PR_CHANGE="",IF(TITLE_NUMBER_PR="","",TITLE_NUMBER_PR),TITLE_NUMBER_PR_CHANGE)</f>
        <v/>
      </c>
      <c r="W35" s="2635"/>
      <c r="X35" s="2635"/>
      <c r="Y35" s="2635"/>
      <c r="Z35" s="2635"/>
      <c r="AA35" s="2635"/>
      <c r="AB35" s="2635"/>
      <c r="AC35" s="1553"/>
      <c r="AD35" s="2635" t="str">
        <f>IF(TITLE_NUMBER_PR_CHANGE="",IF(TITLE_NUMBER_PR="","",TITLE_NUMBER_PR),TITLE_NUMBER_PR_CHANGE)</f>
        <v/>
      </c>
      <c r="AE35" s="2635"/>
      <c r="AF35" s="2635"/>
      <c r="AG35" s="2635"/>
      <c r="AH35" s="2635"/>
      <c r="AI35" s="2635"/>
      <c r="AJ35" s="2635"/>
      <c r="AK35" s="1553"/>
      <c r="AL35" s="1553"/>
      <c r="AM35" s="217"/>
      <c r="AN35" s="304"/>
      <c r="AO35" s="304"/>
      <c r="AP35" s="304"/>
      <c r="AQ35" s="304"/>
      <c r="AR35" s="304"/>
      <c r="AS35" s="354">
        <v>0</v>
      </c>
    </row>
    <row r="36" spans="1:45" s="2416"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418</v>
      </c>
      <c r="AD36" s="1553"/>
      <c r="AE36" s="1553"/>
      <c r="AF36" s="1553"/>
      <c r="AG36" s="1553"/>
      <c r="AH36" s="1553"/>
      <c r="AI36" s="1553"/>
      <c r="AJ36" s="1553"/>
      <c r="AK36" s="1560" t="s">
        <v>418</v>
      </c>
      <c r="AN36" s="304"/>
      <c r="AO36" s="304"/>
      <c r="AP36" s="304"/>
      <c r="AQ36" s="304"/>
      <c r="AR36" s="304"/>
      <c r="AS36" s="354">
        <v>0</v>
      </c>
    </row>
    <row r="37" spans="1:45" ht="14.65" customHeight="1">
      <c r="Q37" s="312"/>
      <c r="R37" s="312"/>
      <c r="S37" s="1193"/>
      <c r="T37" s="393"/>
      <c r="U37" s="1162"/>
      <c r="V37" s="2654"/>
      <c r="W37" s="2654"/>
      <c r="X37" s="2654"/>
      <c r="Y37" s="2654"/>
      <c r="Z37" s="2654"/>
      <c r="AA37" s="2654"/>
      <c r="AB37" s="2654"/>
      <c r="AC37" s="2654"/>
      <c r="AD37" s="2654"/>
      <c r="AE37" s="2654"/>
      <c r="AF37" s="2654"/>
      <c r="AG37" s="2654"/>
      <c r="AH37" s="2654"/>
      <c r="AI37" s="2654"/>
      <c r="AJ37" s="2654"/>
      <c r="AK37" s="2654"/>
      <c r="AS37" s="1549">
        <v>14</v>
      </c>
    </row>
    <row r="38" spans="1:45" ht="14.65" customHeight="1">
      <c r="Q38" s="312"/>
      <c r="R38" s="312"/>
      <c r="S38" s="2514" t="s">
        <v>291</v>
      </c>
      <c r="T38" s="2514"/>
      <c r="U38" s="2514"/>
      <c r="V38" s="2514"/>
      <c r="W38" s="2514"/>
      <c r="X38" s="2514"/>
      <c r="Y38" s="2514"/>
      <c r="Z38" s="2514"/>
      <c r="AA38" s="2514"/>
      <c r="AB38" s="2514"/>
      <c r="AC38" s="2514"/>
      <c r="AD38" s="2514"/>
      <c r="AE38" s="2514"/>
      <c r="AF38" s="2514"/>
      <c r="AG38" s="2514"/>
      <c r="AH38" s="2514"/>
      <c r="AI38" s="2514"/>
      <c r="AJ38" s="2514"/>
      <c r="AK38" s="2514"/>
      <c r="AL38" s="2514"/>
      <c r="AM38" s="2514" t="s">
        <v>292</v>
      </c>
      <c r="AS38" s="1549">
        <v>14</v>
      </c>
    </row>
    <row r="39" spans="1:45" ht="14.65" customHeight="1">
      <c r="Q39" s="312"/>
      <c r="R39" s="312"/>
      <c r="S39" s="2655" t="s">
        <v>84</v>
      </c>
      <c r="T39" s="2603" t="s">
        <v>419</v>
      </c>
      <c r="U39" s="274"/>
      <c r="V39" s="2656" t="s">
        <v>420</v>
      </c>
      <c r="W39" s="2657"/>
      <c r="X39" s="2657"/>
      <c r="Y39" s="2657"/>
      <c r="Z39" s="2657"/>
      <c r="AA39" s="2657"/>
      <c r="AB39" s="2658"/>
      <c r="AC39" s="2659" t="s">
        <v>421</v>
      </c>
      <c r="AD39" s="2656" t="s">
        <v>420</v>
      </c>
      <c r="AE39" s="2657"/>
      <c r="AF39" s="2657"/>
      <c r="AG39" s="2657"/>
      <c r="AH39" s="2657"/>
      <c r="AI39" s="2657"/>
      <c r="AJ39" s="2658"/>
      <c r="AK39" s="2659" t="s">
        <v>422</v>
      </c>
      <c r="AL39" s="2662" t="s">
        <v>423</v>
      </c>
      <c r="AM39" s="2514"/>
      <c r="AS39" s="1549">
        <v>14</v>
      </c>
    </row>
    <row r="40" spans="1:45" ht="35.65" customHeight="1">
      <c r="Q40" s="312"/>
      <c r="R40" s="312"/>
      <c r="S40" s="2655"/>
      <c r="T40" s="2603"/>
      <c r="U40" s="954"/>
      <c r="V40" s="2573" t="s">
        <v>424</v>
      </c>
      <c r="W40" s="2651" t="s">
        <v>425</v>
      </c>
      <c r="X40" s="2496" t="s">
        <v>426</v>
      </c>
      <c r="Y40" s="2495"/>
      <c r="Z40" s="2496" t="s">
        <v>440</v>
      </c>
      <c r="AA40" s="2501"/>
      <c r="AB40" s="2495"/>
      <c r="AC40" s="2660"/>
      <c r="AD40" s="2573" t="s">
        <v>424</v>
      </c>
      <c r="AE40" s="2651" t="s">
        <v>425</v>
      </c>
      <c r="AF40" s="2496" t="s">
        <v>426</v>
      </c>
      <c r="AG40" s="2495"/>
      <c r="AH40" s="2496" t="s">
        <v>427</v>
      </c>
      <c r="AI40" s="2501"/>
      <c r="AJ40" s="2495"/>
      <c r="AK40" s="2660"/>
      <c r="AL40" s="2663"/>
      <c r="AM40" s="2514"/>
      <c r="AS40" s="1549">
        <v>34</v>
      </c>
    </row>
    <row r="41" spans="1:45" ht="35.65" customHeight="1">
      <c r="A41" s="1184"/>
      <c r="B41" s="1184" t="s">
        <v>128</v>
      </c>
      <c r="C41" s="1184" t="s">
        <v>129</v>
      </c>
      <c r="D41" s="1184" t="s">
        <v>130</v>
      </c>
      <c r="E41" s="1228" t="s">
        <v>428</v>
      </c>
      <c r="F41" s="1228" t="s">
        <v>429</v>
      </c>
      <c r="G41" s="1228" t="s">
        <v>430</v>
      </c>
      <c r="H41" s="1228" t="s">
        <v>431</v>
      </c>
      <c r="I41" s="1228" t="s">
        <v>432</v>
      </c>
      <c r="J41" s="1228" t="s">
        <v>433</v>
      </c>
      <c r="K41" s="1228" t="s">
        <v>434</v>
      </c>
      <c r="L41" s="1228" t="s">
        <v>409</v>
      </c>
      <c r="Q41" s="312"/>
      <c r="R41" s="312"/>
      <c r="S41" s="2655"/>
      <c r="T41" s="2603"/>
      <c r="U41" s="239"/>
      <c r="V41" s="2628"/>
      <c r="W41" s="2652"/>
      <c r="X41" s="1850" t="s">
        <v>435</v>
      </c>
      <c r="Y41" s="1850" t="s">
        <v>436</v>
      </c>
      <c r="Z41" s="1850" t="s">
        <v>437</v>
      </c>
      <c r="AA41" s="2608" t="s">
        <v>438</v>
      </c>
      <c r="AB41" s="2622"/>
      <c r="AC41" s="2661"/>
      <c r="AD41" s="2628"/>
      <c r="AE41" s="2652"/>
      <c r="AF41" s="1850" t="s">
        <v>435</v>
      </c>
      <c r="AG41" s="1850" t="s">
        <v>436</v>
      </c>
      <c r="AH41" s="1850" t="s">
        <v>437</v>
      </c>
      <c r="AI41" s="2608" t="s">
        <v>438</v>
      </c>
      <c r="AJ41" s="2622"/>
      <c r="AK41" s="2661"/>
      <c r="AL41" s="2664"/>
      <c r="AM41" s="2514"/>
      <c r="AS41" s="1549">
        <v>34</v>
      </c>
    </row>
    <row r="42" spans="1:45" s="2431"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102</v>
      </c>
      <c r="T42" s="1173" t="s">
        <v>103</v>
      </c>
      <c r="U42" s="1163" t="str">
        <f ca="1">OFFSET(U42,0,-1)</f>
        <v>2</v>
      </c>
      <c r="V42" s="1868">
        <f ca="1">OFFSET(V42,0,-1)+1</f>
        <v>3</v>
      </c>
      <c r="W42" s="1868"/>
      <c r="X42" s="1868">
        <f ca="1">OFFSET(X42,0,-1)+1</f>
        <v>1</v>
      </c>
      <c r="Y42" s="1868">
        <f ca="1">OFFSET(Y42,0,-1)+1</f>
        <v>2</v>
      </c>
      <c r="Z42" s="1868">
        <f ca="1">OFFSET(Z42,0,-1)+1</f>
        <v>3</v>
      </c>
      <c r="AA42" s="2653">
        <f ca="1">OFFSET(AA42,0,-1)+1</f>
        <v>4</v>
      </c>
      <c r="AB42" s="2653"/>
      <c r="AC42" s="1868">
        <f ca="1">OFFSET(AC42,0,-2)+1</f>
        <v>5</v>
      </c>
      <c r="AD42" s="1868">
        <f ca="1">OFFSET(AD42,0,-1)+1</f>
        <v>6</v>
      </c>
      <c r="AE42" s="1868"/>
      <c r="AF42" s="1868">
        <f ca="1">OFFSET(AF42,0,-1)+1</f>
        <v>1</v>
      </c>
      <c r="AG42" s="1868">
        <f ca="1">OFFSET(AG42,0,-1)+1</f>
        <v>2</v>
      </c>
      <c r="AH42" s="1868">
        <f ca="1">OFFSET(AH42,0,-1)+1</f>
        <v>3</v>
      </c>
      <c r="AI42" s="2653">
        <f ca="1">OFFSET(AI42,0,-1)+1</f>
        <v>4</v>
      </c>
      <c r="AJ42" s="2653"/>
      <c r="AK42" s="1868">
        <f ca="1">OFFSET(AK42,0,-2)+1</f>
        <v>5</v>
      </c>
      <c r="AL42" s="1163">
        <f ca="1">OFFSET(AL42,0,-1)</f>
        <v>5</v>
      </c>
      <c r="AM42" s="1868">
        <f ca="1">OFFSET(AM42,0,-1)+1</f>
        <v>6</v>
      </c>
      <c r="AN42" s="1554"/>
      <c r="AO42" s="1554"/>
      <c r="AP42" s="1554"/>
      <c r="AQ42" s="1554"/>
      <c r="AR42" s="1554"/>
      <c r="AS42" s="1559">
        <v>0</v>
      </c>
    </row>
    <row r="43" spans="1:45" ht="21.95" customHeight="1">
      <c r="A43" s="1185" t="s">
        <v>203</v>
      </c>
      <c r="B43" s="1185"/>
      <c r="C43" s="1185"/>
      <c r="D43" s="1185"/>
      <c r="E43" s="2668">
        <v>1</v>
      </c>
      <c r="F43" s="1185"/>
      <c r="G43" s="1185"/>
      <c r="H43" s="1185"/>
      <c r="I43" s="1185"/>
      <c r="J43" s="1185"/>
      <c r="K43" s="1185"/>
      <c r="L43" s="1228"/>
      <c r="M43" s="1528"/>
      <c r="N43" s="1528"/>
      <c r="O43" s="1528"/>
      <c r="P43" s="1508"/>
      <c r="Q43" s="296"/>
      <c r="R43" s="291"/>
      <c r="S43" s="1870">
        <f>INDEX(PT_DIFFERENTIATION_NUM_NTAR,MATCH(A43,PT_DIFFERENTIATION_NTAR_ID,0))</f>
        <v>0</v>
      </c>
      <c r="T43" s="1443" t="s">
        <v>116</v>
      </c>
      <c r="U43" s="237"/>
      <c r="V43" s="2636"/>
      <c r="W43" s="2637"/>
      <c r="X43" s="2637"/>
      <c r="Y43" s="2637"/>
      <c r="Z43" s="2637"/>
      <c r="AA43" s="2637"/>
      <c r="AB43" s="2637"/>
      <c r="AC43" s="2638"/>
      <c r="AD43" s="2636" t="str">
        <f>INDEX(PT_DIFFERENTIATION_NTAR,MATCH(A43,PT_DIFFERENTIATION_NTAR_ID,0))</f>
        <v/>
      </c>
      <c r="AE43" s="2637"/>
      <c r="AF43" s="2637"/>
      <c r="AG43" s="2637"/>
      <c r="AH43" s="2637"/>
      <c r="AI43" s="2637"/>
      <c r="AJ43" s="2637"/>
      <c r="AK43" s="2637"/>
      <c r="AL43" s="263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203</v>
      </c>
      <c r="B44" s="1185" t="s">
        <v>204</v>
      </c>
      <c r="C44" s="1185"/>
      <c r="D44" s="1185"/>
      <c r="E44" s="2669"/>
      <c r="F44" s="2668">
        <v>1</v>
      </c>
      <c r="G44" s="1185"/>
      <c r="H44" s="1185"/>
      <c r="I44" s="1185"/>
      <c r="J44" s="1185"/>
      <c r="K44" s="1185"/>
      <c r="L44" s="1228"/>
      <c r="M44" s="1528"/>
      <c r="N44" s="1528"/>
      <c r="O44" s="1528"/>
      <c r="P44" s="1852"/>
      <c r="Q44" s="288"/>
      <c r="R44" s="289"/>
      <c r="S44" s="1870" t="str">
        <f>INDEX(PT_DIFFERENTIATION_NUM_TER,MATCH(B44,PT_DIFFERENTIATION_TER_ID,0))</f>
        <v>.</v>
      </c>
      <c r="T44" s="1440" t="s">
        <v>388</v>
      </c>
      <c r="U44" s="237"/>
      <c r="V44" s="2636"/>
      <c r="W44" s="2637"/>
      <c r="X44" s="2637"/>
      <c r="Y44" s="2637"/>
      <c r="Z44" s="2637"/>
      <c r="AA44" s="2637"/>
      <c r="AB44" s="2637"/>
      <c r="AC44" s="2638"/>
      <c r="AD44" s="2636" t="str">
        <f>INDEX(PT_DIFFERENTIATION_TER,MATCH(B44,PT_DIFFERENTIATION_TER_ID,0))</f>
        <v/>
      </c>
      <c r="AE44" s="2637"/>
      <c r="AF44" s="2637"/>
      <c r="AG44" s="2637"/>
      <c r="AH44" s="2637"/>
      <c r="AI44" s="2637"/>
      <c r="AJ44" s="2637"/>
      <c r="AK44" s="2637"/>
      <c r="AL44" s="2638"/>
      <c r="AM44" s="1176" t="s">
        <v>389</v>
      </c>
      <c r="AO44" s="1542"/>
      <c r="AP44" s="1542" t="str">
        <f t="shared" si="1"/>
        <v>Территория действия тарифа</v>
      </c>
      <c r="AQ44" s="1542"/>
      <c r="AR44" s="1542"/>
      <c r="AS44" s="1549">
        <v>21</v>
      </c>
    </row>
    <row r="45" spans="1:45" ht="24" customHeight="1">
      <c r="A45" s="1185" t="s">
        <v>203</v>
      </c>
      <c r="B45" s="1185" t="s">
        <v>204</v>
      </c>
      <c r="C45" s="1185" t="s">
        <v>205</v>
      </c>
      <c r="D45" s="1185"/>
      <c r="E45" s="2669"/>
      <c r="F45" s="2669"/>
      <c r="G45" s="2668">
        <v>1</v>
      </c>
      <c r="H45" s="1185"/>
      <c r="I45" s="1185"/>
      <c r="J45" s="1185"/>
      <c r="K45" s="1185"/>
      <c r="L45" s="1228"/>
      <c r="M45" s="1528"/>
      <c r="N45" s="1528"/>
      <c r="O45" s="1528"/>
      <c r="P45" s="290"/>
      <c r="Q45" s="288"/>
      <c r="R45" s="289"/>
      <c r="S45" s="1870" t="str">
        <f>INDEX(PT_DIFFERENTIATION_NUM_CS,MATCH(C45,PT_DIFFERENTIATION_CS_ID,0))</f>
        <v>..</v>
      </c>
      <c r="T45" s="246" t="s">
        <v>390</v>
      </c>
      <c r="U45" s="237"/>
      <c r="V45" s="2636"/>
      <c r="W45" s="2637"/>
      <c r="X45" s="2637"/>
      <c r="Y45" s="2637"/>
      <c r="Z45" s="2637"/>
      <c r="AA45" s="2637"/>
      <c r="AB45" s="2637"/>
      <c r="AC45" s="2638"/>
      <c r="AD45" s="2636" t="str">
        <f>INDEX(PT_DIFFERENTIATION_CS,MATCH(C45,PT_DIFFERENTIATION_CS_ID,0))</f>
        <v/>
      </c>
      <c r="AE45" s="2637"/>
      <c r="AF45" s="2637"/>
      <c r="AG45" s="2637"/>
      <c r="AH45" s="2637"/>
      <c r="AI45" s="2637"/>
      <c r="AJ45" s="2637"/>
      <c r="AK45" s="2637"/>
      <c r="AL45" s="2638"/>
      <c r="AM45" s="1176" t="s">
        <v>391</v>
      </c>
      <c r="AO45" s="1542"/>
      <c r="AP45" s="1542" t="str">
        <f t="shared" si="1"/>
        <v xml:space="preserve">Наименование системы теплоснабжения </v>
      </c>
      <c r="AQ45" s="1542"/>
      <c r="AR45" s="1542"/>
      <c r="AS45" s="1549">
        <v>23</v>
      </c>
    </row>
    <row r="46" spans="1:45" ht="21.95" customHeight="1">
      <c r="A46" s="1185" t="s">
        <v>203</v>
      </c>
      <c r="B46" s="1185" t="s">
        <v>204</v>
      </c>
      <c r="C46" s="1185" t="s">
        <v>205</v>
      </c>
      <c r="D46" s="1185" t="s">
        <v>206</v>
      </c>
      <c r="E46" s="2669"/>
      <c r="F46" s="2669"/>
      <c r="G46" s="2669"/>
      <c r="H46" s="2668">
        <v>1</v>
      </c>
      <c r="I46" s="1185"/>
      <c r="J46" s="1185"/>
      <c r="K46" s="1185"/>
      <c r="L46" s="1228"/>
      <c r="M46" s="1528"/>
      <c r="N46" s="1528"/>
      <c r="O46" s="1528"/>
      <c r="P46" s="290"/>
      <c r="Q46" s="288"/>
      <c r="R46" s="289"/>
      <c r="S46" s="1870" t="str">
        <f>INDEX(PT_DIFFERENTIATION_NUM_IST_TE,MATCH(D46,PT_DIFFERENTIATION_IST_TE_ID,0))</f>
        <v>...</v>
      </c>
      <c r="T46" s="247" t="s">
        <v>392</v>
      </c>
      <c r="U46" s="237"/>
      <c r="V46" s="2636"/>
      <c r="W46" s="2637"/>
      <c r="X46" s="2637"/>
      <c r="Y46" s="2637"/>
      <c r="Z46" s="2637"/>
      <c r="AA46" s="2637"/>
      <c r="AB46" s="2637"/>
      <c r="AC46" s="2638"/>
      <c r="AD46" s="2636" t="str">
        <f>INDEX(PT_DIFFERENTIATION_IST_TE,MATCH(D46,PT_DIFFERENTIATION_IST_TE_ID,0))</f>
        <v/>
      </c>
      <c r="AE46" s="2637"/>
      <c r="AF46" s="2637"/>
      <c r="AG46" s="2637"/>
      <c r="AH46" s="2637"/>
      <c r="AI46" s="2637"/>
      <c r="AJ46" s="2637"/>
      <c r="AK46" s="2637"/>
      <c r="AL46" s="2638"/>
      <c r="AM46" s="1176" t="s">
        <v>393</v>
      </c>
      <c r="AO46" s="1542"/>
      <c r="AP46" s="1542" t="str">
        <f t="shared" si="1"/>
        <v xml:space="preserve">Источник тепловой энергии  </v>
      </c>
      <c r="AQ46" s="1542"/>
      <c r="AR46" s="1542"/>
      <c r="AS46" s="1549">
        <v>21</v>
      </c>
    </row>
    <row r="47" spans="1:45" ht="49.5" customHeight="1">
      <c r="A47" s="1185" t="s">
        <v>203</v>
      </c>
      <c r="B47" s="1185" t="s">
        <v>204</v>
      </c>
      <c r="C47" s="1185" t="s">
        <v>205</v>
      </c>
      <c r="D47" s="1185" t="s">
        <v>206</v>
      </c>
      <c r="E47" s="2669"/>
      <c r="F47" s="2669"/>
      <c r="G47" s="2669"/>
      <c r="H47" s="2669"/>
      <c r="I47" s="2514" t="str">
        <f>S46&amp;".1"</f>
        <v>....1</v>
      </c>
      <c r="J47" s="1185"/>
      <c r="K47" s="1185"/>
      <c r="L47" s="1228" t="s">
        <v>394</v>
      </c>
      <c r="P47" s="2646">
        <v>1</v>
      </c>
      <c r="Q47" s="1866"/>
      <c r="R47" s="292"/>
      <c r="S47" s="1870" t="str">
        <f>$I47</f>
        <v>....1</v>
      </c>
      <c r="T47" s="222" t="s">
        <v>395</v>
      </c>
      <c r="U47" s="237"/>
      <c r="V47" s="2630"/>
      <c r="W47" s="2631"/>
      <c r="X47" s="2631"/>
      <c r="Y47" s="2631"/>
      <c r="Z47" s="2631"/>
      <c r="AA47" s="2631"/>
      <c r="AB47" s="2631"/>
      <c r="AC47" s="2632"/>
      <c r="AD47" s="2630"/>
      <c r="AE47" s="2631"/>
      <c r="AF47" s="2631"/>
      <c r="AG47" s="2631"/>
      <c r="AH47" s="2631"/>
      <c r="AI47" s="2631"/>
      <c r="AJ47" s="2631"/>
      <c r="AK47" s="2631"/>
      <c r="AL47" s="2632"/>
      <c r="AM47" s="1176" t="s">
        <v>396</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203</v>
      </c>
      <c r="B48" s="1185" t="s">
        <v>204</v>
      </c>
      <c r="C48" s="1185" t="s">
        <v>205</v>
      </c>
      <c r="D48" s="1185" t="s">
        <v>206</v>
      </c>
      <c r="E48" s="2669"/>
      <c r="F48" s="2669"/>
      <c r="G48" s="2669"/>
      <c r="H48" s="2669"/>
      <c r="I48" s="2496"/>
      <c r="J48" s="2514" t="str">
        <f>I47&amp;".1"</f>
        <v>....1.1</v>
      </c>
      <c r="K48" s="1185"/>
      <c r="L48" s="1228" t="s">
        <v>397</v>
      </c>
      <c r="P48" s="2646"/>
      <c r="Q48" s="2646">
        <v>1</v>
      </c>
      <c r="R48" s="293"/>
      <c r="S48" s="1870" t="str">
        <f>$J48</f>
        <v>....1.1</v>
      </c>
      <c r="T48" s="223" t="s">
        <v>398</v>
      </c>
      <c r="U48" s="237"/>
      <c r="V48" s="2630"/>
      <c r="W48" s="2631"/>
      <c r="X48" s="2631"/>
      <c r="Y48" s="2631"/>
      <c r="Z48" s="2631"/>
      <c r="AA48" s="2631"/>
      <c r="AB48" s="2631"/>
      <c r="AC48" s="2632"/>
      <c r="AD48" s="2630"/>
      <c r="AE48" s="2631"/>
      <c r="AF48" s="2631"/>
      <c r="AG48" s="2631"/>
      <c r="AH48" s="2631"/>
      <c r="AI48" s="2631"/>
      <c r="AJ48" s="2631"/>
      <c r="AK48" s="2631"/>
      <c r="AL48" s="2632"/>
      <c r="AM48" s="1176" t="s">
        <v>399</v>
      </c>
      <c r="AO48" s="1542"/>
      <c r="AP48" s="1542" t="str">
        <f t="shared" si="1"/>
        <v>Группа потребителей</v>
      </c>
      <c r="AQ48" s="1542"/>
      <c r="AR48" s="1542"/>
      <c r="AS48" s="1549">
        <v>21</v>
      </c>
    </row>
    <row r="49" spans="1:45" ht="21.95" customHeight="1">
      <c r="A49" s="1185" t="s">
        <v>203</v>
      </c>
      <c r="B49" s="1185" t="s">
        <v>204</v>
      </c>
      <c r="C49" s="1185" t="s">
        <v>205</v>
      </c>
      <c r="D49" s="1185" t="s">
        <v>206</v>
      </c>
      <c r="E49" s="2669"/>
      <c r="F49" s="2669"/>
      <c r="G49" s="2669"/>
      <c r="H49" s="2669"/>
      <c r="I49" s="2496"/>
      <c r="J49" s="2496"/>
      <c r="K49" s="2514" t="str">
        <f>J48&amp;".1"</f>
        <v>....1.1.1</v>
      </c>
      <c r="L49" s="1228" t="s">
        <v>400</v>
      </c>
      <c r="P49" s="2646"/>
      <c r="Q49" s="2646"/>
      <c r="R49" s="293">
        <v>1</v>
      </c>
      <c r="S49" s="1870" t="str">
        <f>$K49</f>
        <v>....1.1.1</v>
      </c>
      <c r="T49" s="1265"/>
      <c r="U49" s="237"/>
      <c r="V49" s="687"/>
      <c r="W49" s="262"/>
      <c r="X49" s="687"/>
      <c r="Y49" s="1175"/>
      <c r="Z49" s="2647"/>
      <c r="AA49" s="2524" t="s">
        <v>65</v>
      </c>
      <c r="AB49" s="2647"/>
      <c r="AC49" s="2524" t="s">
        <v>65</v>
      </c>
      <c r="AD49" s="687"/>
      <c r="AE49" s="262"/>
      <c r="AF49" s="687"/>
      <c r="AG49" s="1175"/>
      <c r="AH49" s="2647"/>
      <c r="AI49" s="2524" t="s">
        <v>65</v>
      </c>
      <c r="AJ49" s="2649"/>
      <c r="AK49" s="2524" t="s">
        <v>65</v>
      </c>
      <c r="AL49" s="1266"/>
      <c r="AM49" s="2665" t="s">
        <v>401</v>
      </c>
      <c r="AN49" s="1554" t="e">
        <f ca="1">STRCHECKDATE(V50:AL50)</f>
        <v>#NAME?</v>
      </c>
      <c r="AO49" s="1542"/>
      <c r="AP49" s="1542" t="str">
        <f t="shared" si="1"/>
        <v/>
      </c>
      <c r="AQ49" s="1542"/>
      <c r="AR49" s="1542"/>
      <c r="AS49" s="1549">
        <v>21</v>
      </c>
    </row>
    <row r="50" spans="1:45" ht="1.1499999999999999" customHeight="1">
      <c r="A50" s="1185" t="s">
        <v>203</v>
      </c>
      <c r="B50" s="1185" t="s">
        <v>204</v>
      </c>
      <c r="C50" s="1185" t="s">
        <v>205</v>
      </c>
      <c r="D50" s="1185" t="s">
        <v>206</v>
      </c>
      <c r="E50" s="2669"/>
      <c r="F50" s="2669"/>
      <c r="G50" s="2669"/>
      <c r="H50" s="2669"/>
      <c r="I50" s="2496"/>
      <c r="J50" s="2496"/>
      <c r="K50" s="2514"/>
      <c r="L50" s="1228"/>
      <c r="P50" s="2646"/>
      <c r="Q50" s="2646"/>
      <c r="R50" s="293"/>
      <c r="S50" s="1879"/>
      <c r="T50" s="237"/>
      <c r="U50" s="237"/>
      <c r="V50" s="262"/>
      <c r="W50" s="262"/>
      <c r="X50" s="262"/>
      <c r="Y50" s="265" t="str">
        <f>Z49&amp;"-"&amp;AB49</f>
        <v>-</v>
      </c>
      <c r="Z50" s="2648"/>
      <c r="AA50" s="2524"/>
      <c r="AB50" s="2648"/>
      <c r="AC50" s="2524"/>
      <c r="AD50" s="262"/>
      <c r="AE50" s="262"/>
      <c r="AF50" s="262"/>
      <c r="AG50" s="265" t="str">
        <f>AH49&amp;"-"&amp;AJ49</f>
        <v>-</v>
      </c>
      <c r="AH50" s="2648"/>
      <c r="AI50" s="2524"/>
      <c r="AJ50" s="2650"/>
      <c r="AK50" s="2524"/>
      <c r="AL50" s="1267"/>
      <c r="AM50" s="2666"/>
      <c r="AO50" s="1542"/>
      <c r="AP50" s="1542" t="str">
        <f t="shared" si="1"/>
        <v/>
      </c>
      <c r="AQ50" s="1542"/>
      <c r="AR50" s="1542"/>
      <c r="AS50" s="1549">
        <v>1</v>
      </c>
    </row>
    <row r="51" spans="1:45" ht="11.45" customHeight="1">
      <c r="A51" s="1185" t="s">
        <v>203</v>
      </c>
      <c r="B51" s="1185" t="s">
        <v>204</v>
      </c>
      <c r="C51" s="1185" t="s">
        <v>205</v>
      </c>
      <c r="D51" s="1185" t="s">
        <v>206</v>
      </c>
      <c r="E51" s="2669"/>
      <c r="F51" s="2669"/>
      <c r="G51" s="2669"/>
      <c r="H51" s="2669"/>
      <c r="I51" s="2496"/>
      <c r="J51" s="2514"/>
      <c r="K51" s="1185"/>
      <c r="L51" s="1228"/>
      <c r="P51" s="2646"/>
      <c r="Q51" s="2646"/>
      <c r="R51" s="292"/>
      <c r="S51" s="1196"/>
      <c r="T51" s="225" t="s">
        <v>402</v>
      </c>
      <c r="U51" s="536"/>
      <c r="V51" s="536"/>
      <c r="W51" s="536"/>
      <c r="X51" s="536"/>
      <c r="Y51" s="536"/>
      <c r="Z51" s="536"/>
      <c r="AA51" s="536"/>
      <c r="AB51" s="536"/>
      <c r="AC51" s="536"/>
      <c r="AD51" s="536"/>
      <c r="AE51" s="536"/>
      <c r="AF51" s="536"/>
      <c r="AG51" s="536"/>
      <c r="AH51" s="536"/>
      <c r="AI51" s="536"/>
      <c r="AJ51" s="536"/>
      <c r="AK51" s="536"/>
      <c r="AL51" s="261"/>
      <c r="AM51" s="2667"/>
      <c r="AO51" s="1542"/>
      <c r="AP51" s="1542" t="str">
        <f t="shared" si="1"/>
        <v>Добавить вид теплоносителя (параметры теплоносителя)</v>
      </c>
      <c r="AQ51" s="1542"/>
      <c r="AR51" s="1542"/>
      <c r="AS51" s="1549">
        <v>11</v>
      </c>
    </row>
    <row r="52" spans="1:45" ht="11.45" customHeight="1">
      <c r="A52" s="1185" t="s">
        <v>203</v>
      </c>
      <c r="B52" s="1185" t="s">
        <v>204</v>
      </c>
      <c r="C52" s="1185" t="s">
        <v>205</v>
      </c>
      <c r="D52" s="1185" t="s">
        <v>206</v>
      </c>
      <c r="E52" s="2669"/>
      <c r="F52" s="2669"/>
      <c r="G52" s="2669"/>
      <c r="H52" s="2669"/>
      <c r="I52" s="2514"/>
      <c r="J52" s="1185"/>
      <c r="K52" s="1185"/>
      <c r="L52" s="1228"/>
      <c r="P52" s="2646"/>
      <c r="Q52" s="1866"/>
      <c r="R52" s="292"/>
      <c r="S52" s="1196"/>
      <c r="T52" s="224" t="s">
        <v>403</v>
      </c>
      <c r="U52" s="536"/>
      <c r="V52" s="536"/>
      <c r="W52" s="536"/>
      <c r="X52" s="536"/>
      <c r="Y52" s="536"/>
      <c r="Z52" s="536"/>
      <c r="AA52" s="536"/>
      <c r="AB52" s="536"/>
      <c r="AC52" s="302"/>
      <c r="AD52" s="536"/>
      <c r="AE52" s="536"/>
      <c r="AF52" s="536"/>
      <c r="AG52" s="536"/>
      <c r="AH52" s="536"/>
      <c r="AI52" s="536"/>
      <c r="AJ52" s="536"/>
      <c r="AK52" s="302"/>
      <c r="AL52" s="536"/>
      <c r="AM52" s="240"/>
      <c r="AO52" s="1542"/>
      <c r="AP52" s="1542" t="str">
        <f t="shared" si="1"/>
        <v>Добавить группу потребителей</v>
      </c>
      <c r="AQ52" s="1542"/>
      <c r="AR52" s="1542"/>
      <c r="AS52" s="1549">
        <v>11</v>
      </c>
    </row>
    <row r="53" spans="1:45" ht="14.65" customHeight="1">
      <c r="A53" s="1185" t="s">
        <v>203</v>
      </c>
      <c r="B53" s="1185" t="s">
        <v>204</v>
      </c>
      <c r="C53" s="1185" t="s">
        <v>205</v>
      </c>
      <c r="D53" s="1185" t="s">
        <v>206</v>
      </c>
      <c r="E53" s="2669"/>
      <c r="F53" s="2669"/>
      <c r="G53" s="2669"/>
      <c r="H53" s="2668"/>
      <c r="I53" s="1185"/>
      <c r="J53" s="1185"/>
      <c r="K53" s="1185"/>
      <c r="L53" s="1228"/>
      <c r="M53" s="1528"/>
      <c r="N53" s="1528"/>
      <c r="O53" s="1553"/>
      <c r="P53" s="296"/>
      <c r="Q53" s="311"/>
      <c r="R53" s="291"/>
      <c r="S53" s="1196"/>
      <c r="T53" s="301" t="s">
        <v>404</v>
      </c>
      <c r="U53" s="536"/>
      <c r="V53" s="536"/>
      <c r="W53" s="536"/>
      <c r="X53" s="536"/>
      <c r="Y53" s="536"/>
      <c r="Z53" s="536"/>
      <c r="AA53" s="536"/>
      <c r="AB53" s="536"/>
      <c r="AC53" s="302"/>
      <c r="AD53" s="536"/>
      <c r="AE53" s="536"/>
      <c r="AF53" s="536"/>
      <c r="AG53" s="536"/>
      <c r="AH53" s="536"/>
      <c r="AI53" s="536"/>
      <c r="AJ53" s="536"/>
      <c r="AK53" s="302"/>
      <c r="AL53" s="536"/>
      <c r="AM53" s="240"/>
      <c r="AO53" s="1542"/>
      <c r="AP53" s="1542" t="str">
        <f t="shared" si="1"/>
        <v>Добавить схему подключения</v>
      </c>
      <c r="AQ53" s="1542"/>
      <c r="AR53" s="1542"/>
      <c r="AS53" s="1549">
        <v>14</v>
      </c>
    </row>
    <row r="54" spans="1:45" s="2407" customFormat="1" ht="1.1499999999999999" customHeight="1">
      <c r="A54" s="1185" t="s">
        <v>203</v>
      </c>
      <c r="B54" s="1185" t="s">
        <v>204</v>
      </c>
      <c r="C54" s="1185" t="s">
        <v>205</v>
      </c>
      <c r="D54" s="1886"/>
      <c r="E54" s="2669"/>
      <c r="F54" s="2669"/>
      <c r="G54" s="2668"/>
      <c r="H54" s="1886"/>
      <c r="I54" s="1886"/>
      <c r="J54" s="1886"/>
      <c r="K54" s="1886"/>
      <c r="L54" s="1298"/>
      <c r="M54" s="1528"/>
      <c r="N54" s="1528"/>
      <c r="O54" s="1553"/>
      <c r="P54" s="1234"/>
      <c r="Q54" s="1235"/>
      <c r="R54" s="1234"/>
      <c r="S54" s="1240"/>
      <c r="T54" s="1243" t="s">
        <v>405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407" customFormat="1" ht="1.1499999999999999" customHeight="1">
      <c r="A55" s="1185" t="s">
        <v>203</v>
      </c>
      <c r="B55" s="1185" t="s">
        <v>204</v>
      </c>
      <c r="C55" s="1886"/>
      <c r="D55" s="1886"/>
      <c r="E55" s="2669"/>
      <c r="F55" s="2668"/>
      <c r="G55" s="1886"/>
      <c r="H55" s="1886"/>
      <c r="I55" s="1886"/>
      <c r="J55" s="1886"/>
      <c r="K55" s="1886"/>
      <c r="L55" s="1298"/>
      <c r="M55" s="1887"/>
      <c r="N55" s="1887"/>
      <c r="O55" s="1553"/>
      <c r="P55" s="1234"/>
      <c r="Q55" s="1235"/>
      <c r="R55" s="1234"/>
      <c r="S55" s="1240"/>
      <c r="T55" s="1243" t="s">
        <v>406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407" customFormat="1" ht="1.1499999999999999" customHeight="1">
      <c r="A56" s="1185" t="s">
        <v>203</v>
      </c>
      <c r="B56" s="1185"/>
      <c r="C56" s="1185"/>
      <c r="D56" s="1185"/>
      <c r="E56" s="2668"/>
      <c r="F56" s="1185"/>
      <c r="G56" s="1185"/>
      <c r="H56" s="1185"/>
      <c r="I56" s="1185"/>
      <c r="J56" s="1185"/>
      <c r="K56" s="1185"/>
      <c r="L56" s="1228"/>
      <c r="M56" s="1887"/>
      <c r="N56" s="1887"/>
      <c r="O56" s="1553"/>
      <c r="P56" s="316"/>
      <c r="Q56" s="1262"/>
      <c r="R56" s="316"/>
      <c r="S56" s="1240"/>
      <c r="T56" s="1243" t="s">
        <v>407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407"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439</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641"/>
      <c r="U59" s="2641"/>
      <c r="V59" s="2641"/>
      <c r="W59" s="2641"/>
      <c r="X59" s="2641"/>
      <c r="Y59" s="2641"/>
      <c r="Z59" s="2641"/>
      <c r="AA59" s="2641"/>
      <c r="AB59" s="2641"/>
      <c r="AC59" s="2641"/>
      <c r="AD59" s="2641"/>
      <c r="AE59" s="2641"/>
      <c r="AF59" s="2641"/>
      <c r="AG59" s="2641"/>
      <c r="AH59" s="2641"/>
      <c r="AI59" s="2641"/>
      <c r="AJ59" s="2641"/>
      <c r="AK59" s="2641"/>
      <c r="AL59" s="2641"/>
      <c r="AM59" s="2641"/>
      <c r="AS59" s="1549">
        <v>27</v>
      </c>
    </row>
    <row r="60" spans="1:45" ht="65.25" customHeight="1">
      <c r="O60" s="1553"/>
      <c r="T60" s="2641"/>
      <c r="U60" s="2641"/>
      <c r="V60" s="2641"/>
      <c r="W60" s="2641"/>
      <c r="X60" s="2641"/>
      <c r="Y60" s="2641"/>
      <c r="Z60" s="2641"/>
      <c r="AA60" s="2641"/>
      <c r="AB60" s="2641"/>
      <c r="AC60" s="2641"/>
      <c r="AD60" s="2641"/>
      <c r="AE60" s="2641"/>
      <c r="AF60" s="2641"/>
      <c r="AG60" s="2641"/>
      <c r="AH60" s="2641"/>
      <c r="AI60" s="2641"/>
      <c r="AJ60" s="2641"/>
      <c r="AK60" s="2641"/>
      <c r="AL60" s="2641"/>
      <c r="AM60" s="2641"/>
      <c r="AS60" s="1549">
        <v>62</v>
      </c>
    </row>
    <row r="61" spans="1:45" ht="14.65" customHeight="1">
      <c r="O61" s="1553"/>
      <c r="AS61" s="1549">
        <v>14</v>
      </c>
    </row>
    <row r="62" spans="1:45" ht="18.75" customHeight="1">
      <c r="O62" s="1553"/>
      <c r="S62" s="1171"/>
      <c r="T62" s="2641"/>
      <c r="U62" s="2641"/>
      <c r="V62" s="2641"/>
      <c r="W62" s="2641"/>
      <c r="X62" s="2641"/>
      <c r="Y62" s="2641"/>
      <c r="Z62" s="2641"/>
      <c r="AA62" s="2641"/>
      <c r="AB62" s="2641"/>
      <c r="AC62" s="2641"/>
      <c r="AD62" s="2641"/>
      <c r="AE62" s="2641"/>
      <c r="AF62" s="2641"/>
      <c r="AG62" s="2641"/>
      <c r="AH62" s="2641"/>
      <c r="AI62" s="2641"/>
      <c r="AJ62" s="2641"/>
      <c r="AK62" s="2641"/>
      <c r="AL62" s="2641"/>
      <c r="AM62" s="2641"/>
      <c r="AS62" s="1549">
        <v>18</v>
      </c>
    </row>
    <row r="63" spans="1:45" ht="18.75" customHeight="1">
      <c r="O63" s="1553"/>
      <c r="T63" s="2641"/>
      <c r="U63" s="2641"/>
      <c r="V63" s="2641"/>
      <c r="W63" s="2641"/>
      <c r="X63" s="2641"/>
      <c r="Y63" s="2641"/>
      <c r="Z63" s="2641"/>
      <c r="AA63" s="2641"/>
      <c r="AB63" s="2641"/>
      <c r="AC63" s="2641"/>
      <c r="AD63" s="2641"/>
      <c r="AE63" s="2641"/>
      <c r="AF63" s="2641"/>
      <c r="AG63" s="2641"/>
      <c r="AH63" s="2641"/>
      <c r="AI63" s="2641"/>
      <c r="AJ63" s="2641"/>
      <c r="AK63" s="2641"/>
      <c r="AL63" s="2641"/>
      <c r="AM63" s="2641"/>
      <c r="AS63" s="1549">
        <v>18</v>
      </c>
    </row>
    <row r="64" spans="1:45" ht="29.25" customHeight="1">
      <c r="O64" s="1553"/>
      <c r="S64" s="1171"/>
      <c r="T64" s="2641"/>
      <c r="U64" s="2641"/>
      <c r="V64" s="2641"/>
      <c r="W64" s="2641"/>
      <c r="X64" s="2641"/>
      <c r="Y64" s="2641"/>
      <c r="Z64" s="2641"/>
      <c r="AA64" s="2641"/>
      <c r="AB64" s="2641"/>
      <c r="AC64" s="2641"/>
      <c r="AD64" s="2641"/>
      <c r="AE64" s="2641"/>
      <c r="AF64" s="2641"/>
      <c r="AG64" s="2641"/>
      <c r="AH64" s="2641"/>
      <c r="AI64" s="2641"/>
      <c r="AJ64" s="2641"/>
      <c r="AK64" s="2641"/>
      <c r="AL64" s="2641"/>
      <c r="AM64" s="2641"/>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1">
        <v>3</v>
      </c>
      <c r="R65" s="281">
        <v>3</v>
      </c>
      <c r="S65" s="517">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2" style="2406" hidden="1" customWidth="1"/>
    <col min="10" max="10" width="9.85546875" style="2406" hidden="1" customWidth="1"/>
    <col min="11" max="11" width="11.42578125" style="2406" hidden="1" customWidth="1"/>
    <col min="12" max="12" width="19.140625" style="2432" hidden="1" customWidth="1"/>
    <col min="13" max="14" width="12.28515625" style="2433" hidden="1" customWidth="1"/>
    <col min="15" max="15" width="23.42578125" style="2433" hidden="1" customWidth="1"/>
    <col min="16" max="16" width="3" style="2434" customWidth="1"/>
    <col min="17" max="18" width="3" style="2435" customWidth="1"/>
    <col min="19" max="19" width="12" style="2436" customWidth="1"/>
    <col min="20" max="20" width="31" style="2400" customWidth="1"/>
    <col min="21" max="21" width="0.7109375" style="2400" hidden="1" customWidth="1"/>
    <col min="22" max="22" width="1.7109375" style="2400" hidden="1" customWidth="1"/>
    <col min="23" max="23" width="24.7109375" style="2400" hidden="1" customWidth="1"/>
    <col min="24" max="25" width="0.140625" style="2400" hidden="1" customWidth="1"/>
    <col min="26" max="26" width="11.7109375" style="2400" hidden="1" customWidth="1"/>
    <col min="27" max="27" width="3.7109375" style="2400" hidden="1" customWidth="1"/>
    <col min="28" max="28" width="11.7109375" style="2400" hidden="1" customWidth="1"/>
    <col min="29" max="29" width="8.5703125" style="2400" hidden="1" customWidth="1"/>
    <col min="30" max="30" width="0.140625" style="2400" customWidth="1"/>
    <col min="31" max="31" width="24" style="2400" customWidth="1"/>
    <col min="32" max="33" width="0.140625" style="2400" customWidth="1"/>
    <col min="34" max="34" width="11" style="2400" customWidth="1"/>
    <col min="35" max="35" width="3.7109375" style="2400" customWidth="1"/>
    <col min="36" max="36" width="11" style="2400" customWidth="1"/>
    <col min="37" max="37" width="8.5703125" style="2400" hidden="1" customWidth="1"/>
    <col min="38" max="38" width="4" style="2400" customWidth="1"/>
    <col min="39" max="39" width="115" style="2400" customWidth="1"/>
    <col min="40" max="44" width="10" style="2407" customWidth="1"/>
    <col min="45" max="45" width="10.5703125" style="2400" hidden="1"/>
  </cols>
  <sheetData>
    <row r="1" spans="1:45" ht="22.5" hidden="1" customHeight="1">
      <c r="Y1" s="264"/>
      <c r="Z1" s="264"/>
      <c r="AG1" s="264"/>
      <c r="AH1" s="264"/>
      <c r="AS1" s="1073" t="s">
        <v>14</v>
      </c>
    </row>
    <row r="2" spans="1:45" ht="21" hidden="1" customHeight="1">
      <c r="A2" s="1281"/>
      <c r="B2" s="1281"/>
      <c r="C2" s="1281"/>
      <c r="D2" s="1281"/>
      <c r="E2" s="2642">
        <v>1</v>
      </c>
      <c r="F2" s="1281"/>
      <c r="G2" s="1281"/>
      <c r="H2" s="1281"/>
      <c r="I2" s="1281"/>
      <c r="J2" s="1281"/>
      <c r="K2" s="1281"/>
      <c r="L2" s="1282"/>
      <c r="M2" s="1283"/>
      <c r="N2" s="1283"/>
      <c r="O2" s="1283"/>
      <c r="P2" s="297"/>
      <c r="Q2" s="296"/>
      <c r="R2" s="291"/>
      <c r="S2" s="1254" t="e">
        <f>INDEX(PT_DIFFERENTIATION_NUM_NTAR,MATCH(A2,PT_DIFFERENTIATION_NTAR_ID,0))</f>
        <v>#N/A</v>
      </c>
      <c r="T2" s="235" t="s">
        <v>116</v>
      </c>
      <c r="U2" s="237"/>
      <c r="V2" s="2636"/>
      <c r="W2" s="2637"/>
      <c r="X2" s="2637"/>
      <c r="Y2" s="2637"/>
      <c r="Z2" s="2637"/>
      <c r="AA2" s="2637"/>
      <c r="AB2" s="2637"/>
      <c r="AC2" s="2638"/>
      <c r="AD2" s="2636" t="e">
        <f>INDEX(PT_DIFFERENTIATION_NTAR,MATCH(A2,PT_DIFFERENTIATION_NTAR_ID,0))</f>
        <v>#N/A</v>
      </c>
      <c r="AE2" s="2637"/>
      <c r="AF2" s="2637"/>
      <c r="AG2" s="2637"/>
      <c r="AH2" s="2637"/>
      <c r="AI2" s="2637"/>
      <c r="AJ2" s="2637"/>
      <c r="AK2" s="2637"/>
      <c r="AL2" s="2638"/>
      <c r="AM2" s="1176" t="s">
        <v>387</v>
      </c>
      <c r="AO2" s="436"/>
      <c r="AP2" s="436" t="str">
        <f t="shared" ref="AP2:AP15" si="0">IF(T2="","",T2)</f>
        <v>Наименование тарифа</v>
      </c>
      <c r="AQ2" s="436"/>
      <c r="AR2" s="436"/>
      <c r="AS2" s="1073">
        <v>0</v>
      </c>
    </row>
    <row r="3" spans="1:45" ht="21" hidden="1" customHeight="1">
      <c r="A3" s="1281"/>
      <c r="B3" s="1281"/>
      <c r="C3" s="1281"/>
      <c r="D3" s="1281"/>
      <c r="E3" s="2643"/>
      <c r="F3" s="2642">
        <v>1</v>
      </c>
      <c r="G3" s="1281"/>
      <c r="H3" s="1281"/>
      <c r="I3" s="1281"/>
      <c r="J3" s="1281"/>
      <c r="K3" s="1281"/>
      <c r="L3" s="1282"/>
      <c r="M3" s="1283"/>
      <c r="N3" s="1283"/>
      <c r="O3" s="1283"/>
      <c r="P3" s="1250"/>
      <c r="Q3" s="288"/>
      <c r="R3" s="289"/>
      <c r="S3" s="1254" t="e">
        <f>INDEX(PT_DIFFERENTIATION_NUM_TER,MATCH(B3,PT_DIFFERENTIATION_TER_ID,0))</f>
        <v>#N/A</v>
      </c>
      <c r="T3" s="245" t="s">
        <v>388</v>
      </c>
      <c r="U3" s="237"/>
      <c r="V3" s="2636"/>
      <c r="W3" s="2637"/>
      <c r="X3" s="2637"/>
      <c r="Y3" s="2637"/>
      <c r="Z3" s="2637"/>
      <c r="AA3" s="2637"/>
      <c r="AB3" s="2637"/>
      <c r="AC3" s="2638"/>
      <c r="AD3" s="2636" t="e">
        <f>INDEX(PT_DIFFERENTIATION_TER,MATCH(B3,PT_DIFFERENTIATION_TER_ID,0))</f>
        <v>#N/A</v>
      </c>
      <c r="AE3" s="2637"/>
      <c r="AF3" s="2637"/>
      <c r="AG3" s="2637"/>
      <c r="AH3" s="2637"/>
      <c r="AI3" s="2637"/>
      <c r="AJ3" s="2637"/>
      <c r="AK3" s="2637"/>
      <c r="AL3" s="2638"/>
      <c r="AM3" s="1176" t="s">
        <v>389</v>
      </c>
      <c r="AO3" s="436"/>
      <c r="AP3" s="436" t="str">
        <f t="shared" si="0"/>
        <v>Территория действия тарифа</v>
      </c>
      <c r="AQ3" s="436"/>
      <c r="AR3" s="436"/>
      <c r="AS3" s="1073">
        <v>0</v>
      </c>
    </row>
    <row r="4" spans="1:45" ht="23.25" hidden="1" customHeight="1">
      <c r="A4" s="1281"/>
      <c r="B4" s="1281"/>
      <c r="C4" s="1281"/>
      <c r="D4" s="1281"/>
      <c r="E4" s="2643"/>
      <c r="F4" s="2643"/>
      <c r="G4" s="2642">
        <v>1</v>
      </c>
      <c r="H4" s="1281"/>
      <c r="I4" s="1281"/>
      <c r="J4" s="1281"/>
      <c r="K4" s="1281"/>
      <c r="L4" s="1282"/>
      <c r="M4" s="1283"/>
      <c r="N4" s="1283"/>
      <c r="O4" s="1283"/>
      <c r="P4" s="290"/>
      <c r="Q4" s="288"/>
      <c r="R4" s="289"/>
      <c r="S4" s="1254" t="e">
        <f>INDEX(PT_DIFFERENTIATION_NUM_CS,MATCH(C4,PT_DIFFERENTIATION_CS_ID,0))</f>
        <v>#N/A</v>
      </c>
      <c r="T4" s="246" t="s">
        <v>390</v>
      </c>
      <c r="U4" s="237"/>
      <c r="V4" s="2636"/>
      <c r="W4" s="2637"/>
      <c r="X4" s="2637"/>
      <c r="Y4" s="2637"/>
      <c r="Z4" s="2637"/>
      <c r="AA4" s="2637"/>
      <c r="AB4" s="2637"/>
      <c r="AC4" s="2638"/>
      <c r="AD4" s="2636" t="e">
        <f>INDEX(PT_DIFFERENTIATION_CS,MATCH(C4,PT_DIFFERENTIATION_CS_ID,0))</f>
        <v>#N/A</v>
      </c>
      <c r="AE4" s="2637"/>
      <c r="AF4" s="2637"/>
      <c r="AG4" s="2637"/>
      <c r="AH4" s="2637"/>
      <c r="AI4" s="2637"/>
      <c r="AJ4" s="2637"/>
      <c r="AK4" s="2637"/>
      <c r="AL4" s="2638"/>
      <c r="AM4" s="1176" t="s">
        <v>391</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643"/>
      <c r="F5" s="2643"/>
      <c r="G5" s="2643"/>
      <c r="H5" s="2642">
        <v>1</v>
      </c>
      <c r="I5" s="1281"/>
      <c r="J5" s="1281"/>
      <c r="K5" s="1281"/>
      <c r="L5" s="1282"/>
      <c r="M5" s="1283"/>
      <c r="N5" s="1283"/>
      <c r="O5" s="1283"/>
      <c r="P5" s="290"/>
      <c r="Q5" s="288"/>
      <c r="R5" s="289"/>
      <c r="S5" s="1254" t="e">
        <f>INDEX(PT_DIFFERENTIATION_NUM_IST_TE,MATCH(D5,PT_DIFFERENTIATION_IST_TE_ID,0))</f>
        <v>#N/A</v>
      </c>
      <c r="T5" s="247" t="s">
        <v>392</v>
      </c>
      <c r="U5" s="237"/>
      <c r="V5" s="2636"/>
      <c r="W5" s="2637"/>
      <c r="X5" s="2637"/>
      <c r="Y5" s="2637"/>
      <c r="Z5" s="2637"/>
      <c r="AA5" s="2637"/>
      <c r="AB5" s="2637"/>
      <c r="AC5" s="2638"/>
      <c r="AD5" s="2636" t="e">
        <f>INDEX(PT_DIFFERENTIATION_IST_TE,MATCH(D5,PT_DIFFERENTIATION_IST_TE_ID,0))</f>
        <v>#N/A</v>
      </c>
      <c r="AE5" s="2637"/>
      <c r="AF5" s="2637"/>
      <c r="AG5" s="2637"/>
      <c r="AH5" s="2637"/>
      <c r="AI5" s="2637"/>
      <c r="AJ5" s="2637"/>
      <c r="AK5" s="2637"/>
      <c r="AL5" s="2638"/>
      <c r="AM5" s="1176" t="s">
        <v>393</v>
      </c>
      <c r="AO5" s="436"/>
      <c r="AP5" s="436" t="str">
        <f t="shared" si="0"/>
        <v xml:space="preserve">Источник тепловой энергии  </v>
      </c>
      <c r="AQ5" s="436"/>
      <c r="AR5" s="436"/>
      <c r="AS5" s="1073">
        <v>0</v>
      </c>
    </row>
    <row r="6" spans="1:45" ht="47.25" hidden="1" customHeight="1">
      <c r="A6" s="1281"/>
      <c r="B6" s="1281"/>
      <c r="C6" s="1281"/>
      <c r="D6" s="1281"/>
      <c r="E6" s="2643"/>
      <c r="F6" s="2643"/>
      <c r="G6" s="2643"/>
      <c r="H6" s="2643"/>
      <c r="I6" s="2644" t="e">
        <f>S5&amp;".1"</f>
        <v>#N/A</v>
      </c>
      <c r="J6" s="1281"/>
      <c r="K6" s="1281"/>
      <c r="L6" s="1282" t="s">
        <v>394</v>
      </c>
      <c r="M6" s="473"/>
      <c r="P6" s="2646">
        <v>1</v>
      </c>
      <c r="Q6" s="1249"/>
      <c r="R6" s="292"/>
      <c r="S6" s="1254" t="e">
        <f>$I6</f>
        <v>#N/A</v>
      </c>
      <c r="T6" s="222" t="s">
        <v>395</v>
      </c>
      <c r="U6" s="237"/>
      <c r="V6" s="2630"/>
      <c r="W6" s="2631"/>
      <c r="X6" s="2631"/>
      <c r="Y6" s="2631"/>
      <c r="Z6" s="2631"/>
      <c r="AA6" s="2631"/>
      <c r="AB6" s="2631"/>
      <c r="AC6" s="2632"/>
      <c r="AD6" s="2630"/>
      <c r="AE6" s="2631"/>
      <c r="AF6" s="2631"/>
      <c r="AG6" s="2631"/>
      <c r="AH6" s="2631"/>
      <c r="AI6" s="2631"/>
      <c r="AJ6" s="2631"/>
      <c r="AK6" s="2631"/>
      <c r="AL6" s="2632"/>
      <c r="AM6" s="1176" t="s">
        <v>396</v>
      </c>
      <c r="AO6" s="436"/>
      <c r="AP6" s="436" t="str">
        <f t="shared" si="0"/>
        <v>Схема подключения теплопотребляющей установки к коллектору источника тепловой энергии</v>
      </c>
      <c r="AQ6" s="436"/>
      <c r="AR6" s="436"/>
      <c r="AS6" s="1073">
        <v>0</v>
      </c>
    </row>
    <row r="7" spans="1:45" ht="21" hidden="1" customHeight="1">
      <c r="A7" s="1281"/>
      <c r="B7" s="1281"/>
      <c r="C7" s="1281"/>
      <c r="D7" s="1281"/>
      <c r="E7" s="2643"/>
      <c r="F7" s="2643"/>
      <c r="G7" s="2643"/>
      <c r="H7" s="2643"/>
      <c r="I7" s="2645"/>
      <c r="J7" s="2644" t="e">
        <f>I6&amp;".1"</f>
        <v>#N/A</v>
      </c>
      <c r="K7" s="1281"/>
      <c r="L7" s="1282" t="s">
        <v>397</v>
      </c>
      <c r="M7" s="473"/>
      <c r="N7" s="1284"/>
      <c r="P7" s="2646"/>
      <c r="Q7" s="2646">
        <v>1</v>
      </c>
      <c r="R7" s="293"/>
      <c r="S7" s="1254" t="e">
        <f>$J7</f>
        <v>#N/A</v>
      </c>
      <c r="T7" s="223" t="s">
        <v>398</v>
      </c>
      <c r="U7" s="237"/>
      <c r="V7" s="2630"/>
      <c r="W7" s="2631"/>
      <c r="X7" s="2631"/>
      <c r="Y7" s="2631"/>
      <c r="Z7" s="2631"/>
      <c r="AA7" s="2631"/>
      <c r="AB7" s="2631"/>
      <c r="AC7" s="2632"/>
      <c r="AD7" s="2630"/>
      <c r="AE7" s="2631"/>
      <c r="AF7" s="2631"/>
      <c r="AG7" s="2631"/>
      <c r="AH7" s="2631"/>
      <c r="AI7" s="2631"/>
      <c r="AJ7" s="2631"/>
      <c r="AK7" s="2631"/>
      <c r="AL7" s="2632"/>
      <c r="AM7" s="1176" t="s">
        <v>399</v>
      </c>
      <c r="AO7" s="436"/>
      <c r="AP7" s="436" t="str">
        <f t="shared" si="0"/>
        <v>Группа потребителей</v>
      </c>
      <c r="AQ7" s="436"/>
      <c r="AR7" s="436"/>
      <c r="AS7" s="1073">
        <v>0</v>
      </c>
    </row>
    <row r="8" spans="1:45" ht="21" hidden="1" customHeight="1">
      <c r="A8" s="1281"/>
      <c r="B8" s="1281"/>
      <c r="C8" s="1281"/>
      <c r="D8" s="1281"/>
      <c r="E8" s="2643"/>
      <c r="F8" s="2643"/>
      <c r="G8" s="2643"/>
      <c r="H8" s="2643"/>
      <c r="I8" s="2645"/>
      <c r="J8" s="2645"/>
      <c r="K8" s="2644" t="e">
        <f>J7&amp;".1"</f>
        <v>#N/A</v>
      </c>
      <c r="L8" s="1282" t="s">
        <v>400</v>
      </c>
      <c r="M8" s="473"/>
      <c r="N8" s="1284"/>
      <c r="O8" s="1284"/>
      <c r="P8" s="2646"/>
      <c r="Q8" s="2646"/>
      <c r="R8" s="293">
        <v>1</v>
      </c>
      <c r="S8" s="1254" t="e">
        <f>$K8</f>
        <v>#N/A</v>
      </c>
      <c r="T8" s="1265"/>
      <c r="U8" s="237"/>
      <c r="V8" s="262"/>
      <c r="W8" s="687"/>
      <c r="X8" s="262"/>
      <c r="Y8" s="320"/>
      <c r="Z8" s="2647"/>
      <c r="AA8" s="2524" t="s">
        <v>65</v>
      </c>
      <c r="AB8" s="2647"/>
      <c r="AC8" s="2524" t="s">
        <v>65</v>
      </c>
      <c r="AD8" s="262"/>
      <c r="AE8" s="687"/>
      <c r="AF8" s="262"/>
      <c r="AG8" s="320"/>
      <c r="AH8" s="2647"/>
      <c r="AI8" s="2524" t="s">
        <v>65</v>
      </c>
      <c r="AJ8" s="2647"/>
      <c r="AK8" s="2524" t="s">
        <v>65</v>
      </c>
      <c r="AL8" s="262"/>
      <c r="AM8" s="2665" t="s">
        <v>401</v>
      </c>
      <c r="AN8" s="447" t="e">
        <f ca="1">STRCHECKDATE(V9:AL9)</f>
        <v>#NAME?</v>
      </c>
      <c r="AO8" s="436"/>
      <c r="AP8" s="436" t="str">
        <f t="shared" si="0"/>
        <v/>
      </c>
      <c r="AQ8" s="436"/>
      <c r="AR8" s="436"/>
      <c r="AS8" s="1073">
        <v>0</v>
      </c>
    </row>
    <row r="9" spans="1:45" ht="0.75" hidden="1" customHeight="1">
      <c r="A9" s="1281"/>
      <c r="B9" s="1281"/>
      <c r="C9" s="1281"/>
      <c r="D9" s="1281"/>
      <c r="E9" s="2643"/>
      <c r="F9" s="2643"/>
      <c r="G9" s="2643"/>
      <c r="H9" s="2643"/>
      <c r="I9" s="2645"/>
      <c r="J9" s="2645"/>
      <c r="K9" s="2644"/>
      <c r="L9" s="1282"/>
      <c r="M9" s="473"/>
      <c r="N9" s="1284"/>
      <c r="O9" s="1284"/>
      <c r="P9" s="2646"/>
      <c r="Q9" s="2646"/>
      <c r="R9" s="293"/>
      <c r="S9" s="1260"/>
      <c r="T9" s="237"/>
      <c r="U9" s="237"/>
      <c r="V9" s="262"/>
      <c r="W9" s="262"/>
      <c r="X9" s="262"/>
      <c r="Y9" s="265" t="str">
        <f>Z8&amp;"-"&amp;AB8</f>
        <v>-</v>
      </c>
      <c r="Z9" s="2648"/>
      <c r="AA9" s="2524"/>
      <c r="AB9" s="2648"/>
      <c r="AC9" s="2524"/>
      <c r="AD9" s="262"/>
      <c r="AE9" s="262"/>
      <c r="AF9" s="262"/>
      <c r="AG9" s="265" t="str">
        <f>AH8&amp;"-"&amp;AJ8</f>
        <v>-</v>
      </c>
      <c r="AH9" s="2648"/>
      <c r="AI9" s="2524"/>
      <c r="AJ9" s="2648"/>
      <c r="AK9" s="2524"/>
      <c r="AL9" s="262"/>
      <c r="AM9" s="2666"/>
      <c r="AO9" s="436"/>
      <c r="AP9" s="436" t="str">
        <f t="shared" si="0"/>
        <v/>
      </c>
      <c r="AQ9" s="436"/>
      <c r="AR9" s="436"/>
      <c r="AS9" s="1073">
        <v>0</v>
      </c>
    </row>
    <row r="10" spans="1:45" ht="15" hidden="1" customHeight="1">
      <c r="A10" s="1281"/>
      <c r="B10" s="1281"/>
      <c r="C10" s="1281"/>
      <c r="D10" s="1281"/>
      <c r="E10" s="2643"/>
      <c r="F10" s="2643"/>
      <c r="G10" s="2643"/>
      <c r="H10" s="2643"/>
      <c r="I10" s="2645"/>
      <c r="J10" s="2644"/>
      <c r="K10" s="1281"/>
      <c r="L10" s="1282"/>
      <c r="M10" s="473"/>
      <c r="N10" s="1284"/>
      <c r="P10" s="2646"/>
      <c r="Q10" s="2646"/>
      <c r="R10" s="292"/>
      <c r="S10" s="1196"/>
      <c r="T10" s="225" t="s">
        <v>402</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643"/>
      <c r="F11" s="2643"/>
      <c r="G11" s="2643"/>
      <c r="H11" s="2643"/>
      <c r="I11" s="2644"/>
      <c r="J11" s="1281"/>
      <c r="K11" s="1281"/>
      <c r="L11" s="1282"/>
      <c r="M11" s="473"/>
      <c r="P11" s="2646"/>
      <c r="Q11" s="1249"/>
      <c r="R11" s="292"/>
      <c r="S11" s="1196"/>
      <c r="T11" s="224"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643"/>
      <c r="F12" s="2643"/>
      <c r="G12" s="2643"/>
      <c r="H12" s="2642"/>
      <c r="I12" s="1281"/>
      <c r="J12" s="1281"/>
      <c r="K12" s="1281"/>
      <c r="L12" s="1282"/>
      <c r="M12" s="1283"/>
      <c r="N12" s="1283"/>
      <c r="O12" s="473"/>
      <c r="P12" s="296"/>
      <c r="Q12" s="311"/>
      <c r="R12" s="291"/>
      <c r="S12" s="1196"/>
      <c r="T12" s="301" t="s">
        <v>404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3">
        <v>0</v>
      </c>
    </row>
    <row r="13" spans="1:45" s="2407" customFormat="1" ht="0.75" hidden="1" customHeight="1">
      <c r="A13" s="1232"/>
      <c r="B13" s="1232"/>
      <c r="C13" s="1232"/>
      <c r="D13" s="1232"/>
      <c r="E13" s="2643"/>
      <c r="F13" s="2643"/>
      <c r="G13" s="2642"/>
      <c r="H13" s="1232"/>
      <c r="I13" s="1232"/>
      <c r="J13" s="1232"/>
      <c r="K13" s="1232"/>
      <c r="L13" s="1257"/>
      <c r="M13" s="1233"/>
      <c r="N13" s="1233"/>
      <c r="P13" s="1234"/>
      <c r="Q13" s="1235"/>
      <c r="R13" s="1234"/>
      <c r="S13" s="1236"/>
      <c r="T13" s="1237" t="s">
        <v>405</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7" customFormat="1" ht="0.75" hidden="1" customHeight="1">
      <c r="A14" s="1232"/>
      <c r="B14" s="1232"/>
      <c r="C14" s="1232"/>
      <c r="D14" s="1232"/>
      <c r="E14" s="2643"/>
      <c r="F14" s="2642"/>
      <c r="G14" s="1232"/>
      <c r="H14" s="1232"/>
      <c r="I14" s="1232"/>
      <c r="J14" s="1232"/>
      <c r="K14" s="1232"/>
      <c r="L14" s="1257"/>
      <c r="M14" s="1239"/>
      <c r="N14" s="1239"/>
      <c r="P14" s="1234"/>
      <c r="Q14" s="1235"/>
      <c r="R14" s="1234"/>
      <c r="S14" s="1240"/>
      <c r="T14" s="1241" t="s">
        <v>406</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7" customFormat="1" ht="0.75" hidden="1" customHeight="1">
      <c r="A15" s="1232"/>
      <c r="B15" s="1232"/>
      <c r="C15" s="1232"/>
      <c r="D15" s="1232"/>
      <c r="E15" s="2642"/>
      <c r="F15" s="1232"/>
      <c r="G15" s="1232"/>
      <c r="H15" s="1232"/>
      <c r="I15" s="1232"/>
      <c r="J15" s="1232"/>
      <c r="K15" s="1232"/>
      <c r="L15" s="1257"/>
      <c r="M15" s="1239"/>
      <c r="N15" s="1239"/>
      <c r="P15" s="1234"/>
      <c r="Q15" s="1235"/>
      <c r="R15" s="1234"/>
      <c r="S15" s="1240"/>
      <c r="T15" s="1243" t="s">
        <v>407</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640"/>
      <c r="AI17" s="2639" t="s">
        <v>65</v>
      </c>
      <c r="AJ17" s="2640"/>
      <c r="AK17" s="2639" t="s">
        <v>65</v>
      </c>
      <c r="AS17" s="1073">
        <v>0</v>
      </c>
    </row>
    <row r="18" spans="1:45" ht="14.25" hidden="1" customHeight="1">
      <c r="AD18" s="1278"/>
      <c r="AE18" s="1278"/>
      <c r="AF18" s="1278"/>
      <c r="AG18" s="265" t="str">
        <f>AH17&amp;"-"&amp;AJ17</f>
        <v>-</v>
      </c>
      <c r="AH18" s="2639"/>
      <c r="AI18" s="2639"/>
      <c r="AJ18" s="2639"/>
      <c r="AK18" s="2639"/>
      <c r="AS18" s="1073">
        <v>0</v>
      </c>
    </row>
    <row r="19" spans="1:45" ht="14.25" hidden="1" customHeight="1">
      <c r="AK19" s="264"/>
      <c r="AS19" s="1073">
        <v>0</v>
      </c>
    </row>
    <row r="20" spans="1:45" s="2406" customFormat="1" ht="22.5" hidden="1" customHeight="1">
      <c r="L20" s="1247"/>
      <c r="M20" s="1280"/>
      <c r="N20" s="1280"/>
      <c r="O20" s="1285" t="s">
        <v>408</v>
      </c>
      <c r="P20" s="1280"/>
      <c r="Q20" s="1289"/>
      <c r="R20" s="1289"/>
      <c r="S20" s="665"/>
      <c r="Z20" s="1285"/>
      <c r="AB20" s="1285"/>
      <c r="AC20" s="1284"/>
      <c r="AH20" s="1285"/>
      <c r="AJ20" s="1285"/>
      <c r="AK20" s="1284"/>
      <c r="AN20" s="447"/>
      <c r="AO20" s="447"/>
      <c r="AP20" s="447"/>
      <c r="AQ20" s="447"/>
      <c r="AR20" s="447"/>
      <c r="AS20" s="1078">
        <v>0</v>
      </c>
    </row>
    <row r="21" spans="1:45" s="240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6" customFormat="1" ht="33.75" hidden="1" customHeight="1">
      <c r="L22" s="1247"/>
      <c r="M22" s="1280"/>
      <c r="N22" s="1280"/>
      <c r="O22" s="1282" t="s">
        <v>409</v>
      </c>
      <c r="P22" s="1280"/>
      <c r="Q22" s="1289"/>
      <c r="R22" s="1289"/>
      <c r="S22" s="665"/>
      <c r="T22" s="1078" t="s">
        <v>410</v>
      </c>
      <c r="AA22" s="123" t="s">
        <v>411</v>
      </c>
      <c r="AC22" s="123" t="s">
        <v>412</v>
      </c>
      <c r="AD22" s="1078" t="s">
        <v>410</v>
      </c>
      <c r="AI22" s="123" t="s">
        <v>413</v>
      </c>
      <c r="AK22" s="123" t="s">
        <v>412</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29.25" customHeight="1">
      <c r="Q26" s="312"/>
      <c r="R26" s="312"/>
      <c r="S26" s="26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23"/>
      <c r="U26" s="2623"/>
      <c r="V26" s="2623"/>
      <c r="W26" s="2623"/>
      <c r="X26" s="2623"/>
      <c r="Y26" s="2623"/>
      <c r="Z26" s="2623"/>
      <c r="AA26" s="2623"/>
      <c r="AB26" s="2623"/>
      <c r="AC26" s="2623"/>
      <c r="AD26" s="2623"/>
      <c r="AE26" s="2623"/>
      <c r="AF26" s="2623"/>
      <c r="AG26" s="2623"/>
      <c r="AH26" s="2623"/>
      <c r="AI26" s="2623"/>
      <c r="AJ26" s="2623"/>
      <c r="AK26" s="1161"/>
      <c r="AS26" s="1073">
        <v>28</v>
      </c>
    </row>
    <row r="27" spans="1:45" ht="14.65" customHeight="1">
      <c r="Q27" s="312"/>
      <c r="R27" s="312"/>
      <c r="S27" s="2595" t="str">
        <f>IF(org=0,"Не определено",org)</f>
        <v>ПАО "ТГК-1" (филиал "Кольский")</v>
      </c>
      <c r="T27" s="2595"/>
      <c r="U27" s="2595"/>
      <c r="V27" s="2595"/>
      <c r="W27" s="2595"/>
      <c r="X27" s="2595"/>
      <c r="Y27" s="2595"/>
      <c r="Z27" s="2595"/>
      <c r="AA27" s="2595"/>
      <c r="AB27" s="2595"/>
      <c r="AC27" s="2595"/>
      <c r="AD27" s="2595"/>
      <c r="AE27" s="2595"/>
      <c r="AF27" s="2595"/>
      <c r="AG27" s="2595"/>
      <c r="AH27" s="2595"/>
      <c r="AI27" s="2595"/>
      <c r="AJ27" s="2595"/>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6" customFormat="1" ht="25.5" hidden="1" customHeight="1">
      <c r="A29" s="1286"/>
      <c r="B29" s="1286"/>
      <c r="C29" s="1286"/>
      <c r="D29" s="1286"/>
      <c r="E29" s="1286"/>
      <c r="F29" s="1286"/>
      <c r="G29" s="1286"/>
      <c r="H29" s="1286"/>
      <c r="I29" s="1286"/>
      <c r="J29" s="1286"/>
      <c r="K29" s="1286"/>
      <c r="L29" s="1287"/>
      <c r="M29" s="1286"/>
      <c r="N29" s="1286"/>
      <c r="O29" s="1286"/>
      <c r="S29" s="2633" t="s">
        <v>41</v>
      </c>
      <c r="T29" s="2633"/>
      <c r="U29" s="1290"/>
      <c r="V29" s="2635" t="str">
        <f>IF(TITLE_NAME_OR_PR_CHANGE="",IF(TITLE_NAME_OR_PR="","",TITLE_NAME_OR_PR),TITLE_NAME_OR_PR_CHANGE)</f>
        <v/>
      </c>
      <c r="W29" s="2635"/>
      <c r="X29" s="2635"/>
      <c r="Y29" s="2635"/>
      <c r="Z29" s="2635"/>
      <c r="AA29" s="2635"/>
      <c r="AB29" s="2635"/>
      <c r="AC29" s="263"/>
      <c r="AD29" s="2635" t="str">
        <f>IF(TITLE_NAME_OR_PR_CHANGE="",IF(TITLE_NAME_OR_PR="","",TITLE_NAME_OR_PR),TITLE_NAME_OR_PR_CHANGE)</f>
        <v/>
      </c>
      <c r="AE29" s="2635"/>
      <c r="AF29" s="2635"/>
      <c r="AG29" s="2635"/>
      <c r="AH29" s="2635"/>
      <c r="AI29" s="2635"/>
      <c r="AJ29" s="2635"/>
      <c r="AK29" s="263"/>
      <c r="AL29" s="263"/>
      <c r="AM29" s="217"/>
      <c r="AN29" s="304"/>
      <c r="AO29" s="304"/>
      <c r="AP29" s="304"/>
      <c r="AQ29" s="304"/>
      <c r="AR29" s="304"/>
      <c r="AS29" s="354">
        <v>0</v>
      </c>
    </row>
    <row r="30" spans="1:45" s="2416" customFormat="1" ht="18.75" hidden="1" customHeight="1">
      <c r="A30" s="1286"/>
      <c r="B30" s="1286"/>
      <c r="C30" s="1286"/>
      <c r="D30" s="1286"/>
      <c r="E30" s="1286"/>
      <c r="F30" s="1286"/>
      <c r="G30" s="1286"/>
      <c r="H30" s="1286"/>
      <c r="I30" s="1286"/>
      <c r="J30" s="1286"/>
      <c r="K30" s="1286"/>
      <c r="L30" s="1287"/>
      <c r="M30" s="1286"/>
      <c r="N30" s="1286"/>
      <c r="O30" s="1286"/>
      <c r="S30" s="2633" t="s">
        <v>414</v>
      </c>
      <c r="T30" s="2633"/>
      <c r="U30" s="1290"/>
      <c r="V30" s="2634" t="str">
        <f>IF(TITLE_DATE_PR_CHANGE="",IF(TITLE_DATE_PR="","",TITLE_DATE_PR),TITLE_DATE_PR_CHANGE)</f>
        <v/>
      </c>
      <c r="W30" s="2634"/>
      <c r="X30" s="2634"/>
      <c r="Y30" s="2634"/>
      <c r="Z30" s="2634"/>
      <c r="AA30" s="2634"/>
      <c r="AB30" s="2634"/>
      <c r="AC30" s="263"/>
      <c r="AD30" s="2634" t="str">
        <f>IF(TITLE_DATE_PR_CHANGE="",IF(TITLE_DATE_PR="","",TITLE_DATE_PR),TITLE_DATE_PR_CHANGE)</f>
        <v/>
      </c>
      <c r="AE30" s="2634"/>
      <c r="AF30" s="2634"/>
      <c r="AG30" s="2634"/>
      <c r="AH30" s="2634"/>
      <c r="AI30" s="2634"/>
      <c r="AJ30" s="2634"/>
      <c r="AK30" s="263"/>
      <c r="AL30" s="263"/>
      <c r="AM30" s="217"/>
      <c r="AN30" s="304"/>
      <c r="AO30" s="304"/>
      <c r="AP30" s="304"/>
      <c r="AQ30" s="304"/>
      <c r="AR30" s="304"/>
      <c r="AS30" s="354">
        <v>0</v>
      </c>
    </row>
    <row r="31" spans="1:45" s="2416" customFormat="1" ht="18.75" hidden="1" customHeight="1">
      <c r="A31" s="1286"/>
      <c r="B31" s="1286"/>
      <c r="C31" s="1286"/>
      <c r="D31" s="1286"/>
      <c r="E31" s="1286"/>
      <c r="F31" s="1286"/>
      <c r="G31" s="1286"/>
      <c r="H31" s="1286"/>
      <c r="I31" s="1286"/>
      <c r="J31" s="1286"/>
      <c r="K31" s="1286"/>
      <c r="L31" s="1287"/>
      <c r="M31" s="1286"/>
      <c r="N31" s="1286"/>
      <c r="O31" s="1286"/>
      <c r="S31" s="2633" t="s">
        <v>415</v>
      </c>
      <c r="T31" s="2633"/>
      <c r="U31" s="1290"/>
      <c r="V31" s="2635" t="str">
        <f>IF(TITLE_NUMBER_PR_CHANGE="",IF(TITLE_NUMBER_PR="","",TITLE_NUMBER_PR),TITLE_NUMBER_PR_CHANGE)</f>
        <v/>
      </c>
      <c r="W31" s="2635"/>
      <c r="X31" s="2635"/>
      <c r="Y31" s="2635"/>
      <c r="Z31" s="2635"/>
      <c r="AA31" s="2635"/>
      <c r="AB31" s="2635"/>
      <c r="AC31" s="263"/>
      <c r="AD31" s="2635" t="str">
        <f>IF(TITLE_NUMBER_PR_CHANGE="",IF(TITLE_NUMBER_PR="","",TITLE_NUMBER_PR),TITLE_NUMBER_PR_CHANGE)</f>
        <v/>
      </c>
      <c r="AE31" s="2635"/>
      <c r="AF31" s="2635"/>
      <c r="AG31" s="2635"/>
      <c r="AH31" s="2635"/>
      <c r="AI31" s="2635"/>
      <c r="AJ31" s="2635"/>
      <c r="AK31" s="263"/>
      <c r="AL31" s="263"/>
      <c r="AM31" s="217"/>
      <c r="AN31" s="304"/>
      <c r="AO31" s="304"/>
      <c r="AP31" s="304"/>
      <c r="AQ31" s="304"/>
      <c r="AR31" s="304"/>
      <c r="AS31" s="354">
        <v>0</v>
      </c>
    </row>
    <row r="32" spans="1:45" s="2416" customFormat="1" ht="18.75" hidden="1" customHeight="1">
      <c r="A32" s="1286"/>
      <c r="B32" s="1286"/>
      <c r="C32" s="1286"/>
      <c r="D32" s="1286"/>
      <c r="E32" s="1286"/>
      <c r="F32" s="1286"/>
      <c r="G32" s="1286"/>
      <c r="H32" s="1286"/>
      <c r="I32" s="1286"/>
      <c r="J32" s="1286"/>
      <c r="K32" s="1286"/>
      <c r="L32" s="1287"/>
      <c r="M32" s="1286"/>
      <c r="N32" s="1286"/>
      <c r="O32" s="1286"/>
      <c r="S32" s="2633" t="s">
        <v>42</v>
      </c>
      <c r="T32" s="2633"/>
      <c r="U32" s="1290"/>
      <c r="V32" s="2635" t="str">
        <f>IF(TITLE_IST_PUB_CHANGE="",IF(TITLE_IST_PUB="","",TITLE_IST_PUB),TITLE_IST_PUB_CHANGE)</f>
        <v/>
      </c>
      <c r="W32" s="2635"/>
      <c r="X32" s="2635"/>
      <c r="Y32" s="2635"/>
      <c r="Z32" s="2635"/>
      <c r="AA32" s="2635"/>
      <c r="AB32" s="2635"/>
      <c r="AC32" s="263"/>
      <c r="AD32" s="2635" t="str">
        <f>IF(TITLE_IST_PUB_CHANGE="",IF(TITLE_IST_PUB="","",TITLE_IST_PUB),TITLE_IST_PUB_CHANGE)</f>
        <v/>
      </c>
      <c r="AE32" s="2635"/>
      <c r="AF32" s="2635"/>
      <c r="AG32" s="2635"/>
      <c r="AH32" s="2635"/>
      <c r="AI32" s="2635"/>
      <c r="AJ32" s="2635"/>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6" customFormat="1" ht="18.75" hidden="1" customHeight="1">
      <c r="A34" s="1286"/>
      <c r="B34" s="1286"/>
      <c r="C34" s="1286"/>
      <c r="D34" s="1286"/>
      <c r="E34" s="1286"/>
      <c r="F34" s="1286"/>
      <c r="G34" s="1286"/>
      <c r="H34" s="1286"/>
      <c r="I34" s="1286"/>
      <c r="J34" s="1286"/>
      <c r="K34" s="1286"/>
      <c r="L34" s="1287"/>
      <c r="M34" s="1286"/>
      <c r="N34" s="1286"/>
      <c r="O34" s="1286"/>
      <c r="S34" s="2633" t="s">
        <v>416</v>
      </c>
      <c r="T34" s="2633"/>
      <c r="U34" s="1290"/>
      <c r="V34" s="2634" t="str">
        <f>IF(TITLE_DATE_PR_CHANGE="",IF(TITLE_DATE_PR="","",TITLE_DATE_PR),TITLE_DATE_PR_CHANGE)</f>
        <v/>
      </c>
      <c r="W34" s="2634"/>
      <c r="X34" s="2634"/>
      <c r="Y34" s="2634"/>
      <c r="Z34" s="2634"/>
      <c r="AA34" s="2634"/>
      <c r="AB34" s="2634"/>
      <c r="AC34" s="263"/>
      <c r="AD34" s="2634" t="str">
        <f>IF(TITLE_DATE_PR_CHANGE="",IF(TITLE_DATE_PR="","",TITLE_DATE_PR),TITLE_DATE_PR_CHANGE)</f>
        <v/>
      </c>
      <c r="AE34" s="2634"/>
      <c r="AF34" s="2634"/>
      <c r="AG34" s="2634"/>
      <c r="AH34" s="2634"/>
      <c r="AI34" s="2634"/>
      <c r="AJ34" s="2634"/>
      <c r="AK34" s="263"/>
      <c r="AL34" s="263"/>
      <c r="AM34" s="217"/>
      <c r="AN34" s="304"/>
      <c r="AO34" s="304"/>
      <c r="AP34" s="304"/>
      <c r="AQ34" s="304"/>
      <c r="AR34" s="304"/>
      <c r="AS34" s="354">
        <v>0</v>
      </c>
    </row>
    <row r="35" spans="1:45" s="2416" customFormat="1" ht="18.75" hidden="1" customHeight="1">
      <c r="A35" s="1286"/>
      <c r="B35" s="1286"/>
      <c r="C35" s="1286"/>
      <c r="D35" s="1286"/>
      <c r="E35" s="1286"/>
      <c r="F35" s="1286"/>
      <c r="G35" s="1286"/>
      <c r="H35" s="1286"/>
      <c r="I35" s="1286"/>
      <c r="J35" s="1286"/>
      <c r="K35" s="1286"/>
      <c r="L35" s="1287"/>
      <c r="M35" s="1286"/>
      <c r="N35" s="1286"/>
      <c r="O35" s="1286"/>
      <c r="S35" s="2633" t="s">
        <v>417</v>
      </c>
      <c r="T35" s="2633"/>
      <c r="U35" s="1290"/>
      <c r="V35" s="2635" t="str">
        <f>IF(TITLE_NUMBER_PR_CHANGE="",IF(TITLE_NUMBER_PR="","",TITLE_NUMBER_PR),TITLE_NUMBER_PR_CHANGE)</f>
        <v/>
      </c>
      <c r="W35" s="2635"/>
      <c r="X35" s="2635"/>
      <c r="Y35" s="2635"/>
      <c r="Z35" s="2635"/>
      <c r="AA35" s="2635"/>
      <c r="AB35" s="2635"/>
      <c r="AC35" s="263"/>
      <c r="AD35" s="2635" t="str">
        <f>IF(TITLE_NUMBER_PR_CHANGE="",IF(TITLE_NUMBER_PR="","",TITLE_NUMBER_PR),TITLE_NUMBER_PR_CHANGE)</f>
        <v/>
      </c>
      <c r="AE35" s="2635"/>
      <c r="AF35" s="2635"/>
      <c r="AG35" s="2635"/>
      <c r="AH35" s="2635"/>
      <c r="AI35" s="2635"/>
      <c r="AJ35" s="2635"/>
      <c r="AK35" s="263"/>
      <c r="AL35" s="263"/>
      <c r="AM35" s="217"/>
      <c r="AN35" s="304"/>
      <c r="AO35" s="304"/>
      <c r="AP35" s="304"/>
      <c r="AQ35" s="304"/>
      <c r="AR35" s="304"/>
      <c r="AS35" s="354">
        <v>0</v>
      </c>
    </row>
    <row r="36" spans="1:45" s="2416"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418</v>
      </c>
      <c r="AD36" s="263"/>
      <c r="AE36" s="263"/>
      <c r="AF36" s="263"/>
      <c r="AG36" s="263"/>
      <c r="AH36" s="263"/>
      <c r="AI36" s="263"/>
      <c r="AJ36" s="263"/>
      <c r="AK36" s="215" t="s">
        <v>418</v>
      </c>
      <c r="AN36" s="304"/>
      <c r="AO36" s="304"/>
      <c r="AP36" s="304"/>
      <c r="AQ36" s="304"/>
      <c r="AR36" s="304"/>
      <c r="AS36" s="354">
        <v>0</v>
      </c>
    </row>
    <row r="37" spans="1:45" ht="14.65" customHeight="1">
      <c r="Q37" s="312"/>
      <c r="R37" s="312"/>
      <c r="S37" s="1193"/>
      <c r="T37" s="299"/>
      <c r="U37" s="1162"/>
      <c r="V37" s="2654"/>
      <c r="W37" s="2654"/>
      <c r="X37" s="2654"/>
      <c r="Y37" s="2654"/>
      <c r="Z37" s="2654"/>
      <c r="AA37" s="2654"/>
      <c r="AB37" s="2654"/>
      <c r="AC37" s="2654"/>
      <c r="AD37" s="2654"/>
      <c r="AE37" s="2654"/>
      <c r="AF37" s="2654"/>
      <c r="AG37" s="2654"/>
      <c r="AH37" s="2654"/>
      <c r="AI37" s="2654"/>
      <c r="AJ37" s="2654"/>
      <c r="AK37" s="2654"/>
      <c r="AS37" s="1073">
        <v>14</v>
      </c>
    </row>
    <row r="38" spans="1:45" ht="14.65" customHeight="1">
      <c r="Q38" s="312"/>
      <c r="R38" s="312"/>
      <c r="S38" s="2514" t="s">
        <v>291</v>
      </c>
      <c r="T38" s="2514"/>
      <c r="U38" s="2514"/>
      <c r="V38" s="2514"/>
      <c r="W38" s="2514"/>
      <c r="X38" s="2514"/>
      <c r="Y38" s="2514"/>
      <c r="Z38" s="2514"/>
      <c r="AA38" s="2514"/>
      <c r="AB38" s="2514"/>
      <c r="AC38" s="2514"/>
      <c r="AD38" s="2514"/>
      <c r="AE38" s="2514"/>
      <c r="AF38" s="2514"/>
      <c r="AG38" s="2514"/>
      <c r="AH38" s="2514"/>
      <c r="AI38" s="2514"/>
      <c r="AJ38" s="2514"/>
      <c r="AK38" s="2514"/>
      <c r="AL38" s="2514"/>
      <c r="AM38" s="2514" t="s">
        <v>292</v>
      </c>
      <c r="AS38" s="1073">
        <v>14</v>
      </c>
    </row>
    <row r="39" spans="1:45" ht="14.65" customHeight="1">
      <c r="Q39" s="312"/>
      <c r="R39" s="312"/>
      <c r="S39" s="2655" t="s">
        <v>84</v>
      </c>
      <c r="T39" s="2603" t="s">
        <v>419</v>
      </c>
      <c r="U39" s="238"/>
      <c r="V39" s="2656" t="s">
        <v>420</v>
      </c>
      <c r="W39" s="2657"/>
      <c r="X39" s="2672"/>
      <c r="Y39" s="2672"/>
      <c r="Z39" s="2657"/>
      <c r="AA39" s="2657"/>
      <c r="AB39" s="2658"/>
      <c r="AC39" s="2659" t="s">
        <v>421</v>
      </c>
      <c r="AD39" s="2656" t="s">
        <v>420</v>
      </c>
      <c r="AE39" s="2657"/>
      <c r="AF39" s="2672"/>
      <c r="AG39" s="2672"/>
      <c r="AH39" s="2657"/>
      <c r="AI39" s="2657"/>
      <c r="AJ39" s="2658"/>
      <c r="AK39" s="2659" t="s">
        <v>422</v>
      </c>
      <c r="AL39" s="2662" t="s">
        <v>423</v>
      </c>
      <c r="AM39" s="2514"/>
      <c r="AS39" s="1073">
        <v>14</v>
      </c>
    </row>
    <row r="40" spans="1:45" ht="24" customHeight="1">
      <c r="Q40" s="312"/>
      <c r="R40" s="312"/>
      <c r="S40" s="2655"/>
      <c r="T40" s="2603"/>
      <c r="U40" s="954"/>
      <c r="V40" s="2670" t="s">
        <v>424</v>
      </c>
      <c r="W40" s="2574" t="s">
        <v>425</v>
      </c>
      <c r="X40" s="1294" t="s">
        <v>426</v>
      </c>
      <c r="Y40" s="1294"/>
      <c r="Z40" s="2501" t="s">
        <v>427</v>
      </c>
      <c r="AA40" s="2501"/>
      <c r="AB40" s="2495"/>
      <c r="AC40" s="2660"/>
      <c r="AD40" s="2670" t="s">
        <v>424</v>
      </c>
      <c r="AE40" s="2574" t="s">
        <v>425</v>
      </c>
      <c r="AF40" s="1294" t="s">
        <v>426</v>
      </c>
      <c r="AG40" s="1294"/>
      <c r="AH40" s="2501" t="s">
        <v>427</v>
      </c>
      <c r="AI40" s="2501"/>
      <c r="AJ40" s="2495"/>
      <c r="AK40" s="2660"/>
      <c r="AL40" s="2663"/>
      <c r="AM40" s="2514"/>
      <c r="AS40" s="1073">
        <v>23</v>
      </c>
    </row>
    <row r="41" spans="1:45" s="2418" customFormat="1" ht="24" customHeight="1">
      <c r="A41" s="1288"/>
      <c r="B41" s="1288" t="s">
        <v>128</v>
      </c>
      <c r="C41" s="1288" t="s">
        <v>129</v>
      </c>
      <c r="D41" s="1288" t="s">
        <v>130</v>
      </c>
      <c r="E41" s="1282" t="s">
        <v>428</v>
      </c>
      <c r="F41" s="1282" t="s">
        <v>429</v>
      </c>
      <c r="G41" s="1282" t="s">
        <v>430</v>
      </c>
      <c r="H41" s="1282" t="s">
        <v>431</v>
      </c>
      <c r="I41" s="1282" t="s">
        <v>432</v>
      </c>
      <c r="J41" s="1282" t="s">
        <v>433</v>
      </c>
      <c r="K41" s="1282" t="s">
        <v>434</v>
      </c>
      <c r="L41" s="1282" t="s">
        <v>409</v>
      </c>
      <c r="M41" s="1280"/>
      <c r="N41" s="1280"/>
      <c r="O41" s="1280"/>
      <c r="P41" s="1246"/>
      <c r="Q41" s="312"/>
      <c r="R41" s="312"/>
      <c r="S41" s="2655"/>
      <c r="T41" s="2603"/>
      <c r="U41" s="239"/>
      <c r="V41" s="2671"/>
      <c r="W41" s="2579"/>
      <c r="X41" s="1291" t="s">
        <v>435</v>
      </c>
      <c r="Y41" s="1291" t="s">
        <v>436</v>
      </c>
      <c r="Z41" s="1252" t="s">
        <v>437</v>
      </c>
      <c r="AA41" s="2608" t="s">
        <v>438</v>
      </c>
      <c r="AB41" s="2622"/>
      <c r="AC41" s="2661"/>
      <c r="AD41" s="2671"/>
      <c r="AE41" s="2579"/>
      <c r="AF41" s="1291" t="s">
        <v>435</v>
      </c>
      <c r="AG41" s="1291" t="s">
        <v>436</v>
      </c>
      <c r="AH41" s="1252" t="s">
        <v>437</v>
      </c>
      <c r="AI41" s="2608" t="s">
        <v>438</v>
      </c>
      <c r="AJ41" s="2622"/>
      <c r="AK41" s="2661"/>
      <c r="AL41" s="2664"/>
      <c r="AM41" s="2514"/>
      <c r="AN41" s="447"/>
      <c r="AO41" s="436"/>
      <c r="AP41" s="436"/>
      <c r="AQ41" s="436"/>
      <c r="AR41" s="436"/>
      <c r="AS41" s="518">
        <v>23</v>
      </c>
    </row>
    <row r="42" spans="1:45" s="243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102</v>
      </c>
      <c r="T42" s="1173" t="s">
        <v>103</v>
      </c>
      <c r="U42" s="1163" t="str">
        <f ca="1">OFFSET(U42,0,-1)</f>
        <v>2</v>
      </c>
      <c r="V42" s="1253">
        <f ca="1">OFFSET(V42,0,-1)+1</f>
        <v>3</v>
      </c>
      <c r="W42" s="1253"/>
      <c r="X42" s="1259">
        <f ca="1">OFFSET(X42,0,-1)+1</f>
        <v>1</v>
      </c>
      <c r="Y42" s="1259">
        <f ca="1">OFFSET(Y42,0,-1)+1</f>
        <v>2</v>
      </c>
      <c r="Z42" s="1253">
        <f ca="1">OFFSET(Z42,0,-1)+1</f>
        <v>3</v>
      </c>
      <c r="AA42" s="2653">
        <f ca="1">OFFSET(AA42,0,-1)+1</f>
        <v>4</v>
      </c>
      <c r="AB42" s="2653"/>
      <c r="AC42" s="1253">
        <f ca="1">OFFSET(AC42,0,-2)+1</f>
        <v>5</v>
      </c>
      <c r="AD42" s="1253">
        <f ca="1">OFFSET(AD42,0,-1)+1</f>
        <v>6</v>
      </c>
      <c r="AE42" s="1253"/>
      <c r="AF42" s="1259">
        <f ca="1">OFFSET(AF42,0,-1)+1</f>
        <v>1</v>
      </c>
      <c r="AG42" s="1259">
        <f ca="1">OFFSET(AG42,0,-1)+1</f>
        <v>2</v>
      </c>
      <c r="AH42" s="1253">
        <f ca="1">OFFSET(AH42,0,-1)+1</f>
        <v>3</v>
      </c>
      <c r="AI42" s="2653">
        <f ca="1">OFFSET(AI42,0,-1)+1</f>
        <v>4</v>
      </c>
      <c r="AJ42" s="2653"/>
      <c r="AK42" s="1253">
        <f ca="1">OFFSET(AK42,0,-2)+1</f>
        <v>5</v>
      </c>
      <c r="AL42" s="1163">
        <f ca="1">OFFSET(AL42,0,-1)</f>
        <v>5</v>
      </c>
      <c r="AM42" s="1253">
        <f ca="1">OFFSET(AM42,0,-1)+1</f>
        <v>6</v>
      </c>
      <c r="AN42" s="447"/>
      <c r="AO42" s="447"/>
      <c r="AP42" s="447"/>
      <c r="AQ42" s="447"/>
      <c r="AR42" s="447"/>
      <c r="AS42" s="432">
        <v>0</v>
      </c>
    </row>
    <row r="43" spans="1:45" ht="21.95" customHeight="1">
      <c r="A43" s="1281" t="s">
        <v>185</v>
      </c>
      <c r="B43" s="1281"/>
      <c r="C43" s="1281"/>
      <c r="D43" s="1281"/>
      <c r="E43" s="2642">
        <v>1</v>
      </c>
      <c r="F43" s="1281"/>
      <c r="G43" s="1281"/>
      <c r="H43" s="1281"/>
      <c r="I43" s="1281"/>
      <c r="J43" s="1281"/>
      <c r="K43" s="1281"/>
      <c r="L43" s="1282"/>
      <c r="M43" s="1283"/>
      <c r="N43" s="1283"/>
      <c r="O43" s="1283"/>
      <c r="P43" s="297"/>
      <c r="Q43" s="296"/>
      <c r="R43" s="291"/>
      <c r="S43" s="1254">
        <f>INDEX(PT_DIFFERENTIATION_NUM_NTAR,MATCH(A43,PT_DIFFERENTIATION_NTAR_ID,0))</f>
        <v>0</v>
      </c>
      <c r="T43" s="235" t="s">
        <v>116</v>
      </c>
      <c r="U43" s="237"/>
      <c r="V43" s="2636"/>
      <c r="W43" s="2637"/>
      <c r="X43" s="2637"/>
      <c r="Y43" s="2637"/>
      <c r="Z43" s="2637"/>
      <c r="AA43" s="2637"/>
      <c r="AB43" s="2637"/>
      <c r="AC43" s="2638"/>
      <c r="AD43" s="2636" t="str">
        <f>INDEX(PT_DIFFERENTIATION_NTAR,MATCH(A43,PT_DIFFERENTIATION_NTAR_ID,0))</f>
        <v/>
      </c>
      <c r="AE43" s="2637"/>
      <c r="AF43" s="2637"/>
      <c r="AG43" s="2637"/>
      <c r="AH43" s="2637"/>
      <c r="AI43" s="2637"/>
      <c r="AJ43" s="2637"/>
      <c r="AK43" s="2637"/>
      <c r="AL43" s="263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185</v>
      </c>
      <c r="B44" s="1281" t="s">
        <v>186</v>
      </c>
      <c r="C44" s="1281"/>
      <c r="D44" s="1281"/>
      <c r="E44" s="2643"/>
      <c r="F44" s="2642">
        <v>1</v>
      </c>
      <c r="G44" s="1281"/>
      <c r="H44" s="1281"/>
      <c r="I44" s="1281"/>
      <c r="J44" s="1281"/>
      <c r="K44" s="1281"/>
      <c r="L44" s="1282"/>
      <c r="M44" s="1283"/>
      <c r="N44" s="1283"/>
      <c r="O44" s="1283"/>
      <c r="P44" s="1250"/>
      <c r="Q44" s="288"/>
      <c r="R44" s="289"/>
      <c r="S44" s="1254" t="str">
        <f>INDEX(PT_DIFFERENTIATION_NUM_TER,MATCH(B44,PT_DIFFERENTIATION_TER_ID,0))</f>
        <v>.</v>
      </c>
      <c r="T44" s="245" t="s">
        <v>388</v>
      </c>
      <c r="U44" s="237"/>
      <c r="V44" s="2636"/>
      <c r="W44" s="2637"/>
      <c r="X44" s="2637"/>
      <c r="Y44" s="2637"/>
      <c r="Z44" s="2637"/>
      <c r="AA44" s="2637"/>
      <c r="AB44" s="2637"/>
      <c r="AC44" s="2638"/>
      <c r="AD44" s="2636" t="str">
        <f>INDEX(PT_DIFFERENTIATION_TER,MATCH(B44,PT_DIFFERENTIATION_TER_ID,0))</f>
        <v/>
      </c>
      <c r="AE44" s="2637"/>
      <c r="AF44" s="2637"/>
      <c r="AG44" s="2637"/>
      <c r="AH44" s="2637"/>
      <c r="AI44" s="2637"/>
      <c r="AJ44" s="2637"/>
      <c r="AK44" s="2637"/>
      <c r="AL44" s="2638"/>
      <c r="AM44" s="1176" t="s">
        <v>389</v>
      </c>
      <c r="AO44" s="436"/>
      <c r="AP44" s="436" t="str">
        <f t="shared" si="1"/>
        <v>Территория действия тарифа</v>
      </c>
      <c r="AQ44" s="436"/>
      <c r="AR44" s="436"/>
      <c r="AS44" s="1073">
        <v>21</v>
      </c>
    </row>
    <row r="45" spans="1:45" ht="24" customHeight="1">
      <c r="A45" s="1281" t="s">
        <v>185</v>
      </c>
      <c r="B45" s="1281" t="s">
        <v>186</v>
      </c>
      <c r="C45" s="1281" t="s">
        <v>187</v>
      </c>
      <c r="D45" s="1281"/>
      <c r="E45" s="2643"/>
      <c r="F45" s="2643"/>
      <c r="G45" s="2642">
        <v>1</v>
      </c>
      <c r="H45" s="1281"/>
      <c r="I45" s="1281"/>
      <c r="J45" s="1281"/>
      <c r="K45" s="1281"/>
      <c r="L45" s="1282"/>
      <c r="M45" s="1283"/>
      <c r="N45" s="1283"/>
      <c r="O45" s="1283"/>
      <c r="P45" s="290"/>
      <c r="Q45" s="288"/>
      <c r="R45" s="289"/>
      <c r="S45" s="1254" t="str">
        <f>INDEX(PT_DIFFERENTIATION_NUM_CS,MATCH(C45,PT_DIFFERENTIATION_CS_ID,0))</f>
        <v>..</v>
      </c>
      <c r="T45" s="246" t="s">
        <v>390</v>
      </c>
      <c r="U45" s="237"/>
      <c r="V45" s="2636"/>
      <c r="W45" s="2637"/>
      <c r="X45" s="2637"/>
      <c r="Y45" s="2637"/>
      <c r="Z45" s="2637"/>
      <c r="AA45" s="2637"/>
      <c r="AB45" s="2637"/>
      <c r="AC45" s="2638"/>
      <c r="AD45" s="2636" t="str">
        <f>INDEX(PT_DIFFERENTIATION_CS,MATCH(C45,PT_DIFFERENTIATION_CS_ID,0))</f>
        <v/>
      </c>
      <c r="AE45" s="2637"/>
      <c r="AF45" s="2637"/>
      <c r="AG45" s="2637"/>
      <c r="AH45" s="2637"/>
      <c r="AI45" s="2637"/>
      <c r="AJ45" s="2637"/>
      <c r="AK45" s="2637"/>
      <c r="AL45" s="2638"/>
      <c r="AM45" s="1176" t="s">
        <v>391</v>
      </c>
      <c r="AO45" s="436"/>
      <c r="AP45" s="436" t="str">
        <f t="shared" si="1"/>
        <v xml:space="preserve">Наименование системы теплоснабжения </v>
      </c>
      <c r="AQ45" s="436"/>
      <c r="AR45" s="436"/>
      <c r="AS45" s="1073">
        <v>23</v>
      </c>
    </row>
    <row r="46" spans="1:45" ht="21.95" customHeight="1">
      <c r="A46" s="1281" t="s">
        <v>185</v>
      </c>
      <c r="B46" s="1281" t="s">
        <v>186</v>
      </c>
      <c r="C46" s="1281" t="s">
        <v>187</v>
      </c>
      <c r="D46" s="1281" t="s">
        <v>188</v>
      </c>
      <c r="E46" s="2643"/>
      <c r="F46" s="2643"/>
      <c r="G46" s="2643"/>
      <c r="H46" s="2642">
        <v>1</v>
      </c>
      <c r="I46" s="1281"/>
      <c r="J46" s="1281"/>
      <c r="K46" s="1281"/>
      <c r="L46" s="1282"/>
      <c r="M46" s="1283"/>
      <c r="N46" s="1283"/>
      <c r="O46" s="1283"/>
      <c r="P46" s="290"/>
      <c r="Q46" s="288"/>
      <c r="R46" s="289"/>
      <c r="S46" s="1254" t="str">
        <f>INDEX(PT_DIFFERENTIATION_NUM_IST_TE,MATCH(D46,PT_DIFFERENTIATION_IST_TE_ID,0))</f>
        <v>...</v>
      </c>
      <c r="T46" s="247" t="s">
        <v>392</v>
      </c>
      <c r="U46" s="237"/>
      <c r="V46" s="2636"/>
      <c r="W46" s="2637"/>
      <c r="X46" s="2637"/>
      <c r="Y46" s="2637"/>
      <c r="Z46" s="2637"/>
      <c r="AA46" s="2637"/>
      <c r="AB46" s="2637"/>
      <c r="AC46" s="2638"/>
      <c r="AD46" s="2636" t="str">
        <f>INDEX(PT_DIFFERENTIATION_IST_TE,MATCH(D46,PT_DIFFERENTIATION_IST_TE_ID,0))</f>
        <v/>
      </c>
      <c r="AE46" s="2637"/>
      <c r="AF46" s="2637"/>
      <c r="AG46" s="2637"/>
      <c r="AH46" s="2637"/>
      <c r="AI46" s="2637"/>
      <c r="AJ46" s="2637"/>
      <c r="AK46" s="2637"/>
      <c r="AL46" s="2638"/>
      <c r="AM46" s="1176" t="s">
        <v>393</v>
      </c>
      <c r="AO46" s="436"/>
      <c r="AP46" s="436" t="str">
        <f t="shared" si="1"/>
        <v xml:space="preserve">Источник тепловой энергии  </v>
      </c>
      <c r="AQ46" s="436"/>
      <c r="AR46" s="436"/>
      <c r="AS46" s="1073">
        <v>21</v>
      </c>
    </row>
    <row r="47" spans="1:45" ht="49.5" customHeight="1">
      <c r="A47" s="1281" t="s">
        <v>185</v>
      </c>
      <c r="B47" s="1281" t="s">
        <v>186</v>
      </c>
      <c r="C47" s="1281" t="s">
        <v>187</v>
      </c>
      <c r="D47" s="1281" t="s">
        <v>188</v>
      </c>
      <c r="E47" s="2643"/>
      <c r="F47" s="2643"/>
      <c r="G47" s="2643"/>
      <c r="H47" s="2643"/>
      <c r="I47" s="2644" t="str">
        <f>S46&amp;".1"</f>
        <v>....1</v>
      </c>
      <c r="J47" s="1281"/>
      <c r="K47" s="1281"/>
      <c r="L47" s="1282" t="s">
        <v>394</v>
      </c>
      <c r="P47" s="2646">
        <v>1</v>
      </c>
      <c r="Q47" s="1249"/>
      <c r="R47" s="292"/>
      <c r="S47" s="1254" t="str">
        <f>$I47</f>
        <v>....1</v>
      </c>
      <c r="T47" s="222" t="s">
        <v>395</v>
      </c>
      <c r="U47" s="237"/>
      <c r="V47" s="2630"/>
      <c r="W47" s="2631"/>
      <c r="X47" s="2631"/>
      <c r="Y47" s="2631"/>
      <c r="Z47" s="2631"/>
      <c r="AA47" s="2631"/>
      <c r="AB47" s="2631"/>
      <c r="AC47" s="2632"/>
      <c r="AD47" s="2630"/>
      <c r="AE47" s="2631"/>
      <c r="AF47" s="2631"/>
      <c r="AG47" s="2631"/>
      <c r="AH47" s="2631"/>
      <c r="AI47" s="2631"/>
      <c r="AJ47" s="2631"/>
      <c r="AK47" s="2631"/>
      <c r="AL47" s="2632"/>
      <c r="AM47" s="1176" t="s">
        <v>396</v>
      </c>
      <c r="AO47" s="436"/>
      <c r="AP47" s="436" t="str">
        <f t="shared" si="1"/>
        <v>Схема подключения теплопотребляющей установки к коллектору источника тепловой энергии</v>
      </c>
      <c r="AQ47" s="436"/>
      <c r="AR47" s="436"/>
      <c r="AS47" s="1073">
        <v>47</v>
      </c>
    </row>
    <row r="48" spans="1:45" ht="21.95" customHeight="1">
      <c r="A48" s="1281" t="s">
        <v>185</v>
      </c>
      <c r="B48" s="1281" t="s">
        <v>186</v>
      </c>
      <c r="C48" s="1281" t="s">
        <v>187</v>
      </c>
      <c r="D48" s="1281" t="s">
        <v>188</v>
      </c>
      <c r="E48" s="2643"/>
      <c r="F48" s="2643"/>
      <c r="G48" s="2643"/>
      <c r="H48" s="2643"/>
      <c r="I48" s="2645"/>
      <c r="J48" s="2644" t="str">
        <f>I47&amp;".1"</f>
        <v>....1.1</v>
      </c>
      <c r="K48" s="1281"/>
      <c r="L48" s="1282" t="s">
        <v>397</v>
      </c>
      <c r="P48" s="2646"/>
      <c r="Q48" s="2646">
        <v>1</v>
      </c>
      <c r="R48" s="293"/>
      <c r="S48" s="1254" t="str">
        <f>$J48</f>
        <v>....1.1</v>
      </c>
      <c r="T48" s="223" t="s">
        <v>398</v>
      </c>
      <c r="U48" s="237"/>
      <c r="V48" s="2630"/>
      <c r="W48" s="2631"/>
      <c r="X48" s="2631"/>
      <c r="Y48" s="2631"/>
      <c r="Z48" s="2631"/>
      <c r="AA48" s="2631"/>
      <c r="AB48" s="2631"/>
      <c r="AC48" s="2632"/>
      <c r="AD48" s="2630"/>
      <c r="AE48" s="2631"/>
      <c r="AF48" s="2631"/>
      <c r="AG48" s="2631"/>
      <c r="AH48" s="2631"/>
      <c r="AI48" s="2631"/>
      <c r="AJ48" s="2631"/>
      <c r="AK48" s="2631"/>
      <c r="AL48" s="2632"/>
      <c r="AM48" s="1176" t="s">
        <v>399</v>
      </c>
      <c r="AO48" s="436"/>
      <c r="AP48" s="436" t="str">
        <f t="shared" si="1"/>
        <v>Группа потребителей</v>
      </c>
      <c r="AQ48" s="436"/>
      <c r="AR48" s="436"/>
      <c r="AS48" s="1073">
        <v>21</v>
      </c>
    </row>
    <row r="49" spans="1:45" ht="21.95" customHeight="1">
      <c r="A49" s="1281" t="s">
        <v>185</v>
      </c>
      <c r="B49" s="1281" t="s">
        <v>186</v>
      </c>
      <c r="C49" s="1281" t="s">
        <v>187</v>
      </c>
      <c r="D49" s="1281" t="s">
        <v>188</v>
      </c>
      <c r="E49" s="2643"/>
      <c r="F49" s="2643"/>
      <c r="G49" s="2643"/>
      <c r="H49" s="2643"/>
      <c r="I49" s="2645"/>
      <c r="J49" s="2645"/>
      <c r="K49" s="2644" t="str">
        <f>J48&amp;".1"</f>
        <v>....1.1.1</v>
      </c>
      <c r="L49" s="1282" t="s">
        <v>400</v>
      </c>
      <c r="P49" s="2646"/>
      <c r="Q49" s="2646"/>
      <c r="R49" s="293">
        <v>1</v>
      </c>
      <c r="S49" s="1254" t="str">
        <f>$K49</f>
        <v>....1.1.1</v>
      </c>
      <c r="T49" s="1265"/>
      <c r="U49" s="237"/>
      <c r="V49" s="262"/>
      <c r="W49" s="687"/>
      <c r="X49" s="262"/>
      <c r="Y49" s="320"/>
      <c r="Z49" s="2647"/>
      <c r="AA49" s="2524" t="s">
        <v>65</v>
      </c>
      <c r="AB49" s="2647"/>
      <c r="AC49" s="2524" t="s">
        <v>65</v>
      </c>
      <c r="AD49" s="262"/>
      <c r="AE49" s="687"/>
      <c r="AF49" s="262"/>
      <c r="AG49" s="320"/>
      <c r="AH49" s="2647"/>
      <c r="AI49" s="2524" t="s">
        <v>65</v>
      </c>
      <c r="AJ49" s="2649"/>
      <c r="AK49" s="2524" t="s">
        <v>65</v>
      </c>
      <c r="AL49" s="1266"/>
      <c r="AM49" s="2665" t="s">
        <v>401</v>
      </c>
      <c r="AN49" s="447" t="e">
        <f ca="1">STRCHECKDATE(V50:AL50)</f>
        <v>#NAME?</v>
      </c>
      <c r="AO49" s="436"/>
      <c r="AP49" s="436" t="str">
        <f t="shared" si="1"/>
        <v/>
      </c>
      <c r="AQ49" s="436"/>
      <c r="AR49" s="436"/>
      <c r="AS49" s="1073">
        <v>21</v>
      </c>
    </row>
    <row r="50" spans="1:45" ht="1.1499999999999999" customHeight="1">
      <c r="A50" s="1281" t="s">
        <v>185</v>
      </c>
      <c r="B50" s="1281" t="s">
        <v>186</v>
      </c>
      <c r="C50" s="1281" t="s">
        <v>187</v>
      </c>
      <c r="D50" s="1281" t="s">
        <v>188</v>
      </c>
      <c r="E50" s="2643"/>
      <c r="F50" s="2643"/>
      <c r="G50" s="2643"/>
      <c r="H50" s="2643"/>
      <c r="I50" s="2645"/>
      <c r="J50" s="2645"/>
      <c r="K50" s="2644"/>
      <c r="L50" s="1282"/>
      <c r="P50" s="2646"/>
      <c r="Q50" s="2646"/>
      <c r="R50" s="293"/>
      <c r="S50" s="1260"/>
      <c r="T50" s="237"/>
      <c r="U50" s="237"/>
      <c r="V50" s="262"/>
      <c r="W50" s="262"/>
      <c r="X50" s="262"/>
      <c r="Y50" s="265" t="str">
        <f>Z49&amp;"-"&amp;AB49</f>
        <v>-</v>
      </c>
      <c r="Z50" s="2648"/>
      <c r="AA50" s="2524"/>
      <c r="AB50" s="2648"/>
      <c r="AC50" s="2524"/>
      <c r="AD50" s="262"/>
      <c r="AE50" s="262"/>
      <c r="AF50" s="262"/>
      <c r="AG50" s="265" t="str">
        <f>AH49&amp;"-"&amp;AJ49</f>
        <v>-</v>
      </c>
      <c r="AH50" s="2648"/>
      <c r="AI50" s="2524"/>
      <c r="AJ50" s="2650"/>
      <c r="AK50" s="2524"/>
      <c r="AL50" s="1267"/>
      <c r="AM50" s="2666"/>
      <c r="AO50" s="436"/>
      <c r="AP50" s="436" t="str">
        <f t="shared" si="1"/>
        <v/>
      </c>
      <c r="AQ50" s="436"/>
      <c r="AR50" s="436"/>
      <c r="AS50" s="1073">
        <v>1</v>
      </c>
    </row>
    <row r="51" spans="1:45" ht="11.45" customHeight="1">
      <c r="A51" s="1281" t="s">
        <v>185</v>
      </c>
      <c r="B51" s="1281" t="s">
        <v>186</v>
      </c>
      <c r="C51" s="1281" t="s">
        <v>187</v>
      </c>
      <c r="D51" s="1281" t="s">
        <v>188</v>
      </c>
      <c r="E51" s="2643"/>
      <c r="F51" s="2643"/>
      <c r="G51" s="2643"/>
      <c r="H51" s="2643"/>
      <c r="I51" s="2645"/>
      <c r="J51" s="2644"/>
      <c r="K51" s="1281"/>
      <c r="L51" s="1282"/>
      <c r="P51" s="2646"/>
      <c r="Q51" s="2646"/>
      <c r="R51" s="292"/>
      <c r="S51" s="1196"/>
      <c r="T51" s="225" t="s">
        <v>402</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73">
        <v>11</v>
      </c>
    </row>
    <row r="52" spans="1:45" ht="11.45" customHeight="1">
      <c r="A52" s="1281" t="s">
        <v>185</v>
      </c>
      <c r="B52" s="1281" t="s">
        <v>186</v>
      </c>
      <c r="C52" s="1281" t="s">
        <v>187</v>
      </c>
      <c r="D52" s="1281" t="s">
        <v>188</v>
      </c>
      <c r="E52" s="2643"/>
      <c r="F52" s="2643"/>
      <c r="G52" s="2643"/>
      <c r="H52" s="2643"/>
      <c r="I52" s="2644"/>
      <c r="J52" s="1281"/>
      <c r="K52" s="1281"/>
      <c r="L52" s="1282"/>
      <c r="P52" s="2646"/>
      <c r="Q52" s="1249"/>
      <c r="R52" s="292"/>
      <c r="S52" s="1196"/>
      <c r="T52" s="224"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14.65" customHeight="1">
      <c r="A53" s="1281" t="s">
        <v>185</v>
      </c>
      <c r="B53" s="1281" t="s">
        <v>186</v>
      </c>
      <c r="C53" s="1281" t="s">
        <v>187</v>
      </c>
      <c r="D53" s="1281" t="s">
        <v>188</v>
      </c>
      <c r="E53" s="2643"/>
      <c r="F53" s="2643"/>
      <c r="G53" s="2643"/>
      <c r="H53" s="2642"/>
      <c r="I53" s="1281"/>
      <c r="J53" s="1281"/>
      <c r="K53" s="1281"/>
      <c r="L53" s="1282"/>
      <c r="M53" s="1283"/>
      <c r="N53" s="1283"/>
      <c r="O53" s="473"/>
      <c r="P53" s="296"/>
      <c r="Q53" s="311"/>
      <c r="R53" s="291"/>
      <c r="S53" s="1196"/>
      <c r="T53" s="301" t="s">
        <v>404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3">
        <v>14</v>
      </c>
    </row>
    <row r="54" spans="1:45" s="2407" customFormat="1" ht="1.1499999999999999" customHeight="1">
      <c r="A54" s="1261" t="s">
        <v>185</v>
      </c>
      <c r="B54" s="1261" t="s">
        <v>186</v>
      </c>
      <c r="C54" s="1261" t="s">
        <v>187</v>
      </c>
      <c r="D54" s="1232"/>
      <c r="E54" s="2643"/>
      <c r="F54" s="2643"/>
      <c r="G54" s="2642"/>
      <c r="H54" s="1232"/>
      <c r="I54" s="1232"/>
      <c r="J54" s="1232"/>
      <c r="K54" s="1232"/>
      <c r="L54" s="1257"/>
      <c r="M54" s="1233"/>
      <c r="N54" s="1233"/>
      <c r="P54" s="1234"/>
      <c r="Q54" s="1235"/>
      <c r="R54" s="1234"/>
      <c r="S54" s="1240"/>
      <c r="T54" s="1243" t="s">
        <v>405</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407" customFormat="1" ht="1.1499999999999999" customHeight="1">
      <c r="A55" s="1261" t="s">
        <v>185</v>
      </c>
      <c r="B55" s="1261" t="s">
        <v>186</v>
      </c>
      <c r="C55" s="1232"/>
      <c r="D55" s="1232"/>
      <c r="E55" s="2643"/>
      <c r="F55" s="2642"/>
      <c r="G55" s="1232"/>
      <c r="H55" s="1232"/>
      <c r="I55" s="1232"/>
      <c r="J55" s="1232"/>
      <c r="K55" s="1232"/>
      <c r="L55" s="1257"/>
      <c r="M55" s="1239"/>
      <c r="N55" s="1239"/>
      <c r="P55" s="1234"/>
      <c r="Q55" s="1235"/>
      <c r="R55" s="1234"/>
      <c r="S55" s="1240"/>
      <c r="T55" s="1243" t="s">
        <v>406</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407" customFormat="1" ht="1.1499999999999999" customHeight="1">
      <c r="A56" s="1261" t="s">
        <v>185</v>
      </c>
      <c r="B56" s="1261"/>
      <c r="C56" s="1261"/>
      <c r="D56" s="1261"/>
      <c r="E56" s="2642"/>
      <c r="F56" s="1261"/>
      <c r="G56" s="1261"/>
      <c r="H56" s="1261"/>
      <c r="I56" s="1261"/>
      <c r="J56" s="1261"/>
      <c r="K56" s="1261"/>
      <c r="L56" s="1264"/>
      <c r="M56" s="1239"/>
      <c r="N56" s="1239"/>
      <c r="O56" s="454"/>
      <c r="P56" s="316"/>
      <c r="Q56" s="1262"/>
      <c r="R56" s="316"/>
      <c r="S56" s="1240"/>
      <c r="T56" s="1243" t="s">
        <v>407</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40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439</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8.5" customHeight="1">
      <c r="O59" s="473"/>
      <c r="S59" s="1171"/>
      <c r="T59" s="2641"/>
      <c r="U59" s="2641"/>
      <c r="V59" s="2641"/>
      <c r="W59" s="2641"/>
      <c r="X59" s="2641"/>
      <c r="Y59" s="2641"/>
      <c r="Z59" s="2641"/>
      <c r="AA59" s="2641"/>
      <c r="AB59" s="2641"/>
      <c r="AC59" s="2641"/>
      <c r="AD59" s="2641"/>
      <c r="AE59" s="2641"/>
      <c r="AF59" s="2641"/>
      <c r="AG59" s="2641"/>
      <c r="AH59" s="2641"/>
      <c r="AI59" s="2641"/>
      <c r="AJ59" s="2641"/>
      <c r="AK59" s="2641"/>
      <c r="AL59" s="2641"/>
      <c r="AM59" s="2641"/>
      <c r="AS59" s="1073">
        <v>27</v>
      </c>
    </row>
    <row r="60" spans="1:45" ht="78.75" customHeight="1">
      <c r="O60" s="473"/>
      <c r="T60" s="2641"/>
      <c r="U60" s="2641"/>
      <c r="V60" s="2641"/>
      <c r="W60" s="2641"/>
      <c r="X60" s="2641"/>
      <c r="Y60" s="2641"/>
      <c r="Z60" s="2641"/>
      <c r="AA60" s="2641"/>
      <c r="AB60" s="2641"/>
      <c r="AC60" s="2641"/>
      <c r="AD60" s="2641"/>
      <c r="AE60" s="2641"/>
      <c r="AF60" s="2641"/>
      <c r="AG60" s="2641"/>
      <c r="AH60" s="2641"/>
      <c r="AI60" s="2641"/>
      <c r="AJ60" s="2641"/>
      <c r="AK60" s="2641"/>
      <c r="AL60" s="2641"/>
      <c r="AM60" s="2641"/>
      <c r="AS60" s="1073">
        <v>75</v>
      </c>
    </row>
    <row r="61" spans="1:45" ht="14.65" customHeight="1">
      <c r="O61" s="473"/>
      <c r="AS61" s="1073">
        <v>14</v>
      </c>
    </row>
    <row r="62" spans="1:45" ht="18.75" customHeight="1">
      <c r="O62" s="473"/>
      <c r="S62" s="1171"/>
      <c r="T62" s="2641"/>
      <c r="U62" s="2641"/>
      <c r="V62" s="2641"/>
      <c r="W62" s="2641"/>
      <c r="X62" s="2641"/>
      <c r="Y62" s="2641"/>
      <c r="Z62" s="2641"/>
      <c r="AA62" s="2641"/>
      <c r="AB62" s="2641"/>
      <c r="AC62" s="2641"/>
      <c r="AD62" s="2641"/>
      <c r="AE62" s="2641"/>
      <c r="AF62" s="2641"/>
      <c r="AG62" s="2641"/>
      <c r="AH62" s="2641"/>
      <c r="AI62" s="2641"/>
      <c r="AJ62" s="2641"/>
      <c r="AK62" s="2641"/>
      <c r="AL62" s="2641"/>
      <c r="AM62" s="2641"/>
      <c r="AS62" s="1073">
        <v>18</v>
      </c>
    </row>
    <row r="63" spans="1:45" ht="18.75" customHeight="1">
      <c r="O63" s="473"/>
      <c r="T63" s="2641"/>
      <c r="U63" s="2641"/>
      <c r="V63" s="2641"/>
      <c r="W63" s="2641"/>
      <c r="X63" s="2641"/>
      <c r="Y63" s="2641"/>
      <c r="Z63" s="2641"/>
      <c r="AA63" s="2641"/>
      <c r="AB63" s="2641"/>
      <c r="AC63" s="2641"/>
      <c r="AD63" s="2641"/>
      <c r="AE63" s="2641"/>
      <c r="AF63" s="2641"/>
      <c r="AG63" s="2641"/>
      <c r="AH63" s="2641"/>
      <c r="AI63" s="2641"/>
      <c r="AJ63" s="2641"/>
      <c r="AK63" s="2641"/>
      <c r="AL63" s="2641"/>
      <c r="AM63" s="2641"/>
      <c r="AS63" s="1073">
        <v>18</v>
      </c>
    </row>
    <row r="64" spans="1:45" ht="39.75" customHeight="1">
      <c r="O64" s="473"/>
      <c r="S64" s="1171"/>
      <c r="T64" s="2641"/>
      <c r="U64" s="2641"/>
      <c r="V64" s="2641"/>
      <c r="W64" s="2641"/>
      <c r="X64" s="2641"/>
      <c r="Y64" s="2641"/>
      <c r="Z64" s="2641"/>
      <c r="AA64" s="2641"/>
      <c r="AB64" s="2641"/>
      <c r="AC64" s="2641"/>
      <c r="AD64" s="2641"/>
      <c r="AE64" s="2641"/>
      <c r="AF64" s="2641"/>
      <c r="AG64" s="2641"/>
      <c r="AH64" s="2641"/>
      <c r="AI64" s="2641"/>
      <c r="AJ64" s="2641"/>
      <c r="AK64" s="2641"/>
      <c r="AL64" s="2641"/>
      <c r="AM64" s="2641"/>
      <c r="AS64" s="1073">
        <v>38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1">
        <v>3</v>
      </c>
      <c r="R65" s="281">
        <v>3</v>
      </c>
      <c r="S65" s="517">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7">
        <v>10</v>
      </c>
      <c r="AO65" s="447">
        <v>10</v>
      </c>
      <c r="AP65" s="447">
        <v>10</v>
      </c>
      <c r="AQ65" s="447">
        <v>10</v>
      </c>
      <c r="AR65" s="447">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2" style="2406" hidden="1" customWidth="1"/>
    <col min="10" max="10" width="9.85546875" style="2406" hidden="1" customWidth="1"/>
    <col min="11" max="11" width="11.42578125" style="2406" hidden="1" customWidth="1"/>
    <col min="12" max="12" width="19.140625" style="2432" hidden="1" customWidth="1"/>
    <col min="13" max="14" width="12.28515625" style="2433" hidden="1" customWidth="1"/>
    <col min="15" max="15" width="23.42578125" style="2433" hidden="1" customWidth="1"/>
    <col min="16" max="16" width="3.7109375" style="2434" hidden="1" customWidth="1"/>
    <col min="17" max="18" width="3" style="2435" customWidth="1"/>
    <col min="19" max="19" width="12" style="2436" customWidth="1"/>
    <col min="20" max="20" width="31" style="2400" customWidth="1"/>
    <col min="21" max="21" width="0.140625" style="2400" customWidth="1"/>
    <col min="22" max="22" width="24.7109375" style="2400" hidden="1" customWidth="1"/>
    <col min="23" max="23" width="0.140625" style="2400" hidden="1" customWidth="1"/>
    <col min="24" max="25" width="24.7109375" style="2400" hidden="1" customWidth="1"/>
    <col min="26" max="26" width="11.7109375" style="2400" hidden="1" customWidth="1"/>
    <col min="27" max="27" width="3.7109375" style="2400" hidden="1" customWidth="1"/>
    <col min="28" max="28" width="11.7109375" style="2400" hidden="1" customWidth="1"/>
    <col min="29" max="29" width="8.5703125" style="2400" hidden="1" customWidth="1"/>
    <col min="30" max="30" width="24.7109375" style="2400" customWidth="1"/>
    <col min="31" max="31" width="0.140625" style="2400" customWidth="1"/>
    <col min="32" max="33" width="24" style="2400" customWidth="1"/>
    <col min="34" max="34" width="11" style="2400" customWidth="1"/>
    <col min="35" max="35" width="3.7109375" style="2400" customWidth="1"/>
    <col min="36" max="36" width="11" style="2400" customWidth="1"/>
    <col min="37" max="37" width="8.5703125" style="2400" hidden="1" customWidth="1"/>
    <col min="38" max="38" width="4" style="2400" customWidth="1"/>
    <col min="39" max="39" width="115" style="2400" customWidth="1"/>
    <col min="40" max="44" width="10" style="2407" customWidth="1"/>
    <col min="45" max="45" width="8.42578125" style="2400" hidden="1" customWidth="1"/>
  </cols>
  <sheetData>
    <row r="1" spans="1:45" ht="22.5" hidden="1" customHeight="1">
      <c r="Y1" s="264"/>
      <c r="Z1" s="264"/>
      <c r="AG1" s="264"/>
      <c r="AH1" s="264"/>
      <c r="AS1" s="1073" t="s">
        <v>14</v>
      </c>
    </row>
    <row r="2" spans="1:45" ht="21" hidden="1" customHeight="1">
      <c r="A2" s="1281"/>
      <c r="B2" s="1281"/>
      <c r="C2" s="1281"/>
      <c r="D2" s="1281"/>
      <c r="E2" s="2642">
        <v>1</v>
      </c>
      <c r="F2" s="1281"/>
      <c r="G2" s="1281"/>
      <c r="H2" s="1281"/>
      <c r="I2" s="1281"/>
      <c r="J2" s="1281"/>
      <c r="K2" s="1281"/>
      <c r="L2" s="1282"/>
      <c r="M2" s="1283"/>
      <c r="N2" s="1283"/>
      <c r="O2" s="1283"/>
      <c r="P2" s="297"/>
      <c r="Q2" s="296"/>
      <c r="R2" s="291"/>
      <c r="S2" s="1254" t="e">
        <f>INDEX(PT_DIFFERENTIATION_NUM_NTAR,MATCH(A2,PT_DIFFERENTIATION_NTAR_ID,0))</f>
        <v>#N/A</v>
      </c>
      <c r="T2" s="235" t="s">
        <v>116</v>
      </c>
      <c r="U2" s="237"/>
      <c r="V2" s="2636"/>
      <c r="W2" s="2637"/>
      <c r="X2" s="2637"/>
      <c r="Y2" s="2637"/>
      <c r="Z2" s="2637"/>
      <c r="AA2" s="2637"/>
      <c r="AB2" s="2637"/>
      <c r="AC2" s="2638"/>
      <c r="AD2" s="2636" t="e">
        <f>INDEX(PT_DIFFERENTIATION_NTAR,MATCH(A2,PT_DIFFERENTIATION_NTAR_ID,0))</f>
        <v>#N/A</v>
      </c>
      <c r="AE2" s="2637"/>
      <c r="AF2" s="2637"/>
      <c r="AG2" s="2637"/>
      <c r="AH2" s="2637"/>
      <c r="AI2" s="2637"/>
      <c r="AJ2" s="2637"/>
      <c r="AK2" s="2637"/>
      <c r="AL2" s="2638"/>
      <c r="AM2" s="1176" t="s">
        <v>387</v>
      </c>
      <c r="AO2" s="436"/>
      <c r="AP2" s="436" t="str">
        <f t="shared" ref="AP2:AP15" si="0">IF(T2="","",T2)</f>
        <v>Наименование тарифа</v>
      </c>
      <c r="AQ2" s="436"/>
      <c r="AR2" s="436"/>
      <c r="AS2" s="1073">
        <v>0</v>
      </c>
    </row>
    <row r="3" spans="1:45" ht="21" hidden="1" customHeight="1">
      <c r="A3" s="1281"/>
      <c r="B3" s="1281"/>
      <c r="C3" s="1281"/>
      <c r="D3" s="1281"/>
      <c r="E3" s="2643"/>
      <c r="F3" s="2642">
        <v>1</v>
      </c>
      <c r="G3" s="1281"/>
      <c r="H3" s="1281"/>
      <c r="I3" s="1281"/>
      <c r="J3" s="1281"/>
      <c r="K3" s="1281"/>
      <c r="L3" s="1282"/>
      <c r="M3" s="1283"/>
      <c r="N3" s="1283"/>
      <c r="O3" s="1283"/>
      <c r="P3" s="1250"/>
      <c r="Q3" s="288"/>
      <c r="R3" s="289"/>
      <c r="S3" s="1254" t="e">
        <f>INDEX(PT_DIFFERENTIATION_NUM_TER,MATCH(B3,PT_DIFFERENTIATION_TER_ID,0))</f>
        <v>#N/A</v>
      </c>
      <c r="T3" s="245" t="s">
        <v>388</v>
      </c>
      <c r="U3" s="237"/>
      <c r="V3" s="2636"/>
      <c r="W3" s="2637"/>
      <c r="X3" s="2637"/>
      <c r="Y3" s="2637"/>
      <c r="Z3" s="2637"/>
      <c r="AA3" s="2637"/>
      <c r="AB3" s="2637"/>
      <c r="AC3" s="2638"/>
      <c r="AD3" s="2636" t="e">
        <f>INDEX(PT_DIFFERENTIATION_TER,MATCH(B3,PT_DIFFERENTIATION_TER_ID,0))</f>
        <v>#N/A</v>
      </c>
      <c r="AE3" s="2637"/>
      <c r="AF3" s="2637"/>
      <c r="AG3" s="2637"/>
      <c r="AH3" s="2637"/>
      <c r="AI3" s="2637"/>
      <c r="AJ3" s="2637"/>
      <c r="AK3" s="2637"/>
      <c r="AL3" s="2638"/>
      <c r="AM3" s="1176" t="s">
        <v>389</v>
      </c>
      <c r="AO3" s="436"/>
      <c r="AP3" s="436" t="str">
        <f t="shared" si="0"/>
        <v>Территория действия тарифа</v>
      </c>
      <c r="AQ3" s="436"/>
      <c r="AR3" s="436"/>
      <c r="AS3" s="1073">
        <v>0</v>
      </c>
    </row>
    <row r="4" spans="1:45" ht="23.25" hidden="1" customHeight="1">
      <c r="A4" s="1281"/>
      <c r="B4" s="1281"/>
      <c r="C4" s="1281"/>
      <c r="D4" s="1281"/>
      <c r="E4" s="2643"/>
      <c r="F4" s="2643"/>
      <c r="G4" s="2642">
        <v>1</v>
      </c>
      <c r="H4" s="1281"/>
      <c r="I4" s="1281"/>
      <c r="J4" s="1281"/>
      <c r="K4" s="1281"/>
      <c r="L4" s="1282"/>
      <c r="M4" s="1283"/>
      <c r="N4" s="1283"/>
      <c r="O4" s="1283"/>
      <c r="P4" s="290"/>
      <c r="Q4" s="288"/>
      <c r="R4" s="289"/>
      <c r="S4" s="1254" t="e">
        <f>INDEX(PT_DIFFERENTIATION_NUM_CS,MATCH(C4,PT_DIFFERENTIATION_CS_ID,0))</f>
        <v>#N/A</v>
      </c>
      <c r="T4" s="246" t="s">
        <v>390</v>
      </c>
      <c r="U4" s="237"/>
      <c r="V4" s="2636"/>
      <c r="W4" s="2637"/>
      <c r="X4" s="2637"/>
      <c r="Y4" s="2637"/>
      <c r="Z4" s="2637"/>
      <c r="AA4" s="2637"/>
      <c r="AB4" s="2637"/>
      <c r="AC4" s="2638"/>
      <c r="AD4" s="2636" t="e">
        <f>INDEX(PT_DIFFERENTIATION_CS,MATCH(C4,PT_DIFFERENTIATION_CS_ID,0))</f>
        <v>#N/A</v>
      </c>
      <c r="AE4" s="2637"/>
      <c r="AF4" s="2637"/>
      <c r="AG4" s="2637"/>
      <c r="AH4" s="2637"/>
      <c r="AI4" s="2637"/>
      <c r="AJ4" s="2637"/>
      <c r="AK4" s="2637"/>
      <c r="AL4" s="2638"/>
      <c r="AM4" s="1176" t="s">
        <v>391</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643"/>
      <c r="F5" s="2643"/>
      <c r="G5" s="2643"/>
      <c r="H5" s="2642">
        <v>1</v>
      </c>
      <c r="I5" s="1281"/>
      <c r="J5" s="1281"/>
      <c r="K5" s="1281"/>
      <c r="L5" s="1282"/>
      <c r="M5" s="1283"/>
      <c r="N5" s="1283"/>
      <c r="O5" s="1283"/>
      <c r="P5" s="290"/>
      <c r="Q5" s="288"/>
      <c r="R5" s="289"/>
      <c r="S5" s="1254" t="e">
        <f>INDEX(PT_DIFFERENTIATION_NUM_IST_TE,MATCH(D5,PT_DIFFERENTIATION_IST_TE_ID,0))</f>
        <v>#N/A</v>
      </c>
      <c r="T5" s="247" t="s">
        <v>392</v>
      </c>
      <c r="U5" s="237"/>
      <c r="V5" s="2636"/>
      <c r="W5" s="2637"/>
      <c r="X5" s="2637"/>
      <c r="Y5" s="2637"/>
      <c r="Z5" s="2637"/>
      <c r="AA5" s="2637"/>
      <c r="AB5" s="2637"/>
      <c r="AC5" s="2638"/>
      <c r="AD5" s="2636" t="e">
        <f>INDEX(PT_DIFFERENTIATION_IST_TE,MATCH(D5,PT_DIFFERENTIATION_IST_TE_ID,0))</f>
        <v>#N/A</v>
      </c>
      <c r="AE5" s="2637"/>
      <c r="AF5" s="2637"/>
      <c r="AG5" s="2637"/>
      <c r="AH5" s="2637"/>
      <c r="AI5" s="2637"/>
      <c r="AJ5" s="2637"/>
      <c r="AK5" s="2637"/>
      <c r="AL5" s="2638"/>
      <c r="AM5" s="1176" t="s">
        <v>393</v>
      </c>
      <c r="AO5" s="436"/>
      <c r="AP5" s="436" t="str">
        <f t="shared" si="0"/>
        <v xml:space="preserve">Источник тепловой энергии  </v>
      </c>
      <c r="AQ5" s="436"/>
      <c r="AR5" s="436"/>
      <c r="AS5" s="1073">
        <v>0</v>
      </c>
    </row>
    <row r="6" spans="1:45" ht="14.25" hidden="1" customHeight="1">
      <c r="A6" s="1281"/>
      <c r="B6" s="1281"/>
      <c r="C6" s="1281"/>
      <c r="D6" s="1281"/>
      <c r="E6" s="2643"/>
      <c r="F6" s="2643"/>
      <c r="G6" s="2643"/>
      <c r="H6" s="2643"/>
      <c r="I6" s="2644" t="e">
        <f>S5&amp;".1"</f>
        <v>#N/A</v>
      </c>
      <c r="J6" s="1281"/>
      <c r="K6" s="1281"/>
      <c r="L6" s="1282" t="s">
        <v>394</v>
      </c>
      <c r="M6" s="473"/>
      <c r="P6" s="2646">
        <v>1</v>
      </c>
      <c r="Q6" s="1249"/>
      <c r="R6" s="292"/>
      <c r="S6" s="965"/>
      <c r="T6" s="1301"/>
      <c r="U6" s="1302"/>
      <c r="V6" s="2673"/>
      <c r="W6" s="2674"/>
      <c r="X6" s="2674"/>
      <c r="Y6" s="2674"/>
      <c r="Z6" s="2674"/>
      <c r="AA6" s="2674"/>
      <c r="AB6" s="2674"/>
      <c r="AC6" s="2675"/>
      <c r="AD6" s="2673"/>
      <c r="AE6" s="2674"/>
      <c r="AF6" s="2674"/>
      <c r="AG6" s="2674"/>
      <c r="AH6" s="2674"/>
      <c r="AI6" s="2674"/>
      <c r="AJ6" s="2674"/>
      <c r="AK6" s="2674"/>
      <c r="AL6" s="2675"/>
      <c r="AM6" s="1303"/>
      <c r="AO6" s="436"/>
      <c r="AP6" s="436" t="str">
        <f t="shared" si="0"/>
        <v/>
      </c>
      <c r="AQ6" s="436"/>
      <c r="AR6" s="436"/>
      <c r="AS6" s="1073">
        <v>0</v>
      </c>
    </row>
    <row r="7" spans="1:45" ht="21" hidden="1" customHeight="1">
      <c r="A7" s="1281"/>
      <c r="B7" s="1281"/>
      <c r="C7" s="1281"/>
      <c r="D7" s="1281"/>
      <c r="E7" s="2643"/>
      <c r="F7" s="2643"/>
      <c r="G7" s="2643"/>
      <c r="H7" s="2643"/>
      <c r="I7" s="2645"/>
      <c r="J7" s="2644" t="e">
        <f>I6&amp;".1"</f>
        <v>#N/A</v>
      </c>
      <c r="K7" s="1281"/>
      <c r="L7" s="1282" t="s">
        <v>397</v>
      </c>
      <c r="M7" s="473"/>
      <c r="N7" s="1284"/>
      <c r="P7" s="2646"/>
      <c r="Q7" s="2646">
        <v>1</v>
      </c>
      <c r="R7" s="293"/>
      <c r="S7" s="1254" t="e">
        <f>$J7</f>
        <v>#N/A</v>
      </c>
      <c r="T7" s="223" t="s">
        <v>398</v>
      </c>
      <c r="U7" s="237"/>
      <c r="V7" s="2630"/>
      <c r="W7" s="2631"/>
      <c r="X7" s="2631"/>
      <c r="Y7" s="2631"/>
      <c r="Z7" s="2631"/>
      <c r="AA7" s="2631"/>
      <c r="AB7" s="2631"/>
      <c r="AC7" s="2632"/>
      <c r="AD7" s="2630"/>
      <c r="AE7" s="2631"/>
      <c r="AF7" s="2631"/>
      <c r="AG7" s="2631"/>
      <c r="AH7" s="2631"/>
      <c r="AI7" s="2631"/>
      <c r="AJ7" s="2631"/>
      <c r="AK7" s="2631"/>
      <c r="AL7" s="2632"/>
      <c r="AM7" s="1176" t="s">
        <v>399</v>
      </c>
      <c r="AO7" s="436"/>
      <c r="AP7" s="436" t="str">
        <f t="shared" si="0"/>
        <v>Группа потребителей</v>
      </c>
      <c r="AQ7" s="436"/>
      <c r="AR7" s="436"/>
      <c r="AS7" s="1073">
        <v>0</v>
      </c>
    </row>
    <row r="8" spans="1:45" ht="21" hidden="1" customHeight="1">
      <c r="A8" s="1281"/>
      <c r="B8" s="1281"/>
      <c r="C8" s="1281"/>
      <c r="D8" s="1281"/>
      <c r="E8" s="2643"/>
      <c r="F8" s="2643"/>
      <c r="G8" s="2643"/>
      <c r="H8" s="2643"/>
      <c r="I8" s="2645"/>
      <c r="J8" s="2645"/>
      <c r="K8" s="2644" t="e">
        <f>J7&amp;".1"</f>
        <v>#N/A</v>
      </c>
      <c r="L8" s="1282" t="s">
        <v>400</v>
      </c>
      <c r="M8" s="473"/>
      <c r="N8" s="1284"/>
      <c r="O8" s="1284"/>
      <c r="P8" s="2646"/>
      <c r="Q8" s="2646"/>
      <c r="R8" s="293">
        <v>1</v>
      </c>
      <c r="S8" s="1254" t="e">
        <f>$K8</f>
        <v>#N/A</v>
      </c>
      <c r="T8" s="1265"/>
      <c r="U8" s="237"/>
      <c r="V8" s="687"/>
      <c r="W8" s="262"/>
      <c r="X8" s="687"/>
      <c r="Y8" s="1175"/>
      <c r="Z8" s="2647"/>
      <c r="AA8" s="2524" t="s">
        <v>65</v>
      </c>
      <c r="AB8" s="2647"/>
      <c r="AC8" s="2524" t="s">
        <v>65</v>
      </c>
      <c r="AD8" s="687"/>
      <c r="AE8" s="262"/>
      <c r="AF8" s="687"/>
      <c r="AG8" s="1175"/>
      <c r="AH8" s="2647"/>
      <c r="AI8" s="2524" t="s">
        <v>65</v>
      </c>
      <c r="AJ8" s="2647"/>
      <c r="AK8" s="2524" t="s">
        <v>65</v>
      </c>
      <c r="AL8" s="262"/>
      <c r="AM8" s="2665" t="s">
        <v>401</v>
      </c>
      <c r="AN8" s="447" t="e">
        <f ca="1">STRCHECKDATE(V9:AL9)</f>
        <v>#NAME?</v>
      </c>
      <c r="AO8" s="436"/>
      <c r="AP8" s="436" t="str">
        <f t="shared" si="0"/>
        <v/>
      </c>
      <c r="AQ8" s="436"/>
      <c r="AR8" s="436"/>
      <c r="AS8" s="1073">
        <v>0</v>
      </c>
    </row>
    <row r="9" spans="1:45" ht="0.75" hidden="1" customHeight="1">
      <c r="A9" s="1281"/>
      <c r="B9" s="1281"/>
      <c r="C9" s="1281"/>
      <c r="D9" s="1281"/>
      <c r="E9" s="2643"/>
      <c r="F9" s="2643"/>
      <c r="G9" s="2643"/>
      <c r="H9" s="2643"/>
      <c r="I9" s="2645"/>
      <c r="J9" s="2645"/>
      <c r="K9" s="2644"/>
      <c r="L9" s="1282"/>
      <c r="M9" s="473"/>
      <c r="N9" s="1284"/>
      <c r="O9" s="1284"/>
      <c r="P9" s="2646"/>
      <c r="Q9" s="2646"/>
      <c r="R9" s="293"/>
      <c r="S9" s="1260"/>
      <c r="T9" s="237"/>
      <c r="U9" s="237"/>
      <c r="V9" s="262"/>
      <c r="W9" s="262"/>
      <c r="X9" s="262"/>
      <c r="Y9" s="265" t="str">
        <f>Z8&amp;"-"&amp;AB8</f>
        <v>-</v>
      </c>
      <c r="Z9" s="2648"/>
      <c r="AA9" s="2524"/>
      <c r="AB9" s="2648"/>
      <c r="AC9" s="2524"/>
      <c r="AD9" s="262"/>
      <c r="AE9" s="262"/>
      <c r="AF9" s="262"/>
      <c r="AG9" s="265" t="str">
        <f>AH8&amp;"-"&amp;AJ8</f>
        <v>-</v>
      </c>
      <c r="AH9" s="2648"/>
      <c r="AI9" s="2524"/>
      <c r="AJ9" s="2648"/>
      <c r="AK9" s="2524"/>
      <c r="AL9" s="262"/>
      <c r="AM9" s="2666"/>
      <c r="AO9" s="436"/>
      <c r="AP9" s="436" t="str">
        <f t="shared" si="0"/>
        <v/>
      </c>
      <c r="AQ9" s="436"/>
      <c r="AR9" s="436"/>
      <c r="AS9" s="1073">
        <v>0</v>
      </c>
    </row>
    <row r="10" spans="1:45" ht="15" hidden="1" customHeight="1">
      <c r="A10" s="1281"/>
      <c r="B10" s="1281"/>
      <c r="C10" s="1281"/>
      <c r="D10" s="1281"/>
      <c r="E10" s="2643"/>
      <c r="F10" s="2643"/>
      <c r="G10" s="2643"/>
      <c r="H10" s="2643"/>
      <c r="I10" s="2645"/>
      <c r="J10" s="2644"/>
      <c r="K10" s="1281"/>
      <c r="L10" s="1282"/>
      <c r="M10" s="473"/>
      <c r="N10" s="1284"/>
      <c r="P10" s="2646"/>
      <c r="Q10" s="2646"/>
      <c r="R10" s="292"/>
      <c r="S10" s="1196"/>
      <c r="T10" s="224" t="s">
        <v>402</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73">
        <v>0</v>
      </c>
    </row>
    <row r="11" spans="1:45" ht="15" hidden="1" customHeight="1">
      <c r="A11" s="1281"/>
      <c r="B11" s="1281"/>
      <c r="C11" s="1281"/>
      <c r="D11" s="1281"/>
      <c r="E11" s="2643"/>
      <c r="F11" s="2643"/>
      <c r="G11" s="2643"/>
      <c r="H11" s="2643"/>
      <c r="I11" s="2644"/>
      <c r="J11" s="1281"/>
      <c r="K11" s="1281"/>
      <c r="L11" s="1282"/>
      <c r="M11" s="473"/>
      <c r="P11" s="2646"/>
      <c r="Q11" s="1249"/>
      <c r="R11" s="292"/>
      <c r="S11" s="1196"/>
      <c r="T11" s="301"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643"/>
      <c r="F12" s="2643"/>
      <c r="G12" s="2643"/>
      <c r="H12" s="2642"/>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407" customFormat="1" ht="0.75" hidden="1" customHeight="1">
      <c r="A13" s="1232"/>
      <c r="B13" s="1232"/>
      <c r="C13" s="1232"/>
      <c r="D13" s="1232"/>
      <c r="E13" s="2643"/>
      <c r="F13" s="2643"/>
      <c r="G13" s="2642"/>
      <c r="H13" s="1232"/>
      <c r="I13" s="1232"/>
      <c r="J13" s="1232"/>
      <c r="K13" s="1232"/>
      <c r="L13" s="1257"/>
      <c r="M13" s="1233"/>
      <c r="N13" s="1233"/>
      <c r="P13" s="1234"/>
      <c r="Q13" s="1235"/>
      <c r="R13" s="1234"/>
      <c r="S13" s="1236"/>
      <c r="T13" s="1237" t="s">
        <v>405</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7" customFormat="1" ht="0.75" hidden="1" customHeight="1">
      <c r="A14" s="1232"/>
      <c r="B14" s="1232"/>
      <c r="C14" s="1232"/>
      <c r="D14" s="1232"/>
      <c r="E14" s="2643"/>
      <c r="F14" s="2642"/>
      <c r="G14" s="1232"/>
      <c r="H14" s="1232"/>
      <c r="I14" s="1232"/>
      <c r="J14" s="1232"/>
      <c r="K14" s="1232"/>
      <c r="L14" s="1257"/>
      <c r="M14" s="1239"/>
      <c r="N14" s="1239"/>
      <c r="P14" s="1234"/>
      <c r="Q14" s="1235"/>
      <c r="R14" s="1234"/>
      <c r="S14" s="1240"/>
      <c r="T14" s="1241" t="s">
        <v>406</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7" customFormat="1" ht="0.75" hidden="1" customHeight="1">
      <c r="A15" s="1232"/>
      <c r="B15" s="1232"/>
      <c r="C15" s="1232"/>
      <c r="D15" s="1232"/>
      <c r="E15" s="2642"/>
      <c r="F15" s="1232"/>
      <c r="G15" s="1232"/>
      <c r="H15" s="1232"/>
      <c r="I15" s="1232"/>
      <c r="J15" s="1232"/>
      <c r="K15" s="1232"/>
      <c r="L15" s="1257"/>
      <c r="M15" s="1239"/>
      <c r="N15" s="1239"/>
      <c r="P15" s="1234"/>
      <c r="Q15" s="1235"/>
      <c r="R15" s="1234"/>
      <c r="S15" s="1240"/>
      <c r="T15" s="1243" t="s">
        <v>407</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640"/>
      <c r="AI17" s="2639" t="s">
        <v>65</v>
      </c>
      <c r="AJ17" s="2640"/>
      <c r="AK17" s="2639" t="s">
        <v>65</v>
      </c>
      <c r="AS17" s="1073">
        <v>0</v>
      </c>
    </row>
    <row r="18" spans="1:45" ht="14.25" hidden="1" customHeight="1">
      <c r="AD18" s="1278"/>
      <c r="AE18" s="1278"/>
      <c r="AF18" s="1278"/>
      <c r="AG18" s="265" t="str">
        <f>AH17&amp;"-"&amp;AJ17</f>
        <v>-</v>
      </c>
      <c r="AH18" s="2639"/>
      <c r="AI18" s="2639"/>
      <c r="AJ18" s="2639"/>
      <c r="AK18" s="2639"/>
      <c r="AS18" s="1073">
        <v>0</v>
      </c>
    </row>
    <row r="19" spans="1:45" ht="14.25" hidden="1" customHeight="1">
      <c r="AK19" s="264"/>
      <c r="AS19" s="1073">
        <v>0</v>
      </c>
    </row>
    <row r="20" spans="1:45" s="2406" customFormat="1" ht="22.5" hidden="1" customHeight="1">
      <c r="L20" s="1247"/>
      <c r="M20" s="1280"/>
      <c r="N20" s="1280"/>
      <c r="O20" s="1285" t="s">
        <v>408</v>
      </c>
      <c r="P20" s="1280"/>
      <c r="Q20" s="1289"/>
      <c r="R20" s="1289"/>
      <c r="S20" s="665"/>
      <c r="Z20" s="1285"/>
      <c r="AB20" s="1285"/>
      <c r="AC20" s="1284"/>
      <c r="AH20" s="1285"/>
      <c r="AJ20" s="1285"/>
      <c r="AK20" s="1284"/>
      <c r="AN20" s="447"/>
      <c r="AO20" s="447"/>
      <c r="AP20" s="447"/>
      <c r="AQ20" s="447"/>
      <c r="AR20" s="447"/>
      <c r="AS20" s="1078">
        <v>0</v>
      </c>
    </row>
    <row r="21" spans="1:45" s="240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6" customFormat="1" ht="14.25" hidden="1" customHeight="1">
      <c r="L22" s="1247"/>
      <c r="M22" s="1280"/>
      <c r="N22" s="1280"/>
      <c r="O22" s="1282" t="s">
        <v>409</v>
      </c>
      <c r="P22" s="1280"/>
      <c r="Q22" s="1289"/>
      <c r="R22" s="1289"/>
      <c r="S22" s="665"/>
      <c r="T22" s="1078" t="s">
        <v>410</v>
      </c>
      <c r="AA22" s="123" t="s">
        <v>411</v>
      </c>
      <c r="AC22" s="123" t="s">
        <v>412</v>
      </c>
      <c r="AD22" s="1078" t="s">
        <v>410</v>
      </c>
      <c r="AI22" s="123" t="s">
        <v>413</v>
      </c>
      <c r="AK22" s="123" t="s">
        <v>412</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63" customHeight="1">
      <c r="Q26" s="312"/>
      <c r="R26" s="312"/>
      <c r="S26" s="26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3"/>
      <c r="U26" s="2623"/>
      <c r="V26" s="2623"/>
      <c r="W26" s="2623"/>
      <c r="X26" s="2623"/>
      <c r="Y26" s="2623"/>
      <c r="Z26" s="2623"/>
      <c r="AA26" s="2623"/>
      <c r="AB26" s="2623"/>
      <c r="AC26" s="2623"/>
      <c r="AD26" s="2623"/>
      <c r="AE26" s="2623"/>
      <c r="AF26" s="2623"/>
      <c r="AG26" s="2623"/>
      <c r="AH26" s="2623"/>
      <c r="AI26" s="2623"/>
      <c r="AJ26" s="2623"/>
      <c r="AK26" s="1161"/>
      <c r="AS26" s="1073">
        <v>60</v>
      </c>
    </row>
    <row r="27" spans="1:45" ht="14.65" customHeight="1">
      <c r="Q27" s="312"/>
      <c r="R27" s="312"/>
      <c r="S27" s="2595" t="str">
        <f>IF(org=0,"Не определено",org)</f>
        <v>ПАО "ТГК-1" (филиал "Кольский")</v>
      </c>
      <c r="T27" s="2595"/>
      <c r="U27" s="2595"/>
      <c r="V27" s="2595"/>
      <c r="W27" s="2595"/>
      <c r="X27" s="2595"/>
      <c r="Y27" s="2595"/>
      <c r="Z27" s="2595"/>
      <c r="AA27" s="2595"/>
      <c r="AB27" s="2595"/>
      <c r="AC27" s="2595"/>
      <c r="AD27" s="2595"/>
      <c r="AE27" s="2595"/>
      <c r="AF27" s="2595"/>
      <c r="AG27" s="2595"/>
      <c r="AH27" s="2595"/>
      <c r="AI27" s="2595"/>
      <c r="AJ27" s="2595"/>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6" customFormat="1" ht="25.5" hidden="1" customHeight="1">
      <c r="A29" s="1286"/>
      <c r="B29" s="1286"/>
      <c r="C29" s="1286"/>
      <c r="D29" s="1286"/>
      <c r="E29" s="1286"/>
      <c r="F29" s="1286"/>
      <c r="G29" s="1286"/>
      <c r="H29" s="1286"/>
      <c r="I29" s="1286"/>
      <c r="J29" s="1286"/>
      <c r="K29" s="1286"/>
      <c r="L29" s="1287"/>
      <c r="M29" s="1286"/>
      <c r="N29" s="1286"/>
      <c r="O29" s="1286"/>
      <c r="S29" s="2633" t="s">
        <v>41</v>
      </c>
      <c r="T29" s="2633"/>
      <c r="U29" s="1290"/>
      <c r="V29" s="2635" t="str">
        <f>IF(TITLE_NAME_OR_PR_CHANGE="",IF(TITLE_NAME_OR_PR="","",TITLE_NAME_OR_PR),TITLE_NAME_OR_PR_CHANGE)</f>
        <v/>
      </c>
      <c r="W29" s="2635"/>
      <c r="X29" s="2635"/>
      <c r="Y29" s="2635"/>
      <c r="Z29" s="2635"/>
      <c r="AA29" s="2635"/>
      <c r="AB29" s="2635"/>
      <c r="AC29" s="263"/>
      <c r="AD29" s="2635" t="str">
        <f>IF(TITLE_NAME_OR_PR_CHANGE="",IF(TITLE_NAME_OR_PR="","",TITLE_NAME_OR_PR),TITLE_NAME_OR_PR_CHANGE)</f>
        <v/>
      </c>
      <c r="AE29" s="2635"/>
      <c r="AF29" s="2635"/>
      <c r="AG29" s="2635"/>
      <c r="AH29" s="2635"/>
      <c r="AI29" s="2635"/>
      <c r="AJ29" s="2635"/>
      <c r="AK29" s="263"/>
      <c r="AL29" s="263"/>
      <c r="AM29" s="217"/>
      <c r="AN29" s="304"/>
      <c r="AO29" s="304"/>
      <c r="AP29" s="304"/>
      <c r="AQ29" s="304"/>
      <c r="AR29" s="304"/>
      <c r="AS29" s="354">
        <v>0</v>
      </c>
    </row>
    <row r="30" spans="1:45" s="2416" customFormat="1" ht="18.75" hidden="1" customHeight="1">
      <c r="A30" s="1286"/>
      <c r="B30" s="1286"/>
      <c r="C30" s="1286"/>
      <c r="D30" s="1286"/>
      <c r="E30" s="1286"/>
      <c r="F30" s="1286"/>
      <c r="G30" s="1286"/>
      <c r="H30" s="1286"/>
      <c r="I30" s="1286"/>
      <c r="J30" s="1286"/>
      <c r="K30" s="1286"/>
      <c r="L30" s="1287"/>
      <c r="M30" s="1286"/>
      <c r="N30" s="1286"/>
      <c r="O30" s="1286"/>
      <c r="S30" s="2633" t="s">
        <v>414</v>
      </c>
      <c r="T30" s="2633"/>
      <c r="U30" s="1290"/>
      <c r="V30" s="2634" t="str">
        <f>IF(TITLE_DATE_PR_CHANGE="",IF(TITLE_DATE_PR="","",TITLE_DATE_PR),TITLE_DATE_PR_CHANGE)</f>
        <v/>
      </c>
      <c r="W30" s="2634"/>
      <c r="X30" s="2634"/>
      <c r="Y30" s="2634"/>
      <c r="Z30" s="2634"/>
      <c r="AA30" s="2634"/>
      <c r="AB30" s="2634"/>
      <c r="AC30" s="263"/>
      <c r="AD30" s="2634" t="str">
        <f>IF(TITLE_DATE_PR_CHANGE="",IF(TITLE_DATE_PR="","",TITLE_DATE_PR),TITLE_DATE_PR_CHANGE)</f>
        <v/>
      </c>
      <c r="AE30" s="2634"/>
      <c r="AF30" s="2634"/>
      <c r="AG30" s="2634"/>
      <c r="AH30" s="2634"/>
      <c r="AI30" s="2634"/>
      <c r="AJ30" s="2634"/>
      <c r="AK30" s="263"/>
      <c r="AL30" s="263"/>
      <c r="AM30" s="217"/>
      <c r="AN30" s="304"/>
      <c r="AO30" s="304"/>
      <c r="AP30" s="304"/>
      <c r="AQ30" s="304"/>
      <c r="AR30" s="304"/>
      <c r="AS30" s="354">
        <v>0</v>
      </c>
    </row>
    <row r="31" spans="1:45" s="2416" customFormat="1" ht="18.75" hidden="1" customHeight="1">
      <c r="A31" s="1286"/>
      <c r="B31" s="1286"/>
      <c r="C31" s="1286"/>
      <c r="D31" s="1286"/>
      <c r="E31" s="1286"/>
      <c r="F31" s="1286"/>
      <c r="G31" s="1286"/>
      <c r="H31" s="1286"/>
      <c r="I31" s="1286"/>
      <c r="J31" s="1286"/>
      <c r="K31" s="1286"/>
      <c r="L31" s="1287"/>
      <c r="M31" s="1286"/>
      <c r="N31" s="1286"/>
      <c r="O31" s="1286"/>
      <c r="S31" s="2633" t="s">
        <v>415</v>
      </c>
      <c r="T31" s="2633"/>
      <c r="U31" s="1290"/>
      <c r="V31" s="2635" t="str">
        <f>IF(TITLE_NUMBER_PR_CHANGE="",IF(TITLE_NUMBER_PR="","",TITLE_NUMBER_PR),TITLE_NUMBER_PR_CHANGE)</f>
        <v/>
      </c>
      <c r="W31" s="2635"/>
      <c r="X31" s="2635"/>
      <c r="Y31" s="2635"/>
      <c r="Z31" s="2635"/>
      <c r="AA31" s="2635"/>
      <c r="AB31" s="2635"/>
      <c r="AC31" s="263"/>
      <c r="AD31" s="2635" t="str">
        <f>IF(TITLE_NUMBER_PR_CHANGE="",IF(TITLE_NUMBER_PR="","",TITLE_NUMBER_PR),TITLE_NUMBER_PR_CHANGE)</f>
        <v/>
      </c>
      <c r="AE31" s="2635"/>
      <c r="AF31" s="2635"/>
      <c r="AG31" s="2635"/>
      <c r="AH31" s="2635"/>
      <c r="AI31" s="2635"/>
      <c r="AJ31" s="2635"/>
      <c r="AK31" s="263"/>
      <c r="AL31" s="263"/>
      <c r="AM31" s="217"/>
      <c r="AN31" s="304"/>
      <c r="AO31" s="304"/>
      <c r="AP31" s="304"/>
      <c r="AQ31" s="304"/>
      <c r="AR31" s="304"/>
      <c r="AS31" s="354">
        <v>0</v>
      </c>
    </row>
    <row r="32" spans="1:45" s="2416" customFormat="1" ht="18.75" hidden="1" customHeight="1">
      <c r="A32" s="1286"/>
      <c r="B32" s="1286"/>
      <c r="C32" s="1286"/>
      <c r="D32" s="1286"/>
      <c r="E32" s="1286"/>
      <c r="F32" s="1286"/>
      <c r="G32" s="1286"/>
      <c r="H32" s="1286"/>
      <c r="I32" s="1286"/>
      <c r="J32" s="1286"/>
      <c r="K32" s="1286"/>
      <c r="L32" s="1287"/>
      <c r="M32" s="1286"/>
      <c r="N32" s="1286"/>
      <c r="O32" s="1286"/>
      <c r="S32" s="2633" t="s">
        <v>42</v>
      </c>
      <c r="T32" s="2633"/>
      <c r="U32" s="1290"/>
      <c r="V32" s="2635" t="str">
        <f>IF(TITLE_IST_PUB_CHANGE="",IF(TITLE_IST_PUB="","",TITLE_IST_PUB),TITLE_IST_PUB_CHANGE)</f>
        <v/>
      </c>
      <c r="W32" s="2635"/>
      <c r="X32" s="2635"/>
      <c r="Y32" s="2635"/>
      <c r="Z32" s="2635"/>
      <c r="AA32" s="2635"/>
      <c r="AB32" s="2635"/>
      <c r="AC32" s="263"/>
      <c r="AD32" s="2635" t="str">
        <f>IF(TITLE_IST_PUB_CHANGE="",IF(TITLE_IST_PUB="","",TITLE_IST_PUB),TITLE_IST_PUB_CHANGE)</f>
        <v/>
      </c>
      <c r="AE32" s="2635"/>
      <c r="AF32" s="2635"/>
      <c r="AG32" s="2635"/>
      <c r="AH32" s="2635"/>
      <c r="AI32" s="2635"/>
      <c r="AJ32" s="2635"/>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6" customFormat="1" ht="18.75" hidden="1" customHeight="1">
      <c r="A34" s="1286"/>
      <c r="B34" s="1286"/>
      <c r="C34" s="1286"/>
      <c r="D34" s="1286"/>
      <c r="E34" s="1286"/>
      <c r="F34" s="1286"/>
      <c r="G34" s="1286"/>
      <c r="H34" s="1286"/>
      <c r="I34" s="1286"/>
      <c r="J34" s="1286"/>
      <c r="K34" s="1286"/>
      <c r="L34" s="1287"/>
      <c r="M34" s="1286"/>
      <c r="N34" s="1286"/>
      <c r="O34" s="1286"/>
      <c r="S34" s="2633" t="s">
        <v>416</v>
      </c>
      <c r="T34" s="2633"/>
      <c r="U34" s="1290"/>
      <c r="V34" s="2634" t="str">
        <f>IF(TITLE_DATE_PR_CHANGE="",IF(TITLE_DATE_PR="","",TITLE_DATE_PR),TITLE_DATE_PR_CHANGE)</f>
        <v/>
      </c>
      <c r="W34" s="2634"/>
      <c r="X34" s="2634"/>
      <c r="Y34" s="2634"/>
      <c r="Z34" s="2634"/>
      <c r="AA34" s="2634"/>
      <c r="AB34" s="2634"/>
      <c r="AC34" s="263"/>
      <c r="AD34" s="2634" t="str">
        <f>IF(TITLE_DATE_PR_CHANGE="",IF(TITLE_DATE_PR="","",TITLE_DATE_PR),TITLE_DATE_PR_CHANGE)</f>
        <v/>
      </c>
      <c r="AE34" s="2634"/>
      <c r="AF34" s="2634"/>
      <c r="AG34" s="2634"/>
      <c r="AH34" s="2634"/>
      <c r="AI34" s="2634"/>
      <c r="AJ34" s="2634"/>
      <c r="AK34" s="263"/>
      <c r="AL34" s="263"/>
      <c r="AM34" s="217"/>
      <c r="AN34" s="304"/>
      <c r="AO34" s="304"/>
      <c r="AP34" s="304"/>
      <c r="AQ34" s="304"/>
      <c r="AR34" s="304"/>
      <c r="AS34" s="354">
        <v>0</v>
      </c>
    </row>
    <row r="35" spans="1:45" s="2416" customFormat="1" ht="18.75" hidden="1" customHeight="1">
      <c r="A35" s="1286"/>
      <c r="B35" s="1286"/>
      <c r="C35" s="1286"/>
      <c r="D35" s="1286"/>
      <c r="E35" s="1286"/>
      <c r="F35" s="1286"/>
      <c r="G35" s="1286"/>
      <c r="H35" s="1286"/>
      <c r="I35" s="1286"/>
      <c r="J35" s="1286"/>
      <c r="K35" s="1286"/>
      <c r="L35" s="1287"/>
      <c r="M35" s="1286"/>
      <c r="N35" s="1286"/>
      <c r="O35" s="1286"/>
      <c r="S35" s="2633" t="s">
        <v>417</v>
      </c>
      <c r="T35" s="2633"/>
      <c r="U35" s="1290"/>
      <c r="V35" s="2635" t="str">
        <f>IF(TITLE_NUMBER_PR_CHANGE="",IF(TITLE_NUMBER_PR="","",TITLE_NUMBER_PR),TITLE_NUMBER_PR_CHANGE)</f>
        <v/>
      </c>
      <c r="W35" s="2635"/>
      <c r="X35" s="2635"/>
      <c r="Y35" s="2635"/>
      <c r="Z35" s="2635"/>
      <c r="AA35" s="2635"/>
      <c r="AB35" s="2635"/>
      <c r="AC35" s="263"/>
      <c r="AD35" s="2635" t="str">
        <f>IF(TITLE_NUMBER_PR_CHANGE="",IF(TITLE_NUMBER_PR="","",TITLE_NUMBER_PR),TITLE_NUMBER_PR_CHANGE)</f>
        <v/>
      </c>
      <c r="AE35" s="2635"/>
      <c r="AF35" s="2635"/>
      <c r="AG35" s="2635"/>
      <c r="AH35" s="2635"/>
      <c r="AI35" s="2635"/>
      <c r="AJ35" s="2635"/>
      <c r="AK35" s="263"/>
      <c r="AL35" s="263"/>
      <c r="AM35" s="217"/>
      <c r="AN35" s="304"/>
      <c r="AO35" s="304"/>
      <c r="AP35" s="304"/>
      <c r="AQ35" s="304"/>
      <c r="AR35" s="304"/>
      <c r="AS35" s="354">
        <v>0</v>
      </c>
    </row>
    <row r="36" spans="1:45" s="2416"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418</v>
      </c>
      <c r="AD36" s="263"/>
      <c r="AE36" s="263"/>
      <c r="AF36" s="263"/>
      <c r="AG36" s="263"/>
      <c r="AH36" s="263"/>
      <c r="AI36" s="263"/>
      <c r="AJ36" s="263"/>
      <c r="AK36" s="215" t="s">
        <v>418</v>
      </c>
      <c r="AN36" s="304"/>
      <c r="AO36" s="304"/>
      <c r="AP36" s="304"/>
      <c r="AQ36" s="304"/>
      <c r="AR36" s="304"/>
      <c r="AS36" s="354">
        <v>0</v>
      </c>
    </row>
    <row r="37" spans="1:45" ht="14.65" customHeight="1">
      <c r="Q37" s="312"/>
      <c r="R37" s="312"/>
      <c r="S37" s="1193"/>
      <c r="T37" s="299"/>
      <c r="U37" s="1162"/>
      <c r="V37" s="2654"/>
      <c r="W37" s="2654"/>
      <c r="X37" s="2654"/>
      <c r="Y37" s="2654"/>
      <c r="Z37" s="2654"/>
      <c r="AA37" s="2654"/>
      <c r="AB37" s="2654"/>
      <c r="AC37" s="2654"/>
      <c r="AD37" s="2654"/>
      <c r="AE37" s="2654"/>
      <c r="AF37" s="2654"/>
      <c r="AG37" s="2654"/>
      <c r="AH37" s="2654"/>
      <c r="AI37" s="2654"/>
      <c r="AJ37" s="2654"/>
      <c r="AK37" s="2654"/>
      <c r="AS37" s="1073">
        <v>14</v>
      </c>
    </row>
    <row r="38" spans="1:45" ht="14.65" customHeight="1">
      <c r="Q38" s="312"/>
      <c r="R38" s="312"/>
      <c r="S38" s="2514" t="s">
        <v>291</v>
      </c>
      <c r="T38" s="2514"/>
      <c r="U38" s="2514"/>
      <c r="V38" s="2514"/>
      <c r="W38" s="2514"/>
      <c r="X38" s="2514"/>
      <c r="Y38" s="2514"/>
      <c r="Z38" s="2514"/>
      <c r="AA38" s="2514"/>
      <c r="AB38" s="2514"/>
      <c r="AC38" s="2514"/>
      <c r="AD38" s="2514"/>
      <c r="AE38" s="2514"/>
      <c r="AF38" s="2514"/>
      <c r="AG38" s="2514"/>
      <c r="AH38" s="2514"/>
      <c r="AI38" s="2514"/>
      <c r="AJ38" s="2514"/>
      <c r="AK38" s="2514"/>
      <c r="AL38" s="2514"/>
      <c r="AM38" s="2514" t="s">
        <v>292</v>
      </c>
      <c r="AS38" s="1073">
        <v>14</v>
      </c>
    </row>
    <row r="39" spans="1:45" ht="14.65" customHeight="1">
      <c r="Q39" s="312"/>
      <c r="R39" s="312"/>
      <c r="S39" s="2655" t="s">
        <v>84</v>
      </c>
      <c r="T39" s="2603" t="s">
        <v>419</v>
      </c>
      <c r="U39" s="238"/>
      <c r="V39" s="2656" t="s">
        <v>420</v>
      </c>
      <c r="W39" s="2657"/>
      <c r="X39" s="2657"/>
      <c r="Y39" s="2657"/>
      <c r="Z39" s="2657"/>
      <c r="AA39" s="2657"/>
      <c r="AB39" s="2658"/>
      <c r="AC39" s="2659" t="s">
        <v>421</v>
      </c>
      <c r="AD39" s="2656" t="s">
        <v>420</v>
      </c>
      <c r="AE39" s="2657"/>
      <c r="AF39" s="2657"/>
      <c r="AG39" s="2657"/>
      <c r="AH39" s="2657"/>
      <c r="AI39" s="2657"/>
      <c r="AJ39" s="2658"/>
      <c r="AK39" s="2659" t="s">
        <v>422</v>
      </c>
      <c r="AL39" s="2662" t="s">
        <v>423</v>
      </c>
      <c r="AM39" s="2514"/>
      <c r="AS39" s="1073">
        <v>14</v>
      </c>
    </row>
    <row r="40" spans="1:45" ht="35.65" customHeight="1">
      <c r="Q40" s="312"/>
      <c r="R40" s="312"/>
      <c r="S40" s="2655"/>
      <c r="T40" s="2603"/>
      <c r="U40" s="954"/>
      <c r="V40" s="2573" t="s">
        <v>424</v>
      </c>
      <c r="W40" s="2651"/>
      <c r="X40" s="2496" t="s">
        <v>426</v>
      </c>
      <c r="Y40" s="2495"/>
      <c r="Z40" s="2496" t="s">
        <v>427</v>
      </c>
      <c r="AA40" s="2501"/>
      <c r="AB40" s="2495"/>
      <c r="AC40" s="2660"/>
      <c r="AD40" s="2573" t="s">
        <v>441</v>
      </c>
      <c r="AE40" s="2651"/>
      <c r="AF40" s="2496" t="s">
        <v>426</v>
      </c>
      <c r="AG40" s="2495"/>
      <c r="AH40" s="2496" t="s">
        <v>427</v>
      </c>
      <c r="AI40" s="2501"/>
      <c r="AJ40" s="2495"/>
      <c r="AK40" s="2660"/>
      <c r="AL40" s="2663"/>
      <c r="AM40" s="2514"/>
      <c r="AS40" s="1073">
        <v>34</v>
      </c>
    </row>
    <row r="41" spans="1:45" ht="35.65" customHeight="1">
      <c r="A41" s="1288"/>
      <c r="B41" s="1288" t="s">
        <v>128</v>
      </c>
      <c r="C41" s="1288" t="s">
        <v>129</v>
      </c>
      <c r="D41" s="1288" t="s">
        <v>130</v>
      </c>
      <c r="E41" s="1282" t="s">
        <v>428</v>
      </c>
      <c r="F41" s="1282" t="s">
        <v>429</v>
      </c>
      <c r="G41" s="1282" t="s">
        <v>430</v>
      </c>
      <c r="H41" s="1282" t="s">
        <v>431</v>
      </c>
      <c r="I41" s="1282" t="s">
        <v>432</v>
      </c>
      <c r="J41" s="1282" t="s">
        <v>433</v>
      </c>
      <c r="K41" s="1282" t="s">
        <v>434</v>
      </c>
      <c r="L41" s="1282" t="s">
        <v>409</v>
      </c>
      <c r="Q41" s="312"/>
      <c r="R41" s="312"/>
      <c r="S41" s="2655"/>
      <c r="T41" s="2603"/>
      <c r="U41" s="239"/>
      <c r="V41" s="2628"/>
      <c r="W41" s="2652"/>
      <c r="X41" s="1140" t="s">
        <v>435</v>
      </c>
      <c r="Y41" s="1140" t="s">
        <v>436</v>
      </c>
      <c r="Z41" s="1256" t="s">
        <v>437</v>
      </c>
      <c r="AA41" s="2608" t="s">
        <v>438</v>
      </c>
      <c r="AB41" s="2622"/>
      <c r="AC41" s="2661"/>
      <c r="AD41" s="2628"/>
      <c r="AE41" s="2652"/>
      <c r="AF41" s="1140" t="s">
        <v>435</v>
      </c>
      <c r="AG41" s="1140" t="s">
        <v>436</v>
      </c>
      <c r="AH41" s="1256" t="s">
        <v>437</v>
      </c>
      <c r="AI41" s="2608" t="s">
        <v>438</v>
      </c>
      <c r="AJ41" s="2622"/>
      <c r="AK41" s="2661"/>
      <c r="AL41" s="2664"/>
      <c r="AM41" s="2514"/>
      <c r="AS41" s="1073">
        <v>34</v>
      </c>
    </row>
    <row r="42" spans="1:45" s="243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102</v>
      </c>
      <c r="T42" s="1173" t="s">
        <v>103</v>
      </c>
      <c r="U42" s="1163" t="str">
        <f ca="1">OFFSET(U42,0,-1)</f>
        <v>2</v>
      </c>
      <c r="V42" s="1253">
        <f ca="1">OFFSET(V42,0,-1)+1</f>
        <v>3</v>
      </c>
      <c r="W42" s="1253"/>
      <c r="X42" s="1253">
        <f ca="1">OFFSET(X42,0,-1)+1</f>
        <v>1</v>
      </c>
      <c r="Y42" s="1253">
        <f ca="1">OFFSET(Y42,0,-1)+1</f>
        <v>2</v>
      </c>
      <c r="Z42" s="1253">
        <f ca="1">OFFSET(Z42,0,-1)+1</f>
        <v>3</v>
      </c>
      <c r="AA42" s="2653">
        <f ca="1">OFFSET(AA42,0,-1)+1</f>
        <v>4</v>
      </c>
      <c r="AB42" s="2653"/>
      <c r="AC42" s="1253">
        <f ca="1">OFFSET(AC42,0,-2)+1</f>
        <v>5</v>
      </c>
      <c r="AD42" s="1253">
        <f ca="1">OFFSET(AD42,0,-1)+1</f>
        <v>6</v>
      </c>
      <c r="AE42" s="1253"/>
      <c r="AF42" s="1253">
        <f ca="1">OFFSET(AF42,0,-1)+1</f>
        <v>1</v>
      </c>
      <c r="AG42" s="1253">
        <f ca="1">OFFSET(AG42,0,-1)+1</f>
        <v>2</v>
      </c>
      <c r="AH42" s="1253">
        <f ca="1">OFFSET(AH42,0,-1)+1</f>
        <v>3</v>
      </c>
      <c r="AI42" s="2653">
        <f ca="1">OFFSET(AI42,0,-1)+1</f>
        <v>4</v>
      </c>
      <c r="AJ42" s="2653"/>
      <c r="AK42" s="1253">
        <f ca="1">OFFSET(AK42,0,-2)+1</f>
        <v>5</v>
      </c>
      <c r="AL42" s="1163">
        <f ca="1">OFFSET(AL42,0,-1)</f>
        <v>5</v>
      </c>
      <c r="AM42" s="1253">
        <f ca="1">OFFSET(AM42,0,-1)+1</f>
        <v>6</v>
      </c>
      <c r="AN42" s="447"/>
      <c r="AO42" s="447"/>
      <c r="AP42" s="447"/>
      <c r="AQ42" s="447"/>
      <c r="AR42" s="447"/>
      <c r="AS42" s="432">
        <v>0</v>
      </c>
    </row>
    <row r="43" spans="1:45" ht="21.95" customHeight="1">
      <c r="A43" s="1281" t="s">
        <v>161</v>
      </c>
      <c r="B43" s="1281"/>
      <c r="C43" s="1281"/>
      <c r="D43" s="1281"/>
      <c r="E43" s="2642">
        <v>1</v>
      </c>
      <c r="F43" s="1281"/>
      <c r="G43" s="1281"/>
      <c r="H43" s="1281"/>
      <c r="I43" s="1281"/>
      <c r="J43" s="1281"/>
      <c r="K43" s="1281"/>
      <c r="L43" s="1282"/>
      <c r="M43" s="1283"/>
      <c r="N43" s="1283"/>
      <c r="O43" s="1283"/>
      <c r="P43" s="297"/>
      <c r="Q43" s="296"/>
      <c r="R43" s="291"/>
      <c r="S43" s="1254">
        <f>INDEX(PT_DIFFERENTIATION_NUM_NTAR,MATCH(A43,PT_DIFFERENTIATION_NTAR_ID,0))</f>
        <v>0</v>
      </c>
      <c r="T43" s="235" t="s">
        <v>116</v>
      </c>
      <c r="U43" s="237"/>
      <c r="V43" s="2636"/>
      <c r="W43" s="2637"/>
      <c r="X43" s="2637"/>
      <c r="Y43" s="2637"/>
      <c r="Z43" s="2637"/>
      <c r="AA43" s="2637"/>
      <c r="AB43" s="2637"/>
      <c r="AC43" s="2638"/>
      <c r="AD43" s="2636" t="str">
        <f>INDEX(PT_DIFFERENTIATION_NTAR,MATCH(A43,PT_DIFFERENTIATION_NTAR_ID,0))</f>
        <v/>
      </c>
      <c r="AE43" s="2637"/>
      <c r="AF43" s="2637"/>
      <c r="AG43" s="2637"/>
      <c r="AH43" s="2637"/>
      <c r="AI43" s="2637"/>
      <c r="AJ43" s="2637"/>
      <c r="AK43" s="2637"/>
      <c r="AL43" s="263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161</v>
      </c>
      <c r="B44" s="1281" t="s">
        <v>162</v>
      </c>
      <c r="C44" s="1281"/>
      <c r="D44" s="1281"/>
      <c r="E44" s="2643"/>
      <c r="F44" s="2642">
        <v>1</v>
      </c>
      <c r="G44" s="1281"/>
      <c r="H44" s="1281"/>
      <c r="I44" s="1281"/>
      <c r="J44" s="1281"/>
      <c r="K44" s="1281"/>
      <c r="L44" s="1282"/>
      <c r="M44" s="1283"/>
      <c r="N44" s="1283"/>
      <c r="O44" s="1283"/>
      <c r="P44" s="1250"/>
      <c r="Q44" s="288"/>
      <c r="R44" s="289"/>
      <c r="S44" s="1254" t="str">
        <f>INDEX(PT_DIFFERENTIATION_NUM_TER,MATCH(B44,PT_DIFFERENTIATION_TER_ID,0))</f>
        <v>.</v>
      </c>
      <c r="T44" s="245" t="s">
        <v>388</v>
      </c>
      <c r="U44" s="237"/>
      <c r="V44" s="2636"/>
      <c r="W44" s="2637"/>
      <c r="X44" s="2637"/>
      <c r="Y44" s="2637"/>
      <c r="Z44" s="2637"/>
      <c r="AA44" s="2637"/>
      <c r="AB44" s="2637"/>
      <c r="AC44" s="2638"/>
      <c r="AD44" s="2636" t="str">
        <f>INDEX(PT_DIFFERENTIATION_TER,MATCH(B44,PT_DIFFERENTIATION_TER_ID,0))</f>
        <v/>
      </c>
      <c r="AE44" s="2637"/>
      <c r="AF44" s="2637"/>
      <c r="AG44" s="2637"/>
      <c r="AH44" s="2637"/>
      <c r="AI44" s="2637"/>
      <c r="AJ44" s="2637"/>
      <c r="AK44" s="2637"/>
      <c r="AL44" s="2638"/>
      <c r="AM44" s="1176" t="s">
        <v>389</v>
      </c>
      <c r="AO44" s="436"/>
      <c r="AP44" s="436" t="str">
        <f t="shared" si="1"/>
        <v>Территория действия тарифа</v>
      </c>
      <c r="AQ44" s="436"/>
      <c r="AR44" s="436"/>
      <c r="AS44" s="1073">
        <v>21</v>
      </c>
    </row>
    <row r="45" spans="1:45" ht="24" customHeight="1">
      <c r="A45" s="1281" t="s">
        <v>161</v>
      </c>
      <c r="B45" s="1281" t="s">
        <v>162</v>
      </c>
      <c r="C45" s="1281" t="s">
        <v>163</v>
      </c>
      <c r="D45" s="1281"/>
      <c r="E45" s="2643"/>
      <c r="F45" s="2643"/>
      <c r="G45" s="2642">
        <v>1</v>
      </c>
      <c r="H45" s="1281"/>
      <c r="I45" s="1281"/>
      <c r="J45" s="1281"/>
      <c r="K45" s="1281"/>
      <c r="L45" s="1282"/>
      <c r="M45" s="1283"/>
      <c r="N45" s="1283"/>
      <c r="O45" s="1283"/>
      <c r="P45" s="290"/>
      <c r="Q45" s="288"/>
      <c r="R45" s="289"/>
      <c r="S45" s="1254" t="str">
        <f>INDEX(PT_DIFFERENTIATION_NUM_CS,MATCH(C45,PT_DIFFERENTIATION_CS_ID,0))</f>
        <v>..</v>
      </c>
      <c r="T45" s="246" t="s">
        <v>390</v>
      </c>
      <c r="U45" s="237"/>
      <c r="V45" s="2636"/>
      <c r="W45" s="2637"/>
      <c r="X45" s="2637"/>
      <c r="Y45" s="2637"/>
      <c r="Z45" s="2637"/>
      <c r="AA45" s="2637"/>
      <c r="AB45" s="2637"/>
      <c r="AC45" s="2638"/>
      <c r="AD45" s="2636" t="str">
        <f>INDEX(PT_DIFFERENTIATION_CS,MATCH(C45,PT_DIFFERENTIATION_CS_ID,0))</f>
        <v/>
      </c>
      <c r="AE45" s="2637"/>
      <c r="AF45" s="2637"/>
      <c r="AG45" s="2637"/>
      <c r="AH45" s="2637"/>
      <c r="AI45" s="2637"/>
      <c r="AJ45" s="2637"/>
      <c r="AK45" s="2637"/>
      <c r="AL45" s="2638"/>
      <c r="AM45" s="1176" t="s">
        <v>391</v>
      </c>
      <c r="AO45" s="436"/>
      <c r="AP45" s="436" t="str">
        <f t="shared" si="1"/>
        <v xml:space="preserve">Наименование системы теплоснабжения </v>
      </c>
      <c r="AQ45" s="436"/>
      <c r="AR45" s="436"/>
      <c r="AS45" s="1073">
        <v>23</v>
      </c>
    </row>
    <row r="46" spans="1:45" ht="21.95" customHeight="1">
      <c r="A46" s="1281" t="s">
        <v>161</v>
      </c>
      <c r="B46" s="1281" t="s">
        <v>162</v>
      </c>
      <c r="C46" s="1281" t="s">
        <v>163</v>
      </c>
      <c r="D46" s="1281" t="s">
        <v>164</v>
      </c>
      <c r="E46" s="2643"/>
      <c r="F46" s="2643"/>
      <c r="G46" s="2643"/>
      <c r="H46" s="2642">
        <v>1</v>
      </c>
      <c r="I46" s="1281"/>
      <c r="J46" s="1281"/>
      <c r="K46" s="1281"/>
      <c r="L46" s="1282"/>
      <c r="M46" s="1283"/>
      <c r="N46" s="1283"/>
      <c r="O46" s="1283"/>
      <c r="P46" s="290"/>
      <c r="Q46" s="288"/>
      <c r="R46" s="289"/>
      <c r="S46" s="1254" t="str">
        <f>INDEX(PT_DIFFERENTIATION_NUM_IST_TE,MATCH(D46,PT_DIFFERENTIATION_IST_TE_ID,0))</f>
        <v>...</v>
      </c>
      <c r="T46" s="247" t="s">
        <v>392</v>
      </c>
      <c r="U46" s="237"/>
      <c r="V46" s="2636"/>
      <c r="W46" s="2637"/>
      <c r="X46" s="2637"/>
      <c r="Y46" s="2637"/>
      <c r="Z46" s="2637"/>
      <c r="AA46" s="2637"/>
      <c r="AB46" s="2637"/>
      <c r="AC46" s="2638"/>
      <c r="AD46" s="2636" t="str">
        <f>INDEX(PT_DIFFERENTIATION_IST_TE,MATCH(D46,PT_DIFFERENTIATION_IST_TE_ID,0))</f>
        <v/>
      </c>
      <c r="AE46" s="2637"/>
      <c r="AF46" s="2637"/>
      <c r="AG46" s="2637"/>
      <c r="AH46" s="2637"/>
      <c r="AI46" s="2637"/>
      <c r="AJ46" s="2637"/>
      <c r="AK46" s="2637"/>
      <c r="AL46" s="2638"/>
      <c r="AM46" s="1176" t="s">
        <v>393</v>
      </c>
      <c r="AO46" s="436"/>
      <c r="AP46" s="436" t="str">
        <f t="shared" si="1"/>
        <v xml:space="preserve">Источник тепловой энергии  </v>
      </c>
      <c r="AQ46" s="436"/>
      <c r="AR46" s="436"/>
      <c r="AS46" s="1073">
        <v>21</v>
      </c>
    </row>
    <row r="47" spans="1:45" s="2407" customFormat="1" ht="0" hidden="1" customHeight="1">
      <c r="A47" s="1261" t="s">
        <v>161</v>
      </c>
      <c r="B47" s="1261" t="s">
        <v>162</v>
      </c>
      <c r="C47" s="1261" t="s">
        <v>163</v>
      </c>
      <c r="D47" s="1261" t="s">
        <v>164</v>
      </c>
      <c r="E47" s="2643"/>
      <c r="F47" s="2643"/>
      <c r="G47" s="2643"/>
      <c r="H47" s="2643"/>
      <c r="I47" s="2644" t="str">
        <f>S46&amp;".1"</f>
        <v>....1</v>
      </c>
      <c r="J47" s="1261"/>
      <c r="K47" s="1261"/>
      <c r="L47" s="1264" t="s">
        <v>394</v>
      </c>
      <c r="M47" s="446"/>
      <c r="N47" s="446"/>
      <c r="O47" s="446"/>
      <c r="P47" s="2646">
        <v>1</v>
      </c>
      <c r="Q47" s="1249"/>
      <c r="R47" s="292"/>
      <c r="S47" s="965"/>
      <c r="T47" s="1301"/>
      <c r="U47" s="1302"/>
      <c r="V47" s="2673"/>
      <c r="W47" s="2674"/>
      <c r="X47" s="2674"/>
      <c r="Y47" s="2674"/>
      <c r="Z47" s="2674"/>
      <c r="AA47" s="2674"/>
      <c r="AB47" s="2674"/>
      <c r="AC47" s="2675"/>
      <c r="AD47" s="2673"/>
      <c r="AE47" s="2674"/>
      <c r="AF47" s="2674"/>
      <c r="AG47" s="2674"/>
      <c r="AH47" s="2674"/>
      <c r="AI47" s="2674"/>
      <c r="AJ47" s="2674"/>
      <c r="AK47" s="2674"/>
      <c r="AL47" s="2675"/>
      <c r="AM47" s="1303"/>
      <c r="AO47" s="436"/>
      <c r="AP47" s="436" t="str">
        <f t="shared" si="1"/>
        <v/>
      </c>
      <c r="AQ47" s="436"/>
      <c r="AR47" s="436"/>
      <c r="AS47" s="447">
        <v>0</v>
      </c>
    </row>
    <row r="48" spans="1:45" ht="21.95" customHeight="1">
      <c r="A48" s="1281" t="s">
        <v>161</v>
      </c>
      <c r="B48" s="1281" t="s">
        <v>162</v>
      </c>
      <c r="C48" s="1281" t="s">
        <v>163</v>
      </c>
      <c r="D48" s="1281" t="s">
        <v>164</v>
      </c>
      <c r="E48" s="2643"/>
      <c r="F48" s="2643"/>
      <c r="G48" s="2643"/>
      <c r="H48" s="2643"/>
      <c r="I48" s="2645"/>
      <c r="J48" s="2644" t="str">
        <f>S46&amp;".1"</f>
        <v>....1</v>
      </c>
      <c r="K48" s="1281"/>
      <c r="L48" s="1282" t="s">
        <v>397</v>
      </c>
      <c r="P48" s="2646"/>
      <c r="Q48" s="2646">
        <v>1</v>
      </c>
      <c r="R48" s="293"/>
      <c r="S48" s="1254" t="str">
        <f>$J48</f>
        <v>....1</v>
      </c>
      <c r="T48" s="223" t="s">
        <v>398</v>
      </c>
      <c r="U48" s="237"/>
      <c r="V48" s="2630"/>
      <c r="W48" s="2631"/>
      <c r="X48" s="2631"/>
      <c r="Y48" s="2631"/>
      <c r="Z48" s="2631"/>
      <c r="AA48" s="2631"/>
      <c r="AB48" s="2631"/>
      <c r="AC48" s="2632"/>
      <c r="AD48" s="2630"/>
      <c r="AE48" s="2631"/>
      <c r="AF48" s="2631"/>
      <c r="AG48" s="2631"/>
      <c r="AH48" s="2631"/>
      <c r="AI48" s="2631"/>
      <c r="AJ48" s="2631"/>
      <c r="AK48" s="2631"/>
      <c r="AL48" s="2632"/>
      <c r="AM48" s="1176" t="s">
        <v>399</v>
      </c>
      <c r="AO48" s="436"/>
      <c r="AP48" s="436" t="str">
        <f t="shared" si="1"/>
        <v>Группа потребителей</v>
      </c>
      <c r="AQ48" s="436"/>
      <c r="AR48" s="436"/>
      <c r="AS48" s="1073">
        <v>21</v>
      </c>
    </row>
    <row r="49" spans="1:45" ht="21.95" customHeight="1">
      <c r="A49" s="1281" t="s">
        <v>161</v>
      </c>
      <c r="B49" s="1281" t="s">
        <v>162</v>
      </c>
      <c r="C49" s="1281" t="s">
        <v>163</v>
      </c>
      <c r="D49" s="1281" t="s">
        <v>164</v>
      </c>
      <c r="E49" s="2643"/>
      <c r="F49" s="2643"/>
      <c r="G49" s="2643"/>
      <c r="H49" s="2643"/>
      <c r="I49" s="2645"/>
      <c r="J49" s="2645"/>
      <c r="K49" s="2644" t="str">
        <f>J48&amp;".1"</f>
        <v>....1.1</v>
      </c>
      <c r="L49" s="1282" t="s">
        <v>400</v>
      </c>
      <c r="P49" s="2646"/>
      <c r="Q49" s="2646"/>
      <c r="R49" s="293">
        <v>1</v>
      </c>
      <c r="S49" s="1254" t="str">
        <f>$K49</f>
        <v>....1.1</v>
      </c>
      <c r="T49" s="1265"/>
      <c r="U49" s="237"/>
      <c r="V49" s="687"/>
      <c r="W49" s="262"/>
      <c r="X49" s="687"/>
      <c r="Y49" s="1175"/>
      <c r="Z49" s="2647"/>
      <c r="AA49" s="2524" t="s">
        <v>65</v>
      </c>
      <c r="AB49" s="2647"/>
      <c r="AC49" s="2524" t="s">
        <v>65</v>
      </c>
      <c r="AD49" s="687"/>
      <c r="AE49" s="262"/>
      <c r="AF49" s="687"/>
      <c r="AG49" s="1175"/>
      <c r="AH49" s="2647"/>
      <c r="AI49" s="2524" t="s">
        <v>65</v>
      </c>
      <c r="AJ49" s="2649"/>
      <c r="AK49" s="2524" t="s">
        <v>65</v>
      </c>
      <c r="AL49" s="1266"/>
      <c r="AM49" s="2665" t="s">
        <v>442</v>
      </c>
      <c r="AN49" s="447" t="e">
        <f ca="1">STRCHECKDATE(V50:AL50)</f>
        <v>#NAME?</v>
      </c>
      <c r="AO49" s="436"/>
      <c r="AP49" s="436" t="str">
        <f t="shared" si="1"/>
        <v/>
      </c>
      <c r="AQ49" s="436"/>
      <c r="AR49" s="436"/>
      <c r="AS49" s="1073">
        <v>21</v>
      </c>
    </row>
    <row r="50" spans="1:45" ht="1.1499999999999999" customHeight="1">
      <c r="A50" s="1281" t="s">
        <v>161</v>
      </c>
      <c r="B50" s="1281" t="s">
        <v>162</v>
      </c>
      <c r="C50" s="1281" t="s">
        <v>163</v>
      </c>
      <c r="D50" s="1281" t="s">
        <v>164</v>
      </c>
      <c r="E50" s="2643"/>
      <c r="F50" s="2643"/>
      <c r="G50" s="2643"/>
      <c r="H50" s="2643"/>
      <c r="I50" s="2645"/>
      <c r="J50" s="2645"/>
      <c r="K50" s="2644"/>
      <c r="L50" s="1282"/>
      <c r="P50" s="2646"/>
      <c r="Q50" s="2646"/>
      <c r="R50" s="293"/>
      <c r="S50" s="1260"/>
      <c r="T50" s="237"/>
      <c r="U50" s="237"/>
      <c r="V50" s="262"/>
      <c r="W50" s="262"/>
      <c r="X50" s="262"/>
      <c r="Y50" s="265" t="str">
        <f>Z49&amp;"-"&amp;AB49</f>
        <v>-</v>
      </c>
      <c r="Z50" s="2648"/>
      <c r="AA50" s="2524"/>
      <c r="AB50" s="2648"/>
      <c r="AC50" s="2524"/>
      <c r="AD50" s="262"/>
      <c r="AE50" s="262"/>
      <c r="AF50" s="262"/>
      <c r="AG50" s="265" t="str">
        <f>AH49&amp;"-"&amp;AJ49</f>
        <v>-</v>
      </c>
      <c r="AH50" s="2648"/>
      <c r="AI50" s="2524"/>
      <c r="AJ50" s="2650"/>
      <c r="AK50" s="2524"/>
      <c r="AL50" s="1267"/>
      <c r="AM50" s="2666"/>
      <c r="AO50" s="436"/>
      <c r="AP50" s="436" t="str">
        <f t="shared" si="1"/>
        <v/>
      </c>
      <c r="AQ50" s="436"/>
      <c r="AR50" s="436"/>
      <c r="AS50" s="1073">
        <v>1</v>
      </c>
    </row>
    <row r="51" spans="1:45" ht="11.45" customHeight="1">
      <c r="A51" s="1281" t="s">
        <v>161</v>
      </c>
      <c r="B51" s="1281" t="s">
        <v>162</v>
      </c>
      <c r="C51" s="1281" t="s">
        <v>163</v>
      </c>
      <c r="D51" s="1281" t="s">
        <v>164</v>
      </c>
      <c r="E51" s="2643"/>
      <c r="F51" s="2643"/>
      <c r="G51" s="2643"/>
      <c r="H51" s="2643"/>
      <c r="I51" s="2645"/>
      <c r="J51" s="2644"/>
      <c r="K51" s="1281"/>
      <c r="L51" s="1282"/>
      <c r="P51" s="2646"/>
      <c r="Q51" s="2646"/>
      <c r="R51" s="292"/>
      <c r="S51" s="1196"/>
      <c r="T51" s="224" t="s">
        <v>402</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73">
        <v>11</v>
      </c>
    </row>
    <row r="52" spans="1:45" ht="11.45" customHeight="1">
      <c r="A52" s="1281" t="s">
        <v>161</v>
      </c>
      <c r="B52" s="1281" t="s">
        <v>162</v>
      </c>
      <c r="C52" s="1281" t="s">
        <v>163</v>
      </c>
      <c r="D52" s="1281" t="s">
        <v>164</v>
      </c>
      <c r="E52" s="2643"/>
      <c r="F52" s="2643"/>
      <c r="G52" s="2643"/>
      <c r="H52" s="2643"/>
      <c r="I52" s="2644"/>
      <c r="J52" s="1281"/>
      <c r="K52" s="1281"/>
      <c r="L52" s="1282"/>
      <c r="P52" s="2646"/>
      <c r="Q52" s="1249"/>
      <c r="R52" s="292"/>
      <c r="S52" s="1196"/>
      <c r="T52" s="301"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161</v>
      </c>
      <c r="B53" s="1281" t="s">
        <v>162</v>
      </c>
      <c r="C53" s="1281" t="s">
        <v>163</v>
      </c>
      <c r="D53" s="1281" t="s">
        <v>164</v>
      </c>
      <c r="E53" s="2643"/>
      <c r="F53" s="2643"/>
      <c r="G53" s="2643"/>
      <c r="H53" s="2642"/>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407" customFormat="1" ht="1.1499999999999999" customHeight="1">
      <c r="A54" s="1261" t="s">
        <v>161</v>
      </c>
      <c r="B54" s="1261" t="s">
        <v>162</v>
      </c>
      <c r="C54" s="1261" t="s">
        <v>163</v>
      </c>
      <c r="D54" s="1232"/>
      <c r="E54" s="2643"/>
      <c r="F54" s="2643"/>
      <c r="G54" s="2642"/>
      <c r="H54" s="1232"/>
      <c r="I54" s="1232"/>
      <c r="J54" s="1232"/>
      <c r="K54" s="1232"/>
      <c r="L54" s="1257"/>
      <c r="M54" s="1233"/>
      <c r="N54" s="1233"/>
      <c r="P54" s="1234"/>
      <c r="Q54" s="1235"/>
      <c r="R54" s="1234"/>
      <c r="S54" s="1240"/>
      <c r="T54" s="1243" t="s">
        <v>405</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407" customFormat="1" ht="1.1499999999999999" customHeight="1">
      <c r="A55" s="1261" t="s">
        <v>161</v>
      </c>
      <c r="B55" s="1261" t="s">
        <v>162</v>
      </c>
      <c r="C55" s="1232"/>
      <c r="D55" s="1232"/>
      <c r="E55" s="2643"/>
      <c r="F55" s="2642"/>
      <c r="G55" s="1232"/>
      <c r="H55" s="1232"/>
      <c r="I55" s="1232"/>
      <c r="J55" s="1232"/>
      <c r="K55" s="1232"/>
      <c r="L55" s="1257"/>
      <c r="M55" s="1239"/>
      <c r="N55" s="1239"/>
      <c r="P55" s="1234"/>
      <c r="Q55" s="1235"/>
      <c r="R55" s="1234"/>
      <c r="S55" s="1240"/>
      <c r="T55" s="1243" t="s">
        <v>406</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407" customFormat="1" ht="1.1499999999999999" customHeight="1">
      <c r="A56" s="1261" t="s">
        <v>161</v>
      </c>
      <c r="B56" s="1261"/>
      <c r="C56" s="1261"/>
      <c r="D56" s="1261"/>
      <c r="E56" s="2642"/>
      <c r="F56" s="1261"/>
      <c r="G56" s="1261"/>
      <c r="H56" s="1261"/>
      <c r="I56" s="1261"/>
      <c r="J56" s="1261"/>
      <c r="K56" s="1261"/>
      <c r="L56" s="1264"/>
      <c r="M56" s="1239"/>
      <c r="N56" s="1239"/>
      <c r="O56" s="454"/>
      <c r="P56" s="316"/>
      <c r="Q56" s="1262"/>
      <c r="R56" s="316"/>
      <c r="S56" s="1240"/>
      <c r="T56" s="1243" t="s">
        <v>407</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40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439</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19.899999999999999" customHeight="1">
      <c r="O59" s="473"/>
      <c r="S59" s="1171"/>
      <c r="T59" s="2641"/>
      <c r="U59" s="2641"/>
      <c r="V59" s="2641"/>
      <c r="W59" s="2641"/>
      <c r="X59" s="2641"/>
      <c r="Y59" s="2641"/>
      <c r="Z59" s="2641"/>
      <c r="AA59" s="2641"/>
      <c r="AB59" s="2641"/>
      <c r="AC59" s="2641"/>
      <c r="AD59" s="2641"/>
      <c r="AE59" s="2641"/>
      <c r="AF59" s="2641"/>
      <c r="AG59" s="2641"/>
      <c r="AH59" s="2641"/>
      <c r="AI59" s="2641"/>
      <c r="AJ59" s="2641"/>
      <c r="AK59" s="2641"/>
      <c r="AL59" s="2641"/>
      <c r="AM59" s="2641"/>
      <c r="AS59" s="1073">
        <v>19</v>
      </c>
    </row>
    <row r="60" spans="1:45" ht="29.25" customHeight="1">
      <c r="O60" s="473"/>
      <c r="T60" s="2641"/>
      <c r="U60" s="2641"/>
      <c r="V60" s="2641"/>
      <c r="W60" s="2641"/>
      <c r="X60" s="2641"/>
      <c r="Y60" s="2641"/>
      <c r="Z60" s="2641"/>
      <c r="AA60" s="2641"/>
      <c r="AB60" s="2641"/>
      <c r="AC60" s="2641"/>
      <c r="AD60" s="2641"/>
      <c r="AE60" s="2641"/>
      <c r="AF60" s="2641"/>
      <c r="AG60" s="2641"/>
      <c r="AH60" s="2641"/>
      <c r="AI60" s="2641"/>
      <c r="AJ60" s="2641"/>
      <c r="AK60" s="2641"/>
      <c r="AL60" s="2641"/>
      <c r="AM60" s="2641"/>
      <c r="AS60" s="1073">
        <v>28</v>
      </c>
    </row>
    <row r="61" spans="1:45" ht="42" customHeight="1">
      <c r="O61" s="473"/>
      <c r="T61" s="2641"/>
      <c r="U61" s="2641"/>
      <c r="V61" s="2641"/>
      <c r="W61" s="2641"/>
      <c r="X61" s="2641"/>
      <c r="Y61" s="2641"/>
      <c r="Z61" s="2641"/>
      <c r="AA61" s="2641"/>
      <c r="AB61" s="2641"/>
      <c r="AC61" s="2641"/>
      <c r="AD61" s="2641"/>
      <c r="AE61" s="2641"/>
      <c r="AF61" s="2641"/>
      <c r="AG61" s="2641"/>
      <c r="AH61" s="2641"/>
      <c r="AI61" s="2641"/>
      <c r="AJ61" s="2641"/>
      <c r="AK61" s="2641"/>
      <c r="AL61" s="2641"/>
      <c r="AM61" s="2641"/>
      <c r="AS61" s="1073">
        <v>40</v>
      </c>
    </row>
    <row r="62" spans="1:45" ht="14.65" customHeight="1">
      <c r="O62" s="473"/>
      <c r="AS62" s="1073">
        <v>14</v>
      </c>
    </row>
    <row r="63" spans="1:45" ht="21" customHeight="1">
      <c r="O63" s="473"/>
      <c r="S63" s="1171"/>
      <c r="T63" s="2554"/>
      <c r="U63" s="2641"/>
      <c r="V63" s="2641"/>
      <c r="W63" s="2641"/>
      <c r="X63" s="2641"/>
      <c r="Y63" s="2641"/>
      <c r="Z63" s="2641"/>
      <c r="AA63" s="2641"/>
      <c r="AB63" s="2641"/>
      <c r="AC63" s="2641"/>
      <c r="AD63" s="2641"/>
      <c r="AE63" s="2641"/>
      <c r="AF63" s="2641"/>
      <c r="AG63" s="2641"/>
      <c r="AH63" s="2641"/>
      <c r="AI63" s="2641"/>
      <c r="AJ63" s="2641"/>
      <c r="AK63" s="2641"/>
      <c r="AL63" s="2641"/>
      <c r="AM63" s="2641"/>
      <c r="AS63" s="1073">
        <v>20</v>
      </c>
    </row>
    <row r="64" spans="1:45" ht="29.25" customHeight="1">
      <c r="O64" s="473"/>
      <c r="T64" s="2641"/>
      <c r="U64" s="2641"/>
      <c r="V64" s="2641"/>
      <c r="W64" s="2641"/>
      <c r="X64" s="2641"/>
      <c r="Y64" s="2641"/>
      <c r="Z64" s="2641"/>
      <c r="AA64" s="2641"/>
      <c r="AB64" s="2641"/>
      <c r="AC64" s="2641"/>
      <c r="AD64" s="2641"/>
      <c r="AE64" s="2641"/>
      <c r="AF64" s="2641"/>
      <c r="AG64" s="2641"/>
      <c r="AH64" s="2641"/>
      <c r="AI64" s="2641"/>
      <c r="AJ64" s="2641"/>
      <c r="AK64" s="2641"/>
      <c r="AL64" s="2641"/>
      <c r="AM64" s="2641"/>
      <c r="AS64" s="1073">
        <v>28</v>
      </c>
    </row>
    <row r="65" spans="1:45" ht="35.65" customHeight="1">
      <c r="T65" s="2641"/>
      <c r="U65" s="2641"/>
      <c r="V65" s="2641"/>
      <c r="W65" s="2641"/>
      <c r="X65" s="2641"/>
      <c r="Y65" s="2641"/>
      <c r="Z65" s="2641"/>
      <c r="AA65" s="2641"/>
      <c r="AB65" s="2641"/>
      <c r="AC65" s="2641"/>
      <c r="AD65" s="2641"/>
      <c r="AE65" s="2641"/>
      <c r="AF65" s="2641"/>
      <c r="AG65" s="2641"/>
      <c r="AH65" s="2641"/>
      <c r="AI65" s="2641"/>
      <c r="AJ65" s="2641"/>
      <c r="AK65" s="2641"/>
      <c r="AL65" s="2641"/>
      <c r="AM65" s="2641"/>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2" style="2406" hidden="1" customWidth="1"/>
    <col min="10" max="10" width="9.85546875" style="2406" hidden="1" customWidth="1"/>
    <col min="11" max="11" width="11.42578125" style="2406" hidden="1" customWidth="1"/>
    <col min="12" max="12" width="19.140625" style="2432" hidden="1" customWidth="1"/>
    <col min="13" max="14" width="12.28515625" style="2433" hidden="1" customWidth="1"/>
    <col min="15" max="15" width="23.42578125" style="2433" hidden="1" customWidth="1"/>
    <col min="16" max="16" width="3.7109375" style="2434" hidden="1" customWidth="1"/>
    <col min="17" max="18" width="3" style="2435" customWidth="1"/>
    <col min="19" max="19" width="12" style="2436" customWidth="1"/>
    <col min="20" max="20" width="31" style="2400" customWidth="1"/>
    <col min="21" max="21" width="0.140625" style="2400" customWidth="1"/>
    <col min="22" max="22" width="24.7109375" style="2400" hidden="1" customWidth="1"/>
    <col min="23" max="23" width="0.140625" style="2400" hidden="1" customWidth="1"/>
    <col min="24" max="25" width="24.7109375" style="2400" hidden="1" customWidth="1"/>
    <col min="26" max="26" width="11.7109375" style="2400" hidden="1" customWidth="1"/>
    <col min="27" max="27" width="3.7109375" style="2400" hidden="1" customWidth="1"/>
    <col min="28" max="28" width="11.7109375" style="2400" hidden="1" customWidth="1"/>
    <col min="29" max="29" width="8.5703125" style="2400" hidden="1" customWidth="1"/>
    <col min="30" max="30" width="24.7109375" style="2400" customWidth="1"/>
    <col min="31" max="31" width="0.140625" style="2400" customWidth="1"/>
    <col min="32" max="33" width="24" style="2400" customWidth="1"/>
    <col min="34" max="34" width="11" style="2400" customWidth="1"/>
    <col min="35" max="35" width="3.7109375" style="2400" customWidth="1"/>
    <col min="36" max="36" width="11" style="2400" customWidth="1"/>
    <col min="37" max="37" width="8.5703125" style="2400" hidden="1" customWidth="1"/>
    <col min="38" max="38" width="4" style="2400" customWidth="1"/>
    <col min="39" max="39" width="115" style="2400" customWidth="1"/>
    <col min="40" max="44" width="10" style="2407" customWidth="1"/>
    <col min="45" max="45" width="10.5703125" style="2400" hidden="1"/>
  </cols>
  <sheetData>
    <row r="1" spans="1:45" ht="22.5" hidden="1" customHeight="1">
      <c r="A1" s="1786"/>
      <c r="Y1" s="264"/>
      <c r="Z1" s="264"/>
      <c r="AG1" s="264"/>
      <c r="AH1" s="264"/>
      <c r="AS1" s="1073" t="s">
        <v>14</v>
      </c>
    </row>
    <row r="2" spans="1:45" ht="21" hidden="1" customHeight="1">
      <c r="A2" s="1281"/>
      <c r="B2" s="1281"/>
      <c r="C2" s="1281"/>
      <c r="D2" s="1281"/>
      <c r="E2" s="2642">
        <v>1</v>
      </c>
      <c r="F2" s="1281"/>
      <c r="G2" s="1281"/>
      <c r="H2" s="1281"/>
      <c r="I2" s="1281"/>
      <c r="J2" s="1281"/>
      <c r="K2" s="1281"/>
      <c r="L2" s="1282"/>
      <c r="M2" s="1283"/>
      <c r="N2" s="1283"/>
      <c r="O2" s="1283"/>
      <c r="P2" s="297"/>
      <c r="Q2" s="296"/>
      <c r="R2" s="291"/>
      <c r="S2" s="1254" t="e">
        <f>INDEX(PT_DIFFERENTIATION_NUM_NTAR,MATCH(A2,PT_DIFFERENTIATION_NTAR_ID,0))</f>
        <v>#N/A</v>
      </c>
      <c r="T2" s="235" t="s">
        <v>116</v>
      </c>
      <c r="U2" s="237"/>
      <c r="V2" s="2636"/>
      <c r="W2" s="2637"/>
      <c r="X2" s="2637"/>
      <c r="Y2" s="2637"/>
      <c r="Z2" s="2637"/>
      <c r="AA2" s="2637"/>
      <c r="AB2" s="2637"/>
      <c r="AC2" s="2638"/>
      <c r="AD2" s="2636" t="e">
        <f>INDEX(PT_DIFFERENTIATION_NTAR,MATCH(A2,PT_DIFFERENTIATION_NTAR_ID,0))</f>
        <v>#N/A</v>
      </c>
      <c r="AE2" s="2637"/>
      <c r="AF2" s="2637"/>
      <c r="AG2" s="2637"/>
      <c r="AH2" s="2637"/>
      <c r="AI2" s="2637"/>
      <c r="AJ2" s="2637"/>
      <c r="AK2" s="2637"/>
      <c r="AL2" s="2638"/>
      <c r="AM2" s="1176" t="s">
        <v>387</v>
      </c>
      <c r="AO2" s="436"/>
      <c r="AP2" s="436" t="str">
        <f t="shared" ref="AP2:AP15" si="0">IF(T2="","",T2)</f>
        <v>Наименование тарифа</v>
      </c>
      <c r="AQ2" s="436"/>
      <c r="AR2" s="436"/>
      <c r="AS2" s="1073">
        <v>0</v>
      </c>
    </row>
    <row r="3" spans="1:45" ht="21" hidden="1" customHeight="1">
      <c r="A3" s="1281"/>
      <c r="B3" s="1281"/>
      <c r="C3" s="1281"/>
      <c r="D3" s="1281"/>
      <c r="E3" s="2643"/>
      <c r="F3" s="2642">
        <v>1</v>
      </c>
      <c r="G3" s="1281"/>
      <c r="H3" s="1281"/>
      <c r="I3" s="1281"/>
      <c r="J3" s="1281"/>
      <c r="K3" s="1281"/>
      <c r="L3" s="1282"/>
      <c r="M3" s="1283"/>
      <c r="N3" s="1283"/>
      <c r="O3" s="1283"/>
      <c r="P3" s="1250"/>
      <c r="Q3" s="288"/>
      <c r="R3" s="289"/>
      <c r="S3" s="1254" t="e">
        <f>INDEX(PT_DIFFERENTIATION_NUM_TER,MATCH(B3,PT_DIFFERENTIATION_TER_ID,0))</f>
        <v>#N/A</v>
      </c>
      <c r="T3" s="245" t="s">
        <v>388</v>
      </c>
      <c r="U3" s="237"/>
      <c r="V3" s="2636"/>
      <c r="W3" s="2637"/>
      <c r="X3" s="2637"/>
      <c r="Y3" s="2637"/>
      <c r="Z3" s="2637"/>
      <c r="AA3" s="2637"/>
      <c r="AB3" s="2637"/>
      <c r="AC3" s="2638"/>
      <c r="AD3" s="2636" t="e">
        <f>INDEX(PT_DIFFERENTIATION_TER,MATCH(B3,PT_DIFFERENTIATION_TER_ID,0))</f>
        <v>#N/A</v>
      </c>
      <c r="AE3" s="2637"/>
      <c r="AF3" s="2637"/>
      <c r="AG3" s="2637"/>
      <c r="AH3" s="2637"/>
      <c r="AI3" s="2637"/>
      <c r="AJ3" s="2637"/>
      <c r="AK3" s="2637"/>
      <c r="AL3" s="2638"/>
      <c r="AM3" s="1176" t="s">
        <v>389</v>
      </c>
      <c r="AO3" s="436"/>
      <c r="AP3" s="436" t="str">
        <f t="shared" si="0"/>
        <v>Территория действия тарифа</v>
      </c>
      <c r="AQ3" s="436"/>
      <c r="AR3" s="436"/>
      <c r="AS3" s="1073">
        <v>0</v>
      </c>
    </row>
    <row r="4" spans="1:45" ht="23.25" hidden="1" customHeight="1">
      <c r="A4" s="1281"/>
      <c r="B4" s="1281"/>
      <c r="C4" s="1281"/>
      <c r="D4" s="1281"/>
      <c r="E4" s="2643"/>
      <c r="F4" s="2643"/>
      <c r="G4" s="2642">
        <v>1</v>
      </c>
      <c r="H4" s="1281"/>
      <c r="I4" s="1281"/>
      <c r="J4" s="1281"/>
      <c r="K4" s="1281"/>
      <c r="L4" s="1282"/>
      <c r="M4" s="1283"/>
      <c r="N4" s="1283"/>
      <c r="O4" s="1283"/>
      <c r="P4" s="290"/>
      <c r="Q4" s="288"/>
      <c r="R4" s="289"/>
      <c r="S4" s="1920" t="e">
        <f>INDEX(PT_DIFFERENTIATION_NUM_CS,MATCH(C4,PT_DIFFERENTIATION_CS_ID,0))</f>
        <v>#N/A</v>
      </c>
      <c r="T4" s="1924" t="s">
        <v>390</v>
      </c>
      <c r="U4" s="1925"/>
      <c r="V4" s="2678"/>
      <c r="W4" s="2679"/>
      <c r="X4" s="2679"/>
      <c r="Y4" s="2679"/>
      <c r="Z4" s="2679"/>
      <c r="AA4" s="2679"/>
      <c r="AB4" s="2679"/>
      <c r="AC4" s="2680"/>
      <c r="AD4" s="2678" t="e">
        <f>INDEX(PT_DIFFERENTIATION_CS,MATCH(C4,PT_DIFFERENTIATION_CS_ID,0))</f>
        <v>#N/A</v>
      </c>
      <c r="AE4" s="2679"/>
      <c r="AF4" s="2679"/>
      <c r="AG4" s="2679"/>
      <c r="AH4" s="2679"/>
      <c r="AI4" s="2679"/>
      <c r="AJ4" s="2679"/>
      <c r="AK4" s="2679"/>
      <c r="AL4" s="2680"/>
      <c r="AM4" s="1176" t="s">
        <v>391</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643"/>
      <c r="F5" s="2643"/>
      <c r="G5" s="2643"/>
      <c r="H5" s="2642">
        <v>1</v>
      </c>
      <c r="I5" s="1281"/>
      <c r="J5" s="1281"/>
      <c r="K5" s="1281"/>
      <c r="L5" s="1282"/>
      <c r="M5" s="1283"/>
      <c r="N5" s="1283"/>
      <c r="O5" s="1283"/>
      <c r="P5" s="290"/>
      <c r="Q5" s="288"/>
      <c r="R5" s="1553"/>
      <c r="S5" s="1919" t="e">
        <f>INDEX(PT_DIFFERENTIATION_NUM_IST_TE,MATCH(D5,PT_DIFFERENTIATION_IST_TE_ID,0))</f>
        <v>#N/A</v>
      </c>
      <c r="T5" s="247" t="s">
        <v>392</v>
      </c>
      <c r="U5" s="237"/>
      <c r="V5" s="2681"/>
      <c r="W5" s="2681"/>
      <c r="X5" s="2681"/>
      <c r="Y5" s="2681"/>
      <c r="Z5" s="2681"/>
      <c r="AA5" s="2681"/>
      <c r="AB5" s="2681"/>
      <c r="AC5" s="2681"/>
      <c r="AD5" s="2681" t="e">
        <f>INDEX(PT_DIFFERENTIATION_IST_TE,MATCH(D5,PT_DIFFERENTIATION_IST_TE_ID,0))</f>
        <v>#N/A</v>
      </c>
      <c r="AE5" s="2681"/>
      <c r="AF5" s="2681"/>
      <c r="AG5" s="2681"/>
      <c r="AH5" s="2681"/>
      <c r="AI5" s="2681"/>
      <c r="AJ5" s="2681"/>
      <c r="AK5" s="2681"/>
      <c r="AL5" s="2681"/>
      <c r="AM5" s="1922" t="s">
        <v>393</v>
      </c>
      <c r="AO5" s="436"/>
      <c r="AP5" s="436" t="str">
        <f t="shared" si="0"/>
        <v xml:space="preserve">Источник тепловой энергии  </v>
      </c>
      <c r="AQ5" s="436"/>
      <c r="AR5" s="436"/>
      <c r="AS5" s="1073">
        <v>0</v>
      </c>
    </row>
    <row r="6" spans="1:45" ht="0.75" hidden="1" customHeight="1">
      <c r="A6" s="1281"/>
      <c r="B6" s="1281"/>
      <c r="C6" s="1281"/>
      <c r="D6" s="1281"/>
      <c r="E6" s="2643"/>
      <c r="F6" s="2643"/>
      <c r="G6" s="2643"/>
      <c r="H6" s="2643"/>
      <c r="I6" s="2644" t="e">
        <f>S5&amp;".1"</f>
        <v>#N/A</v>
      </c>
      <c r="J6" s="1281"/>
      <c r="K6" s="1281"/>
      <c r="L6" s="1282" t="s">
        <v>394</v>
      </c>
      <c r="M6" s="473"/>
      <c r="P6" s="2646">
        <v>1</v>
      </c>
      <c r="Q6" s="1249"/>
      <c r="R6" s="1918"/>
      <c r="S6" s="965"/>
      <c r="T6" s="1301"/>
      <c r="U6" s="1302"/>
      <c r="V6" s="2682"/>
      <c r="W6" s="2682"/>
      <c r="X6" s="2682"/>
      <c r="Y6" s="2682"/>
      <c r="Z6" s="2682"/>
      <c r="AA6" s="2682"/>
      <c r="AB6" s="2682"/>
      <c r="AC6" s="2682"/>
      <c r="AD6" s="2682"/>
      <c r="AE6" s="2682"/>
      <c r="AF6" s="2682"/>
      <c r="AG6" s="2682"/>
      <c r="AH6" s="2682"/>
      <c r="AI6" s="2682"/>
      <c r="AJ6" s="2682"/>
      <c r="AK6" s="2682"/>
      <c r="AL6" s="2682"/>
      <c r="AM6" s="1923"/>
      <c r="AO6" s="436"/>
      <c r="AP6" s="436" t="str">
        <f t="shared" si="0"/>
        <v/>
      </c>
      <c r="AQ6" s="436"/>
      <c r="AR6" s="436"/>
      <c r="AS6" s="1073">
        <v>0</v>
      </c>
    </row>
    <row r="7" spans="1:45" ht="84" hidden="1" customHeight="1">
      <c r="A7" s="1281"/>
      <c r="B7" s="1281"/>
      <c r="C7" s="1281"/>
      <c r="D7" s="1281"/>
      <c r="E7" s="2643"/>
      <c r="F7" s="2643"/>
      <c r="G7" s="2643"/>
      <c r="H7" s="2643"/>
      <c r="I7" s="2645"/>
      <c r="J7" s="2644" t="e">
        <f>I6&amp;".1"</f>
        <v>#N/A</v>
      </c>
      <c r="K7" s="1281"/>
      <c r="L7" s="1282" t="s">
        <v>397</v>
      </c>
      <c r="M7" s="473"/>
      <c r="N7" s="1284"/>
      <c r="P7" s="2646"/>
      <c r="Q7" s="2646">
        <v>1</v>
      </c>
      <c r="R7" s="1560"/>
      <c r="S7" s="1919" t="e">
        <f>$J7</f>
        <v>#N/A</v>
      </c>
      <c r="T7" s="223" t="s">
        <v>398</v>
      </c>
      <c r="U7" s="237"/>
      <c r="V7" s="2676"/>
      <c r="W7" s="2676"/>
      <c r="X7" s="2676"/>
      <c r="Y7" s="2676"/>
      <c r="Z7" s="2676"/>
      <c r="AA7" s="2676"/>
      <c r="AB7" s="2676"/>
      <c r="AC7" s="2676"/>
      <c r="AD7" s="2676"/>
      <c r="AE7" s="2676"/>
      <c r="AF7" s="2676"/>
      <c r="AG7" s="2676"/>
      <c r="AH7" s="2676"/>
      <c r="AI7" s="2676"/>
      <c r="AJ7" s="2676"/>
      <c r="AK7" s="2676"/>
      <c r="AL7" s="2676"/>
      <c r="AM7" s="1922" t="s">
        <v>399</v>
      </c>
      <c r="AO7" s="436"/>
      <c r="AP7" s="436" t="str">
        <f t="shared" si="0"/>
        <v>Группа потребителей</v>
      </c>
      <c r="AQ7" s="436"/>
      <c r="AR7" s="436"/>
      <c r="AS7" s="1073">
        <v>0</v>
      </c>
    </row>
    <row r="8" spans="1:45" ht="11.25" hidden="1" customHeight="1">
      <c r="A8" s="1281"/>
      <c r="B8" s="1281"/>
      <c r="C8" s="1281"/>
      <c r="D8" s="1281"/>
      <c r="E8" s="2643"/>
      <c r="F8" s="2643"/>
      <c r="G8" s="2643"/>
      <c r="H8" s="2643"/>
      <c r="I8" s="2645"/>
      <c r="J8" s="2645"/>
      <c r="K8" s="2644" t="e">
        <f>J7&amp;".1"</f>
        <v>#N/A</v>
      </c>
      <c r="L8" s="1282" t="s">
        <v>400</v>
      </c>
      <c r="M8" s="473"/>
      <c r="N8" s="1284"/>
      <c r="O8" s="1284"/>
      <c r="P8" s="2646"/>
      <c r="Q8" s="2646"/>
      <c r="R8" s="293">
        <v>1</v>
      </c>
      <c r="S8" s="1921" t="e">
        <f>$K8</f>
        <v>#N/A</v>
      </c>
      <c r="T8" s="1926"/>
      <c r="U8" s="1927"/>
      <c r="V8" s="1928"/>
      <c r="W8" s="1267"/>
      <c r="X8" s="1928"/>
      <c r="Y8" s="1929"/>
      <c r="Z8" s="2677"/>
      <c r="AA8" s="2529" t="s">
        <v>65</v>
      </c>
      <c r="AB8" s="2677"/>
      <c r="AC8" s="2529" t="s">
        <v>65</v>
      </c>
      <c r="AD8" s="1928"/>
      <c r="AE8" s="1267"/>
      <c r="AF8" s="1928"/>
      <c r="AG8" s="1929"/>
      <c r="AH8" s="2677"/>
      <c r="AI8" s="2529" t="s">
        <v>65</v>
      </c>
      <c r="AJ8" s="2677"/>
      <c r="AK8" s="2529" t="s">
        <v>65</v>
      </c>
      <c r="AL8" s="1267"/>
      <c r="AM8" s="2665" t="s">
        <v>401</v>
      </c>
      <c r="AN8" s="447" t="e">
        <f ca="1">STRCHECKDATE(V9:AL9)</f>
        <v>#NAME?</v>
      </c>
      <c r="AO8" s="436"/>
      <c r="AP8" s="436" t="str">
        <f t="shared" si="0"/>
        <v/>
      </c>
      <c r="AQ8" s="436"/>
      <c r="AR8" s="436"/>
      <c r="AS8" s="1073">
        <v>0</v>
      </c>
    </row>
    <row r="9" spans="1:45" ht="0.75" hidden="1" customHeight="1">
      <c r="A9" s="1281"/>
      <c r="B9" s="1281"/>
      <c r="C9" s="1281"/>
      <c r="D9" s="1281"/>
      <c r="E9" s="2643"/>
      <c r="F9" s="2643"/>
      <c r="G9" s="2643"/>
      <c r="H9" s="2643"/>
      <c r="I9" s="2645"/>
      <c r="J9" s="2645"/>
      <c r="K9" s="2644"/>
      <c r="L9" s="1282"/>
      <c r="M9" s="473"/>
      <c r="N9" s="1284"/>
      <c r="O9" s="1284"/>
      <c r="P9" s="2646"/>
      <c r="Q9" s="2646"/>
      <c r="R9" s="293"/>
      <c r="S9" s="1260"/>
      <c r="T9" s="237"/>
      <c r="U9" s="237"/>
      <c r="V9" s="262"/>
      <c r="W9" s="262"/>
      <c r="X9" s="262"/>
      <c r="Y9" s="265" t="str">
        <f>Z8&amp;"-"&amp;AB8</f>
        <v>-</v>
      </c>
      <c r="Z9" s="2648"/>
      <c r="AA9" s="2524"/>
      <c r="AB9" s="2648"/>
      <c r="AC9" s="2524"/>
      <c r="AD9" s="262"/>
      <c r="AE9" s="262"/>
      <c r="AF9" s="262"/>
      <c r="AG9" s="265" t="str">
        <f>AH8&amp;"-"&amp;AJ8</f>
        <v>-</v>
      </c>
      <c r="AH9" s="2648"/>
      <c r="AI9" s="2524"/>
      <c r="AJ9" s="2648"/>
      <c r="AK9" s="2524"/>
      <c r="AL9" s="262"/>
      <c r="AM9" s="2666"/>
      <c r="AO9" s="436"/>
      <c r="AP9" s="436" t="str">
        <f t="shared" si="0"/>
        <v/>
      </c>
      <c r="AQ9" s="436"/>
      <c r="AR9" s="436"/>
      <c r="AS9" s="1073">
        <v>0</v>
      </c>
    </row>
    <row r="10" spans="1:45" ht="11.25" hidden="1" customHeight="1">
      <c r="A10" s="1281"/>
      <c r="B10" s="1281"/>
      <c r="C10" s="1281"/>
      <c r="D10" s="1281"/>
      <c r="E10" s="2643"/>
      <c r="F10" s="2643"/>
      <c r="G10" s="2643"/>
      <c r="H10" s="2643"/>
      <c r="I10" s="2645"/>
      <c r="J10" s="2644"/>
      <c r="K10" s="1281"/>
      <c r="L10" s="1282"/>
      <c r="M10" s="473"/>
      <c r="N10" s="1284"/>
      <c r="P10" s="2646"/>
      <c r="Q10" s="2646"/>
      <c r="R10" s="292"/>
      <c r="S10" s="1196"/>
      <c r="T10" s="224" t="s">
        <v>402</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643"/>
      <c r="F11" s="2643"/>
      <c r="G11" s="2643"/>
      <c r="H11" s="2643"/>
      <c r="I11" s="2644"/>
      <c r="J11" s="1281"/>
      <c r="K11" s="1281"/>
      <c r="L11" s="1282"/>
      <c r="M11" s="473"/>
      <c r="P11" s="2646"/>
      <c r="Q11" s="1249"/>
      <c r="R11" s="292"/>
      <c r="S11" s="1196"/>
      <c r="T11" s="301"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0.75" hidden="1" customHeight="1">
      <c r="A12" s="1281"/>
      <c r="B12" s="1281"/>
      <c r="C12" s="1281"/>
      <c r="D12" s="1281"/>
      <c r="E12" s="2643"/>
      <c r="F12" s="2643"/>
      <c r="G12" s="2643"/>
      <c r="H12" s="2642"/>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407" customFormat="1" ht="0.75" hidden="1" customHeight="1">
      <c r="A13" s="1232"/>
      <c r="B13" s="1232"/>
      <c r="C13" s="1232"/>
      <c r="D13" s="1232"/>
      <c r="E13" s="2643"/>
      <c r="F13" s="2643"/>
      <c r="G13" s="2642"/>
      <c r="H13" s="1232"/>
      <c r="I13" s="1232"/>
      <c r="J13" s="1232"/>
      <c r="K13" s="1232"/>
      <c r="L13" s="1257"/>
      <c r="M13" s="1233"/>
      <c r="N13" s="1233"/>
      <c r="P13" s="1234"/>
      <c r="Q13" s="1235"/>
      <c r="R13" s="1234"/>
      <c r="S13" s="1236"/>
      <c r="T13" s="1237" t="s">
        <v>405</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7" customFormat="1" ht="0.75" hidden="1" customHeight="1">
      <c r="A14" s="1232"/>
      <c r="B14" s="1232"/>
      <c r="C14" s="1232"/>
      <c r="D14" s="1232"/>
      <c r="E14" s="2643"/>
      <c r="F14" s="2642"/>
      <c r="G14" s="1232"/>
      <c r="H14" s="1232"/>
      <c r="I14" s="1232"/>
      <c r="J14" s="1232"/>
      <c r="K14" s="1232"/>
      <c r="L14" s="1257"/>
      <c r="M14" s="1239"/>
      <c r="N14" s="1239"/>
      <c r="P14" s="1234"/>
      <c r="Q14" s="1235"/>
      <c r="R14" s="1234"/>
      <c r="S14" s="1240"/>
      <c r="T14" s="1241" t="s">
        <v>406</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7" customFormat="1" ht="0.75" hidden="1" customHeight="1">
      <c r="A15" s="1232"/>
      <c r="B15" s="1232"/>
      <c r="C15" s="1232"/>
      <c r="D15" s="1232"/>
      <c r="E15" s="2642"/>
      <c r="F15" s="1232"/>
      <c r="G15" s="1232"/>
      <c r="H15" s="1232"/>
      <c r="I15" s="1232"/>
      <c r="J15" s="1232"/>
      <c r="K15" s="1232"/>
      <c r="L15" s="1257"/>
      <c r="M15" s="1239"/>
      <c r="N15" s="1239"/>
      <c r="P15" s="1234"/>
      <c r="Q15" s="1235"/>
      <c r="R15" s="1234"/>
      <c r="S15" s="1240"/>
      <c r="T15" s="1243" t="s">
        <v>407</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640"/>
      <c r="AI17" s="2639" t="s">
        <v>65</v>
      </c>
      <c r="AJ17" s="2640"/>
      <c r="AK17" s="2639" t="s">
        <v>65</v>
      </c>
      <c r="AS17" s="1073">
        <v>0</v>
      </c>
    </row>
    <row r="18" spans="1:45" ht="14.25" hidden="1" customHeight="1">
      <c r="AD18" s="1278"/>
      <c r="AE18" s="1278"/>
      <c r="AF18" s="1278"/>
      <c r="AG18" s="265" t="str">
        <f>AH17&amp;"-"&amp;AJ17</f>
        <v>-</v>
      </c>
      <c r="AH18" s="2639"/>
      <c r="AI18" s="2639"/>
      <c r="AJ18" s="2639"/>
      <c r="AK18" s="2639"/>
      <c r="AS18" s="1073">
        <v>0</v>
      </c>
    </row>
    <row r="19" spans="1:45" ht="14.25" hidden="1" customHeight="1">
      <c r="AK19" s="264"/>
      <c r="AS19" s="1073">
        <v>0</v>
      </c>
    </row>
    <row r="20" spans="1:45" s="2406" customFormat="1" ht="22.5" hidden="1" customHeight="1">
      <c r="L20" s="1247"/>
      <c r="M20" s="1280"/>
      <c r="N20" s="1280"/>
      <c r="O20" s="1285" t="s">
        <v>408</v>
      </c>
      <c r="P20" s="1280"/>
      <c r="Q20" s="1289"/>
      <c r="R20" s="1289"/>
      <c r="S20" s="665"/>
      <c r="Z20" s="1285"/>
      <c r="AB20" s="1285"/>
      <c r="AC20" s="1284"/>
      <c r="AH20" s="1285"/>
      <c r="AJ20" s="1285"/>
      <c r="AK20" s="1284"/>
      <c r="AN20" s="447"/>
      <c r="AO20" s="447"/>
      <c r="AP20" s="447"/>
      <c r="AQ20" s="447"/>
      <c r="AR20" s="447"/>
      <c r="AS20" s="1078">
        <v>0</v>
      </c>
    </row>
    <row r="21" spans="1:45" s="240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6" customFormat="1" ht="14.25" hidden="1" customHeight="1">
      <c r="L22" s="1247"/>
      <c r="M22" s="1280"/>
      <c r="N22" s="1280"/>
      <c r="O22" s="1282" t="s">
        <v>409</v>
      </c>
      <c r="P22" s="1280"/>
      <c r="Q22" s="1289"/>
      <c r="R22" s="1289"/>
      <c r="S22" s="665"/>
      <c r="T22" s="1078" t="s">
        <v>410</v>
      </c>
      <c r="AA22" s="123" t="s">
        <v>411</v>
      </c>
      <c r="AC22" s="123" t="s">
        <v>412</v>
      </c>
      <c r="AD22" s="1078" t="s">
        <v>410</v>
      </c>
      <c r="AI22" s="123" t="s">
        <v>413</v>
      </c>
      <c r="AK22" s="123" t="s">
        <v>412</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4.75" customHeight="1">
      <c r="Q26" s="312"/>
      <c r="R26" s="312"/>
      <c r="S26" s="25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72"/>
      <c r="U26" s="2572"/>
      <c r="V26" s="2572"/>
      <c r="W26" s="2572"/>
      <c r="X26" s="2572"/>
      <c r="Y26" s="2572"/>
      <c r="Z26" s="2572"/>
      <c r="AA26" s="2572"/>
      <c r="AB26" s="2572"/>
      <c r="AC26" s="2572"/>
      <c r="AD26" s="2572"/>
      <c r="AE26" s="2572"/>
      <c r="AF26" s="2572"/>
      <c r="AG26" s="2572"/>
      <c r="AH26" s="2572"/>
      <c r="AI26" s="2572"/>
      <c r="AJ26" s="2572"/>
      <c r="AK26" s="1161"/>
      <c r="AS26" s="1073">
        <v>52</v>
      </c>
    </row>
    <row r="27" spans="1:45" ht="14.65" customHeight="1">
      <c r="Q27" s="312"/>
      <c r="R27" s="312"/>
      <c r="S27" s="2595" t="str">
        <f>IF(org=0,"Не определено",org)</f>
        <v>ПАО "ТГК-1" (филиал "Кольский")</v>
      </c>
      <c r="T27" s="2595"/>
      <c r="U27" s="2595"/>
      <c r="V27" s="2595"/>
      <c r="W27" s="2595"/>
      <c r="X27" s="2595"/>
      <c r="Y27" s="2595"/>
      <c r="Z27" s="2595"/>
      <c r="AA27" s="2595"/>
      <c r="AB27" s="2595"/>
      <c r="AC27" s="2595"/>
      <c r="AD27" s="2595"/>
      <c r="AE27" s="2595"/>
      <c r="AF27" s="2595"/>
      <c r="AG27" s="2595"/>
      <c r="AH27" s="2595"/>
      <c r="AI27" s="2595"/>
      <c r="AJ27" s="2595"/>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6" customFormat="1" ht="25.5" hidden="1" customHeight="1">
      <c r="A29" s="1286"/>
      <c r="B29" s="1286"/>
      <c r="C29" s="1286"/>
      <c r="D29" s="1286"/>
      <c r="E29" s="1286"/>
      <c r="F29" s="1286"/>
      <c r="G29" s="1286"/>
      <c r="H29" s="1286"/>
      <c r="I29" s="1286"/>
      <c r="J29" s="1286"/>
      <c r="K29" s="1286"/>
      <c r="L29" s="1287"/>
      <c r="M29" s="1286"/>
      <c r="N29" s="1286"/>
      <c r="O29" s="1286"/>
      <c r="S29" s="2633" t="s">
        <v>41</v>
      </c>
      <c r="T29" s="2633"/>
      <c r="U29" s="1290"/>
      <c r="V29" s="2635" t="str">
        <f>IF(TITLE_NAME_OR_PR_CHANGE="",IF(TITLE_NAME_OR_PR="","",TITLE_NAME_OR_PR),TITLE_NAME_OR_PR_CHANGE)</f>
        <v/>
      </c>
      <c r="W29" s="2635"/>
      <c r="X29" s="2635"/>
      <c r="Y29" s="2635"/>
      <c r="Z29" s="2635"/>
      <c r="AA29" s="2635"/>
      <c r="AB29" s="2635"/>
      <c r="AC29" s="263"/>
      <c r="AD29" s="2635" t="str">
        <f>IF(TITLE_NAME_OR_PR_CHANGE="",IF(TITLE_NAME_OR_PR="","",TITLE_NAME_OR_PR),TITLE_NAME_OR_PR_CHANGE)</f>
        <v/>
      </c>
      <c r="AE29" s="2635"/>
      <c r="AF29" s="2635"/>
      <c r="AG29" s="2635"/>
      <c r="AH29" s="2635"/>
      <c r="AI29" s="2635"/>
      <c r="AJ29" s="2635"/>
      <c r="AK29" s="263"/>
      <c r="AL29" s="263"/>
      <c r="AM29" s="217"/>
      <c r="AN29" s="304"/>
      <c r="AO29" s="304"/>
      <c r="AP29" s="304"/>
      <c r="AQ29" s="304"/>
      <c r="AR29" s="304"/>
      <c r="AS29" s="354">
        <v>0</v>
      </c>
    </row>
    <row r="30" spans="1:45" s="2416" customFormat="1" ht="18.75" hidden="1" customHeight="1">
      <c r="A30" s="1286"/>
      <c r="B30" s="1286"/>
      <c r="C30" s="1286"/>
      <c r="D30" s="1286"/>
      <c r="E30" s="1286"/>
      <c r="F30" s="1286"/>
      <c r="G30" s="1286"/>
      <c r="H30" s="1286"/>
      <c r="I30" s="1286"/>
      <c r="J30" s="1286"/>
      <c r="K30" s="1286"/>
      <c r="L30" s="1287"/>
      <c r="M30" s="1286"/>
      <c r="N30" s="1286"/>
      <c r="O30" s="1286"/>
      <c r="S30" s="2633" t="s">
        <v>414</v>
      </c>
      <c r="T30" s="2633"/>
      <c r="U30" s="1290"/>
      <c r="V30" s="2634" t="str">
        <f>IF(TITLE_DATE_PR_CHANGE="",IF(TITLE_DATE_PR="","",TITLE_DATE_PR),TITLE_DATE_PR_CHANGE)</f>
        <v/>
      </c>
      <c r="W30" s="2634"/>
      <c r="X30" s="2634"/>
      <c r="Y30" s="2634"/>
      <c r="Z30" s="2634"/>
      <c r="AA30" s="2634"/>
      <c r="AB30" s="2634"/>
      <c r="AC30" s="263"/>
      <c r="AD30" s="2634" t="str">
        <f>IF(TITLE_DATE_PR_CHANGE="",IF(TITLE_DATE_PR="","",TITLE_DATE_PR),TITLE_DATE_PR_CHANGE)</f>
        <v/>
      </c>
      <c r="AE30" s="2634"/>
      <c r="AF30" s="2634"/>
      <c r="AG30" s="2634"/>
      <c r="AH30" s="2634"/>
      <c r="AI30" s="2634"/>
      <c r="AJ30" s="2634"/>
      <c r="AK30" s="263"/>
      <c r="AL30" s="263"/>
      <c r="AM30" s="217"/>
      <c r="AN30" s="304"/>
      <c r="AO30" s="304"/>
      <c r="AP30" s="304"/>
      <c r="AQ30" s="304"/>
      <c r="AR30" s="304"/>
      <c r="AS30" s="354">
        <v>0</v>
      </c>
    </row>
    <row r="31" spans="1:45" s="2416" customFormat="1" ht="18.75" hidden="1" customHeight="1">
      <c r="A31" s="1286"/>
      <c r="B31" s="1286"/>
      <c r="C31" s="1286"/>
      <c r="D31" s="1286"/>
      <c r="E31" s="1286"/>
      <c r="F31" s="1286"/>
      <c r="G31" s="1286"/>
      <c r="H31" s="1286"/>
      <c r="I31" s="1286"/>
      <c r="J31" s="1286"/>
      <c r="K31" s="1286"/>
      <c r="L31" s="1287"/>
      <c r="M31" s="1286"/>
      <c r="N31" s="1286"/>
      <c r="O31" s="1286"/>
      <c r="S31" s="2633" t="s">
        <v>415</v>
      </c>
      <c r="T31" s="2633"/>
      <c r="U31" s="1290"/>
      <c r="V31" s="2635" t="str">
        <f>IF(TITLE_NUMBER_PR_CHANGE="",IF(TITLE_NUMBER_PR="","",TITLE_NUMBER_PR),TITLE_NUMBER_PR_CHANGE)</f>
        <v/>
      </c>
      <c r="W31" s="2635"/>
      <c r="X31" s="2635"/>
      <c r="Y31" s="2635"/>
      <c r="Z31" s="2635"/>
      <c r="AA31" s="2635"/>
      <c r="AB31" s="2635"/>
      <c r="AC31" s="263"/>
      <c r="AD31" s="2635" t="str">
        <f>IF(TITLE_NUMBER_PR_CHANGE="",IF(TITLE_NUMBER_PR="","",TITLE_NUMBER_PR),TITLE_NUMBER_PR_CHANGE)</f>
        <v/>
      </c>
      <c r="AE31" s="2635"/>
      <c r="AF31" s="2635"/>
      <c r="AG31" s="2635"/>
      <c r="AH31" s="2635"/>
      <c r="AI31" s="2635"/>
      <c r="AJ31" s="2635"/>
      <c r="AK31" s="263"/>
      <c r="AL31" s="263"/>
      <c r="AM31" s="217"/>
      <c r="AN31" s="304"/>
      <c r="AO31" s="304"/>
      <c r="AP31" s="304"/>
      <c r="AQ31" s="304"/>
      <c r="AR31" s="304"/>
      <c r="AS31" s="354">
        <v>0</v>
      </c>
    </row>
    <row r="32" spans="1:45" s="2416" customFormat="1" ht="18.75" hidden="1" customHeight="1">
      <c r="A32" s="1286"/>
      <c r="B32" s="1286"/>
      <c r="C32" s="1286"/>
      <c r="D32" s="1286"/>
      <c r="E32" s="1286"/>
      <c r="F32" s="1286"/>
      <c r="G32" s="1286"/>
      <c r="H32" s="1286"/>
      <c r="I32" s="1286"/>
      <c r="J32" s="1286"/>
      <c r="K32" s="1286"/>
      <c r="L32" s="1287"/>
      <c r="M32" s="1286"/>
      <c r="N32" s="1286"/>
      <c r="O32" s="1286"/>
      <c r="S32" s="2633" t="s">
        <v>42</v>
      </c>
      <c r="T32" s="2633"/>
      <c r="U32" s="1290"/>
      <c r="V32" s="2635" t="str">
        <f>IF(TITLE_IST_PUB_CHANGE="",IF(TITLE_IST_PUB="","",TITLE_IST_PUB),TITLE_IST_PUB_CHANGE)</f>
        <v/>
      </c>
      <c r="W32" s="2635"/>
      <c r="X32" s="2635"/>
      <c r="Y32" s="2635"/>
      <c r="Z32" s="2635"/>
      <c r="AA32" s="2635"/>
      <c r="AB32" s="2635"/>
      <c r="AC32" s="263"/>
      <c r="AD32" s="2635" t="str">
        <f>IF(TITLE_IST_PUB_CHANGE="",IF(TITLE_IST_PUB="","",TITLE_IST_PUB),TITLE_IST_PUB_CHANGE)</f>
        <v/>
      </c>
      <c r="AE32" s="2635"/>
      <c r="AF32" s="2635"/>
      <c r="AG32" s="2635"/>
      <c r="AH32" s="2635"/>
      <c r="AI32" s="2635"/>
      <c r="AJ32" s="2635"/>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6" customFormat="1" ht="18.75" hidden="1" customHeight="1">
      <c r="A34" s="1286"/>
      <c r="B34" s="1286"/>
      <c r="C34" s="1286"/>
      <c r="D34" s="1286"/>
      <c r="E34" s="1286"/>
      <c r="F34" s="1286"/>
      <c r="G34" s="1286"/>
      <c r="H34" s="1286"/>
      <c r="I34" s="1286"/>
      <c r="J34" s="1286"/>
      <c r="K34" s="1286"/>
      <c r="L34" s="1287"/>
      <c r="M34" s="1286"/>
      <c r="N34" s="1286"/>
      <c r="O34" s="1286"/>
      <c r="S34" s="2633" t="s">
        <v>416</v>
      </c>
      <c r="T34" s="2633"/>
      <c r="U34" s="1290"/>
      <c r="V34" s="2634" t="str">
        <f>IF(TITLE_DATE_PR_CHANGE="",IF(TITLE_DATE_PR="","",TITLE_DATE_PR),TITLE_DATE_PR_CHANGE)</f>
        <v/>
      </c>
      <c r="W34" s="2634"/>
      <c r="X34" s="2634"/>
      <c r="Y34" s="2634"/>
      <c r="Z34" s="2634"/>
      <c r="AA34" s="2634"/>
      <c r="AB34" s="2634"/>
      <c r="AC34" s="263"/>
      <c r="AD34" s="2634" t="str">
        <f>IF(TITLE_DATE_PR_CHANGE="",IF(TITLE_DATE_PR="","",TITLE_DATE_PR),TITLE_DATE_PR_CHANGE)</f>
        <v/>
      </c>
      <c r="AE34" s="2634"/>
      <c r="AF34" s="2634"/>
      <c r="AG34" s="2634"/>
      <c r="AH34" s="2634"/>
      <c r="AI34" s="2634"/>
      <c r="AJ34" s="2634"/>
      <c r="AK34" s="263"/>
      <c r="AL34" s="263"/>
      <c r="AM34" s="217"/>
      <c r="AN34" s="304"/>
      <c r="AO34" s="304"/>
      <c r="AP34" s="304"/>
      <c r="AQ34" s="304"/>
      <c r="AR34" s="304"/>
      <c r="AS34" s="354">
        <v>0</v>
      </c>
    </row>
    <row r="35" spans="1:45" s="2416" customFormat="1" ht="18.75" hidden="1" customHeight="1">
      <c r="A35" s="1286"/>
      <c r="B35" s="1286"/>
      <c r="C35" s="1286"/>
      <c r="D35" s="1286"/>
      <c r="E35" s="1286"/>
      <c r="F35" s="1286"/>
      <c r="G35" s="1286"/>
      <c r="H35" s="1286"/>
      <c r="I35" s="1286"/>
      <c r="J35" s="1286"/>
      <c r="K35" s="1286"/>
      <c r="L35" s="1287"/>
      <c r="M35" s="1286"/>
      <c r="N35" s="1286"/>
      <c r="O35" s="1286"/>
      <c r="S35" s="2633" t="s">
        <v>417</v>
      </c>
      <c r="T35" s="2633"/>
      <c r="U35" s="1290"/>
      <c r="V35" s="2635" t="str">
        <f>IF(TITLE_NUMBER_PR_CHANGE="",IF(TITLE_NUMBER_PR="","",TITLE_NUMBER_PR),TITLE_NUMBER_PR_CHANGE)</f>
        <v/>
      </c>
      <c r="W35" s="2635"/>
      <c r="X35" s="2635"/>
      <c r="Y35" s="2635"/>
      <c r="Z35" s="2635"/>
      <c r="AA35" s="2635"/>
      <c r="AB35" s="2635"/>
      <c r="AC35" s="263"/>
      <c r="AD35" s="2635" t="str">
        <f>IF(TITLE_NUMBER_PR_CHANGE="",IF(TITLE_NUMBER_PR="","",TITLE_NUMBER_PR),TITLE_NUMBER_PR_CHANGE)</f>
        <v/>
      </c>
      <c r="AE35" s="2635"/>
      <c r="AF35" s="2635"/>
      <c r="AG35" s="2635"/>
      <c r="AH35" s="2635"/>
      <c r="AI35" s="2635"/>
      <c r="AJ35" s="2635"/>
      <c r="AK35" s="263"/>
      <c r="AL35" s="263"/>
      <c r="AM35" s="217"/>
      <c r="AN35" s="304"/>
      <c r="AO35" s="304"/>
      <c r="AP35" s="304"/>
      <c r="AQ35" s="304"/>
      <c r="AR35" s="304"/>
      <c r="AS35" s="354">
        <v>0</v>
      </c>
    </row>
    <row r="36" spans="1:45" s="2416"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418</v>
      </c>
      <c r="AD36" s="263"/>
      <c r="AE36" s="263"/>
      <c r="AF36" s="263"/>
      <c r="AG36" s="263"/>
      <c r="AH36" s="263"/>
      <c r="AI36" s="263"/>
      <c r="AJ36" s="263"/>
      <c r="AK36" s="215" t="s">
        <v>418</v>
      </c>
      <c r="AN36" s="304"/>
      <c r="AO36" s="304"/>
      <c r="AP36" s="304"/>
      <c r="AQ36" s="304"/>
      <c r="AR36" s="304"/>
      <c r="AS36" s="354">
        <v>0</v>
      </c>
    </row>
    <row r="37" spans="1:45" ht="14.65" customHeight="1">
      <c r="Q37" s="312"/>
      <c r="R37" s="312"/>
      <c r="S37" s="1193"/>
      <c r="T37" s="299"/>
      <c r="U37" s="1162"/>
      <c r="V37" s="2654"/>
      <c r="W37" s="2654"/>
      <c r="X37" s="2654"/>
      <c r="Y37" s="2654"/>
      <c r="Z37" s="2654"/>
      <c r="AA37" s="2654"/>
      <c r="AB37" s="2654"/>
      <c r="AC37" s="2654"/>
      <c r="AD37" s="2654"/>
      <c r="AE37" s="2654"/>
      <c r="AF37" s="2654"/>
      <c r="AG37" s="2654"/>
      <c r="AH37" s="2654"/>
      <c r="AI37" s="2654"/>
      <c r="AJ37" s="2654"/>
      <c r="AK37" s="2654"/>
      <c r="AS37" s="1073">
        <v>14</v>
      </c>
    </row>
    <row r="38" spans="1:45" ht="14.65" customHeight="1">
      <c r="Q38" s="312"/>
      <c r="R38" s="312"/>
      <c r="S38" s="2514" t="s">
        <v>291</v>
      </c>
      <c r="T38" s="2514"/>
      <c r="U38" s="2514"/>
      <c r="V38" s="2514"/>
      <c r="W38" s="2514"/>
      <c r="X38" s="2514"/>
      <c r="Y38" s="2514"/>
      <c r="Z38" s="2514"/>
      <c r="AA38" s="2514"/>
      <c r="AB38" s="2514"/>
      <c r="AC38" s="2514"/>
      <c r="AD38" s="2514"/>
      <c r="AE38" s="2514"/>
      <c r="AF38" s="2514"/>
      <c r="AG38" s="2514"/>
      <c r="AH38" s="2514"/>
      <c r="AI38" s="2514"/>
      <c r="AJ38" s="2514"/>
      <c r="AK38" s="2514"/>
      <c r="AL38" s="2514"/>
      <c r="AM38" s="2514" t="s">
        <v>292</v>
      </c>
      <c r="AS38" s="1073">
        <v>14</v>
      </c>
    </row>
    <row r="39" spans="1:45" ht="14.65" customHeight="1">
      <c r="Q39" s="312"/>
      <c r="R39" s="312"/>
      <c r="S39" s="2655" t="s">
        <v>84</v>
      </c>
      <c r="T39" s="2603" t="s">
        <v>419</v>
      </c>
      <c r="U39" s="238"/>
      <c r="V39" s="2656" t="s">
        <v>420</v>
      </c>
      <c r="W39" s="2657"/>
      <c r="X39" s="2657"/>
      <c r="Y39" s="2657"/>
      <c r="Z39" s="2657"/>
      <c r="AA39" s="2657"/>
      <c r="AB39" s="2658"/>
      <c r="AC39" s="2659" t="s">
        <v>421</v>
      </c>
      <c r="AD39" s="2656" t="s">
        <v>420</v>
      </c>
      <c r="AE39" s="2657"/>
      <c r="AF39" s="2657"/>
      <c r="AG39" s="2657"/>
      <c r="AH39" s="2657"/>
      <c r="AI39" s="2657"/>
      <c r="AJ39" s="2658"/>
      <c r="AK39" s="2659" t="s">
        <v>422</v>
      </c>
      <c r="AL39" s="2662" t="s">
        <v>423</v>
      </c>
      <c r="AM39" s="2514"/>
      <c r="AS39" s="1073">
        <v>14</v>
      </c>
    </row>
    <row r="40" spans="1:45" ht="35.65" customHeight="1">
      <c r="Q40" s="312"/>
      <c r="R40" s="312"/>
      <c r="S40" s="2655"/>
      <c r="T40" s="2603"/>
      <c r="U40" s="954"/>
      <c r="V40" s="2573" t="s">
        <v>424</v>
      </c>
      <c r="W40" s="2651"/>
      <c r="X40" s="2496" t="s">
        <v>426</v>
      </c>
      <c r="Y40" s="2495"/>
      <c r="Z40" s="2496" t="s">
        <v>427</v>
      </c>
      <c r="AA40" s="2501"/>
      <c r="AB40" s="2495"/>
      <c r="AC40" s="2660"/>
      <c r="AD40" s="2573" t="s">
        <v>441</v>
      </c>
      <c r="AE40" s="2651"/>
      <c r="AF40" s="2496" t="s">
        <v>426</v>
      </c>
      <c r="AG40" s="2495"/>
      <c r="AH40" s="2496" t="s">
        <v>427</v>
      </c>
      <c r="AI40" s="2501"/>
      <c r="AJ40" s="2495"/>
      <c r="AK40" s="2660"/>
      <c r="AL40" s="2663"/>
      <c r="AM40" s="2514"/>
      <c r="AS40" s="1073">
        <v>34</v>
      </c>
    </row>
    <row r="41" spans="1:45" ht="35.65" customHeight="1">
      <c r="A41" s="1288"/>
      <c r="B41" s="1288" t="s">
        <v>128</v>
      </c>
      <c r="C41" s="1288" t="s">
        <v>129</v>
      </c>
      <c r="D41" s="1288" t="s">
        <v>130</v>
      </c>
      <c r="E41" s="1282" t="s">
        <v>428</v>
      </c>
      <c r="F41" s="1282" t="s">
        <v>429</v>
      </c>
      <c r="G41" s="1282" t="s">
        <v>430</v>
      </c>
      <c r="H41" s="1282" t="s">
        <v>431</v>
      </c>
      <c r="I41" s="1282" t="s">
        <v>432</v>
      </c>
      <c r="J41" s="1282" t="s">
        <v>433</v>
      </c>
      <c r="K41" s="1282" t="s">
        <v>434</v>
      </c>
      <c r="L41" s="1282" t="s">
        <v>409</v>
      </c>
      <c r="Q41" s="312"/>
      <c r="R41" s="312"/>
      <c r="S41" s="2655"/>
      <c r="T41" s="2603"/>
      <c r="U41" s="239"/>
      <c r="V41" s="2628"/>
      <c r="W41" s="2652"/>
      <c r="X41" s="1140" t="s">
        <v>435</v>
      </c>
      <c r="Y41" s="1140" t="s">
        <v>436</v>
      </c>
      <c r="Z41" s="1256" t="s">
        <v>437</v>
      </c>
      <c r="AA41" s="2608" t="s">
        <v>438</v>
      </c>
      <c r="AB41" s="2622"/>
      <c r="AC41" s="2661"/>
      <c r="AD41" s="2628"/>
      <c r="AE41" s="2652"/>
      <c r="AF41" s="1140" t="s">
        <v>435</v>
      </c>
      <c r="AG41" s="1140" t="s">
        <v>436</v>
      </c>
      <c r="AH41" s="1256" t="s">
        <v>437</v>
      </c>
      <c r="AI41" s="2608" t="s">
        <v>438</v>
      </c>
      <c r="AJ41" s="2622"/>
      <c r="AK41" s="2661"/>
      <c r="AL41" s="2664"/>
      <c r="AM41" s="2514"/>
      <c r="AS41" s="1073">
        <v>34</v>
      </c>
    </row>
    <row r="42" spans="1:45" s="243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102</v>
      </c>
      <c r="T42" s="1173" t="s">
        <v>103</v>
      </c>
      <c r="U42" s="1163" t="str">
        <f ca="1">OFFSET(U42,0,-1)</f>
        <v>2</v>
      </c>
      <c r="V42" s="1253">
        <f ca="1">OFFSET(V42,0,-1)+1</f>
        <v>3</v>
      </c>
      <c r="W42" s="1253"/>
      <c r="X42" s="1253">
        <f ca="1">OFFSET(X42,0,-1)+1</f>
        <v>1</v>
      </c>
      <c r="Y42" s="1253">
        <f ca="1">OFFSET(Y42,0,-1)+1</f>
        <v>2</v>
      </c>
      <c r="Z42" s="1253">
        <f ca="1">OFFSET(Z42,0,-1)+1</f>
        <v>3</v>
      </c>
      <c r="AA42" s="2653">
        <f ca="1">OFFSET(AA42,0,-1)+1</f>
        <v>4</v>
      </c>
      <c r="AB42" s="2653"/>
      <c r="AC42" s="1253">
        <f ca="1">OFFSET(AC42,0,-2)+1</f>
        <v>5</v>
      </c>
      <c r="AD42" s="1253">
        <f ca="1">OFFSET(AD42,0,-1)+1</f>
        <v>6</v>
      </c>
      <c r="AE42" s="1253"/>
      <c r="AF42" s="1253">
        <f ca="1">OFFSET(AF42,0,-1)+1</f>
        <v>1</v>
      </c>
      <c r="AG42" s="1253">
        <f ca="1">OFFSET(AG42,0,-1)+1</f>
        <v>2</v>
      </c>
      <c r="AH42" s="1253">
        <f ca="1">OFFSET(AH42,0,-1)+1</f>
        <v>3</v>
      </c>
      <c r="AI42" s="2653">
        <f ca="1">OFFSET(AI42,0,-1)+1</f>
        <v>4</v>
      </c>
      <c r="AJ42" s="2653"/>
      <c r="AK42" s="1253">
        <f ca="1">OFFSET(AK42,0,-2)+1</f>
        <v>5</v>
      </c>
      <c r="AL42" s="1163">
        <f ca="1">OFFSET(AL42,0,-1)</f>
        <v>5</v>
      </c>
      <c r="AM42" s="1253">
        <f ca="1">OFFSET(AM42,0,-1)+1</f>
        <v>6</v>
      </c>
      <c r="AN42" s="447"/>
      <c r="AO42" s="447"/>
      <c r="AP42" s="447"/>
      <c r="AQ42" s="447"/>
      <c r="AR42" s="447"/>
      <c r="AS42" s="432">
        <v>0</v>
      </c>
    </row>
    <row r="43" spans="1:45" ht="21.95" customHeight="1">
      <c r="A43" s="1281" t="s">
        <v>173</v>
      </c>
      <c r="B43" s="1281"/>
      <c r="C43" s="1281"/>
      <c r="D43" s="1281"/>
      <c r="E43" s="2642">
        <v>1</v>
      </c>
      <c r="F43" s="1281"/>
      <c r="G43" s="1281"/>
      <c r="H43" s="1281"/>
      <c r="I43" s="1281"/>
      <c r="J43" s="1281"/>
      <c r="K43" s="1281"/>
      <c r="L43" s="1282"/>
      <c r="M43" s="1283"/>
      <c r="N43" s="1283"/>
      <c r="O43" s="1283"/>
      <c r="P43" s="297"/>
      <c r="Q43" s="296"/>
      <c r="R43" s="291"/>
      <c r="S43" s="1254">
        <f>INDEX(PT_DIFFERENTIATION_NUM_NTAR,MATCH(A43,PT_DIFFERENTIATION_NTAR_ID,0))</f>
        <v>0</v>
      </c>
      <c r="T43" s="235" t="s">
        <v>116</v>
      </c>
      <c r="U43" s="237"/>
      <c r="V43" s="2636"/>
      <c r="W43" s="2637"/>
      <c r="X43" s="2637"/>
      <c r="Y43" s="2637"/>
      <c r="Z43" s="2637"/>
      <c r="AA43" s="2637"/>
      <c r="AB43" s="2637"/>
      <c r="AC43" s="2638"/>
      <c r="AD43" s="2636" t="str">
        <f>INDEX(PT_DIFFERENTIATION_NTAR,MATCH(A43,PT_DIFFERENTIATION_NTAR_ID,0))</f>
        <v/>
      </c>
      <c r="AE43" s="2637"/>
      <c r="AF43" s="2637"/>
      <c r="AG43" s="2637"/>
      <c r="AH43" s="2637"/>
      <c r="AI43" s="2637"/>
      <c r="AJ43" s="2637"/>
      <c r="AK43" s="2637"/>
      <c r="AL43" s="263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173</v>
      </c>
      <c r="B44" s="1281" t="s">
        <v>174</v>
      </c>
      <c r="C44" s="1281"/>
      <c r="D44" s="1281"/>
      <c r="E44" s="2643"/>
      <c r="F44" s="2642">
        <v>1</v>
      </c>
      <c r="G44" s="1281"/>
      <c r="H44" s="1281"/>
      <c r="I44" s="1281"/>
      <c r="J44" s="1281"/>
      <c r="K44" s="1281"/>
      <c r="L44" s="1282"/>
      <c r="M44" s="1283"/>
      <c r="N44" s="1283"/>
      <c r="O44" s="1283"/>
      <c r="P44" s="1250"/>
      <c r="Q44" s="288"/>
      <c r="R44" s="289"/>
      <c r="S44" s="1254" t="str">
        <f>INDEX(PT_DIFFERENTIATION_NUM_TER,MATCH(B44,PT_DIFFERENTIATION_TER_ID,0))</f>
        <v>.</v>
      </c>
      <c r="T44" s="245" t="s">
        <v>388</v>
      </c>
      <c r="U44" s="237"/>
      <c r="V44" s="2636"/>
      <c r="W44" s="2637"/>
      <c r="X44" s="2637"/>
      <c r="Y44" s="2637"/>
      <c r="Z44" s="2637"/>
      <c r="AA44" s="2637"/>
      <c r="AB44" s="2637"/>
      <c r="AC44" s="2638"/>
      <c r="AD44" s="2636" t="str">
        <f>INDEX(PT_DIFFERENTIATION_TER,MATCH(B44,PT_DIFFERENTIATION_TER_ID,0))</f>
        <v/>
      </c>
      <c r="AE44" s="2637"/>
      <c r="AF44" s="2637"/>
      <c r="AG44" s="2637"/>
      <c r="AH44" s="2637"/>
      <c r="AI44" s="2637"/>
      <c r="AJ44" s="2637"/>
      <c r="AK44" s="2637"/>
      <c r="AL44" s="2638"/>
      <c r="AM44" s="1176" t="s">
        <v>389</v>
      </c>
      <c r="AO44" s="436"/>
      <c r="AP44" s="436" t="str">
        <f t="shared" si="1"/>
        <v>Территория действия тарифа</v>
      </c>
      <c r="AQ44" s="436"/>
      <c r="AR44" s="436"/>
      <c r="AS44" s="1073">
        <v>21</v>
      </c>
    </row>
    <row r="45" spans="1:45" ht="24" customHeight="1">
      <c r="A45" s="1281" t="s">
        <v>173</v>
      </c>
      <c r="B45" s="1281" t="s">
        <v>174</v>
      </c>
      <c r="C45" s="1281" t="s">
        <v>175</v>
      </c>
      <c r="D45" s="1281"/>
      <c r="E45" s="2643"/>
      <c r="F45" s="2643"/>
      <c r="G45" s="2642">
        <v>1</v>
      </c>
      <c r="H45" s="1281"/>
      <c r="I45" s="1281"/>
      <c r="J45" s="1281"/>
      <c r="K45" s="1281"/>
      <c r="L45" s="1282"/>
      <c r="M45" s="1283"/>
      <c r="N45" s="1283"/>
      <c r="O45" s="1283"/>
      <c r="P45" s="290"/>
      <c r="Q45" s="288"/>
      <c r="R45" s="289"/>
      <c r="S45" s="1254" t="str">
        <f>INDEX(PT_DIFFERENTIATION_NUM_CS,MATCH(C45,PT_DIFFERENTIATION_CS_ID,0))</f>
        <v>..</v>
      </c>
      <c r="T45" s="246" t="s">
        <v>390</v>
      </c>
      <c r="U45" s="237"/>
      <c r="V45" s="2636"/>
      <c r="W45" s="2637"/>
      <c r="X45" s="2637"/>
      <c r="Y45" s="2637"/>
      <c r="Z45" s="2637"/>
      <c r="AA45" s="2637"/>
      <c r="AB45" s="2637"/>
      <c r="AC45" s="2638"/>
      <c r="AD45" s="2636" t="str">
        <f>INDEX(PT_DIFFERENTIATION_CS,MATCH(C45,PT_DIFFERENTIATION_CS_ID,0))</f>
        <v/>
      </c>
      <c r="AE45" s="2637"/>
      <c r="AF45" s="2637"/>
      <c r="AG45" s="2637"/>
      <c r="AH45" s="2637"/>
      <c r="AI45" s="2637"/>
      <c r="AJ45" s="2637"/>
      <c r="AK45" s="2637"/>
      <c r="AL45" s="2638"/>
      <c r="AM45" s="1176" t="s">
        <v>391</v>
      </c>
      <c r="AO45" s="436"/>
      <c r="AP45" s="436" t="str">
        <f t="shared" si="1"/>
        <v xml:space="preserve">Наименование системы теплоснабжения </v>
      </c>
      <c r="AQ45" s="436"/>
      <c r="AR45" s="436"/>
      <c r="AS45" s="1073">
        <v>23</v>
      </c>
    </row>
    <row r="46" spans="1:45" ht="21.95" customHeight="1">
      <c r="A46" s="1281" t="s">
        <v>173</v>
      </c>
      <c r="B46" s="1281" t="s">
        <v>174</v>
      </c>
      <c r="C46" s="1281" t="s">
        <v>175</v>
      </c>
      <c r="D46" s="1281" t="s">
        <v>176</v>
      </c>
      <c r="E46" s="2643"/>
      <c r="F46" s="2643"/>
      <c r="G46" s="2643"/>
      <c r="H46" s="2642">
        <v>1</v>
      </c>
      <c r="I46" s="1281"/>
      <c r="J46" s="1281"/>
      <c r="K46" s="1281"/>
      <c r="L46" s="1282"/>
      <c r="M46" s="1283"/>
      <c r="N46" s="1283"/>
      <c r="O46" s="1283"/>
      <c r="P46" s="290"/>
      <c r="Q46" s="288"/>
      <c r="R46" s="289"/>
      <c r="S46" s="1254" t="str">
        <f>INDEX(PT_DIFFERENTIATION_NUM_IST_TE,MATCH(D46,PT_DIFFERENTIATION_IST_TE_ID,0))</f>
        <v>...</v>
      </c>
      <c r="T46" s="247" t="s">
        <v>392</v>
      </c>
      <c r="U46" s="237"/>
      <c r="V46" s="2636"/>
      <c r="W46" s="2637"/>
      <c r="X46" s="2637"/>
      <c r="Y46" s="2637"/>
      <c r="Z46" s="2637"/>
      <c r="AA46" s="2637"/>
      <c r="AB46" s="2637"/>
      <c r="AC46" s="2638"/>
      <c r="AD46" s="2636" t="str">
        <f>INDEX(PT_DIFFERENTIATION_IST_TE,MATCH(D46,PT_DIFFERENTIATION_IST_TE_ID,0))</f>
        <v/>
      </c>
      <c r="AE46" s="2637"/>
      <c r="AF46" s="2637"/>
      <c r="AG46" s="2637"/>
      <c r="AH46" s="2637"/>
      <c r="AI46" s="2637"/>
      <c r="AJ46" s="2637"/>
      <c r="AK46" s="2637"/>
      <c r="AL46" s="2638"/>
      <c r="AM46" s="1176" t="s">
        <v>393</v>
      </c>
      <c r="AO46" s="436"/>
      <c r="AP46" s="436" t="str">
        <f t="shared" si="1"/>
        <v xml:space="preserve">Источник тепловой энергии  </v>
      </c>
      <c r="AQ46" s="436"/>
      <c r="AR46" s="436"/>
      <c r="AS46" s="1073">
        <v>21</v>
      </c>
    </row>
    <row r="47" spans="1:45" s="2407" customFormat="1" ht="0" hidden="1" customHeight="1">
      <c r="A47" s="1261" t="s">
        <v>173</v>
      </c>
      <c r="B47" s="1261" t="s">
        <v>174</v>
      </c>
      <c r="C47" s="1261" t="s">
        <v>175</v>
      </c>
      <c r="D47" s="1261" t="s">
        <v>176</v>
      </c>
      <c r="E47" s="2643"/>
      <c r="F47" s="2643"/>
      <c r="G47" s="2643"/>
      <c r="H47" s="2643"/>
      <c r="I47" s="2644" t="str">
        <f>S46&amp;".1"</f>
        <v>....1</v>
      </c>
      <c r="J47" s="1261"/>
      <c r="K47" s="1261"/>
      <c r="L47" s="1264" t="s">
        <v>394</v>
      </c>
      <c r="M47" s="446"/>
      <c r="N47" s="446"/>
      <c r="O47" s="446"/>
      <c r="P47" s="2646">
        <v>1</v>
      </c>
      <c r="Q47" s="1249"/>
      <c r="R47" s="292"/>
      <c r="S47" s="965"/>
      <c r="T47" s="1301"/>
      <c r="U47" s="1302"/>
      <c r="V47" s="2673"/>
      <c r="W47" s="2674"/>
      <c r="X47" s="2674"/>
      <c r="Y47" s="2674"/>
      <c r="Z47" s="2674"/>
      <c r="AA47" s="2674"/>
      <c r="AB47" s="2674"/>
      <c r="AC47" s="2675"/>
      <c r="AD47" s="2673"/>
      <c r="AE47" s="2674"/>
      <c r="AF47" s="2674"/>
      <c r="AG47" s="2674"/>
      <c r="AH47" s="2674"/>
      <c r="AI47" s="2674"/>
      <c r="AJ47" s="2674"/>
      <c r="AK47" s="2674"/>
      <c r="AL47" s="2675"/>
      <c r="AM47" s="1303"/>
      <c r="AO47" s="436"/>
      <c r="AP47" s="436" t="str">
        <f t="shared" si="1"/>
        <v/>
      </c>
      <c r="AQ47" s="436"/>
      <c r="AR47" s="436"/>
      <c r="AS47" s="447">
        <v>0</v>
      </c>
    </row>
    <row r="48" spans="1:45" ht="21.95" customHeight="1">
      <c r="A48" s="1281" t="s">
        <v>173</v>
      </c>
      <c r="B48" s="1281" t="s">
        <v>174</v>
      </c>
      <c r="C48" s="1281" t="s">
        <v>175</v>
      </c>
      <c r="D48" s="1281" t="s">
        <v>176</v>
      </c>
      <c r="E48" s="2643"/>
      <c r="F48" s="2643"/>
      <c r="G48" s="2643"/>
      <c r="H48" s="2643"/>
      <c r="I48" s="2645"/>
      <c r="J48" s="2644" t="str">
        <f>S46&amp;".1"</f>
        <v>....1</v>
      </c>
      <c r="K48" s="1281"/>
      <c r="L48" s="1282" t="s">
        <v>397</v>
      </c>
      <c r="P48" s="2646"/>
      <c r="Q48" s="2646">
        <v>1</v>
      </c>
      <c r="R48" s="293"/>
      <c r="S48" s="1254" t="str">
        <f>$J48</f>
        <v>....1</v>
      </c>
      <c r="T48" s="223" t="s">
        <v>398</v>
      </c>
      <c r="U48" s="237"/>
      <c r="V48" s="2630"/>
      <c r="W48" s="2631"/>
      <c r="X48" s="2631"/>
      <c r="Y48" s="2631"/>
      <c r="Z48" s="2631"/>
      <c r="AA48" s="2631"/>
      <c r="AB48" s="2631"/>
      <c r="AC48" s="2632"/>
      <c r="AD48" s="2630"/>
      <c r="AE48" s="2631"/>
      <c r="AF48" s="2631"/>
      <c r="AG48" s="2631"/>
      <c r="AH48" s="2631"/>
      <c r="AI48" s="2631"/>
      <c r="AJ48" s="2631"/>
      <c r="AK48" s="2631"/>
      <c r="AL48" s="2632"/>
      <c r="AM48" s="1176" t="s">
        <v>399</v>
      </c>
      <c r="AO48" s="436"/>
      <c r="AP48" s="436" t="str">
        <f t="shared" si="1"/>
        <v>Группа потребителей</v>
      </c>
      <c r="AQ48" s="436"/>
      <c r="AR48" s="436"/>
      <c r="AS48" s="1073">
        <v>21</v>
      </c>
    </row>
    <row r="49" spans="1:45" ht="21.95" customHeight="1">
      <c r="A49" s="1281" t="s">
        <v>173</v>
      </c>
      <c r="B49" s="1281" t="s">
        <v>174</v>
      </c>
      <c r="C49" s="1281" t="s">
        <v>175</v>
      </c>
      <c r="D49" s="1281" t="s">
        <v>176</v>
      </c>
      <c r="E49" s="2643"/>
      <c r="F49" s="2643"/>
      <c r="G49" s="2643"/>
      <c r="H49" s="2643"/>
      <c r="I49" s="2645"/>
      <c r="J49" s="2645"/>
      <c r="K49" s="2644" t="str">
        <f>J48&amp;".1"</f>
        <v>....1.1</v>
      </c>
      <c r="L49" s="1282" t="s">
        <v>400</v>
      </c>
      <c r="P49" s="2646"/>
      <c r="Q49" s="2646"/>
      <c r="R49" s="293">
        <v>1</v>
      </c>
      <c r="S49" s="1254" t="str">
        <f>$K49</f>
        <v>....1.1</v>
      </c>
      <c r="T49" s="1265"/>
      <c r="U49" s="237"/>
      <c r="V49" s="687"/>
      <c r="W49" s="262"/>
      <c r="X49" s="687"/>
      <c r="Y49" s="1175"/>
      <c r="Z49" s="2647"/>
      <c r="AA49" s="2524" t="s">
        <v>65</v>
      </c>
      <c r="AB49" s="2647"/>
      <c r="AC49" s="2524" t="s">
        <v>65</v>
      </c>
      <c r="AD49" s="687"/>
      <c r="AE49" s="262"/>
      <c r="AF49" s="687"/>
      <c r="AG49" s="1175"/>
      <c r="AH49" s="2647"/>
      <c r="AI49" s="2524" t="s">
        <v>65</v>
      </c>
      <c r="AJ49" s="2649"/>
      <c r="AK49" s="2524" t="s">
        <v>65</v>
      </c>
      <c r="AL49" s="1266"/>
      <c r="AM49" s="2665" t="s">
        <v>442</v>
      </c>
      <c r="AN49" s="447" t="e">
        <f ca="1">STRCHECKDATE(V50:AL50)</f>
        <v>#NAME?</v>
      </c>
      <c r="AO49" s="436"/>
      <c r="AP49" s="436" t="str">
        <f t="shared" si="1"/>
        <v/>
      </c>
      <c r="AQ49" s="436"/>
      <c r="AR49" s="436"/>
      <c r="AS49" s="1073">
        <v>21</v>
      </c>
    </row>
    <row r="50" spans="1:45" ht="1.1499999999999999" customHeight="1">
      <c r="A50" s="1281" t="s">
        <v>173</v>
      </c>
      <c r="B50" s="1281" t="s">
        <v>174</v>
      </c>
      <c r="C50" s="1281" t="s">
        <v>175</v>
      </c>
      <c r="D50" s="1281" t="s">
        <v>176</v>
      </c>
      <c r="E50" s="2643"/>
      <c r="F50" s="2643"/>
      <c r="G50" s="2643"/>
      <c r="H50" s="2643"/>
      <c r="I50" s="2645"/>
      <c r="J50" s="2645"/>
      <c r="K50" s="2644"/>
      <c r="L50" s="1282"/>
      <c r="P50" s="2646"/>
      <c r="Q50" s="2646"/>
      <c r="R50" s="293"/>
      <c r="S50" s="1260"/>
      <c r="T50" s="237"/>
      <c r="U50" s="237"/>
      <c r="V50" s="262"/>
      <c r="W50" s="262"/>
      <c r="X50" s="262"/>
      <c r="Y50" s="265" t="str">
        <f>Z49&amp;"-"&amp;AB49</f>
        <v>-</v>
      </c>
      <c r="Z50" s="2648"/>
      <c r="AA50" s="2524"/>
      <c r="AB50" s="2648"/>
      <c r="AC50" s="2524"/>
      <c r="AD50" s="262"/>
      <c r="AE50" s="262"/>
      <c r="AF50" s="262"/>
      <c r="AG50" s="265" t="str">
        <f>AH49&amp;"-"&amp;AJ49</f>
        <v>-</v>
      </c>
      <c r="AH50" s="2648"/>
      <c r="AI50" s="2524"/>
      <c r="AJ50" s="2650"/>
      <c r="AK50" s="2524"/>
      <c r="AL50" s="1267"/>
      <c r="AM50" s="2666"/>
      <c r="AO50" s="436"/>
      <c r="AP50" s="436" t="str">
        <f t="shared" si="1"/>
        <v/>
      </c>
      <c r="AQ50" s="436"/>
      <c r="AR50" s="436"/>
      <c r="AS50" s="1073">
        <v>1</v>
      </c>
    </row>
    <row r="51" spans="1:45" ht="11.45" customHeight="1">
      <c r="A51" s="1281" t="s">
        <v>173</v>
      </c>
      <c r="B51" s="1281" t="s">
        <v>174</v>
      </c>
      <c r="C51" s="1281" t="s">
        <v>175</v>
      </c>
      <c r="D51" s="1281" t="s">
        <v>176</v>
      </c>
      <c r="E51" s="2643"/>
      <c r="F51" s="2643"/>
      <c r="G51" s="2643"/>
      <c r="H51" s="2643"/>
      <c r="I51" s="2645"/>
      <c r="J51" s="2644"/>
      <c r="K51" s="1281"/>
      <c r="L51" s="1282"/>
      <c r="P51" s="2646"/>
      <c r="Q51" s="2646"/>
      <c r="R51" s="292"/>
      <c r="S51" s="1196"/>
      <c r="T51" s="224" t="s">
        <v>402</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73">
        <v>11</v>
      </c>
    </row>
    <row r="52" spans="1:45" ht="11.45" customHeight="1">
      <c r="A52" s="1281" t="s">
        <v>173</v>
      </c>
      <c r="B52" s="1281" t="s">
        <v>174</v>
      </c>
      <c r="C52" s="1281" t="s">
        <v>175</v>
      </c>
      <c r="D52" s="1281" t="s">
        <v>176</v>
      </c>
      <c r="E52" s="2643"/>
      <c r="F52" s="2643"/>
      <c r="G52" s="2643"/>
      <c r="H52" s="2643"/>
      <c r="I52" s="2644"/>
      <c r="J52" s="1281"/>
      <c r="K52" s="1281"/>
      <c r="L52" s="1282"/>
      <c r="P52" s="2646"/>
      <c r="Q52" s="1249"/>
      <c r="R52" s="292"/>
      <c r="S52" s="1196"/>
      <c r="T52" s="301"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173</v>
      </c>
      <c r="B53" s="1281" t="s">
        <v>174</v>
      </c>
      <c r="C53" s="1281" t="s">
        <v>175</v>
      </c>
      <c r="D53" s="1281" t="s">
        <v>176</v>
      </c>
      <c r="E53" s="2643"/>
      <c r="F53" s="2643"/>
      <c r="G53" s="2643"/>
      <c r="H53" s="2642"/>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407" customFormat="1" ht="1.1499999999999999" customHeight="1">
      <c r="A54" s="1261" t="s">
        <v>173</v>
      </c>
      <c r="B54" s="1261" t="s">
        <v>174</v>
      </c>
      <c r="C54" s="1261" t="s">
        <v>175</v>
      </c>
      <c r="D54" s="1232"/>
      <c r="E54" s="2643"/>
      <c r="F54" s="2643"/>
      <c r="G54" s="2642"/>
      <c r="H54" s="1232"/>
      <c r="I54" s="1232"/>
      <c r="J54" s="1232"/>
      <c r="K54" s="1232"/>
      <c r="L54" s="1257"/>
      <c r="M54" s="1233"/>
      <c r="N54" s="1233"/>
      <c r="P54" s="1234"/>
      <c r="Q54" s="1235"/>
      <c r="R54" s="1234"/>
      <c r="S54" s="1240"/>
      <c r="T54" s="1243" t="s">
        <v>405</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1</v>
      </c>
    </row>
    <row r="55" spans="1:45" s="2407" customFormat="1" ht="1.1499999999999999" customHeight="1">
      <c r="A55" s="1261" t="s">
        <v>173</v>
      </c>
      <c r="B55" s="1261" t="s">
        <v>174</v>
      </c>
      <c r="C55" s="1232"/>
      <c r="D55" s="1232"/>
      <c r="E55" s="2643"/>
      <c r="F55" s="2642"/>
      <c r="G55" s="1232"/>
      <c r="H55" s="1232"/>
      <c r="I55" s="1232"/>
      <c r="J55" s="1232"/>
      <c r="K55" s="1232"/>
      <c r="L55" s="1257"/>
      <c r="M55" s="1239"/>
      <c r="N55" s="1239"/>
      <c r="P55" s="1234"/>
      <c r="Q55" s="1235"/>
      <c r="R55" s="1234"/>
      <c r="S55" s="1240"/>
      <c r="T55" s="1243" t="s">
        <v>406</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1</v>
      </c>
    </row>
    <row r="56" spans="1:45" s="2407" customFormat="1" ht="1.1499999999999999" customHeight="1">
      <c r="A56" s="1261" t="s">
        <v>173</v>
      </c>
      <c r="B56" s="1261"/>
      <c r="C56" s="1261"/>
      <c r="D56" s="1261"/>
      <c r="E56" s="2642"/>
      <c r="F56" s="1261"/>
      <c r="G56" s="1261"/>
      <c r="H56" s="1261"/>
      <c r="I56" s="1261"/>
      <c r="J56" s="1261"/>
      <c r="K56" s="1261"/>
      <c r="L56" s="1264"/>
      <c r="M56" s="1239"/>
      <c r="N56" s="1239"/>
      <c r="O56" s="454"/>
      <c r="P56" s="316"/>
      <c r="Q56" s="1262"/>
      <c r="R56" s="316"/>
      <c r="S56" s="1240"/>
      <c r="T56" s="1243" t="s">
        <v>407</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1</v>
      </c>
    </row>
    <row r="57" spans="1:45" s="240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439</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1</v>
      </c>
    </row>
    <row r="58" spans="1:45" ht="11.45" customHeight="1">
      <c r="M58" s="1078"/>
      <c r="N58" s="1078"/>
      <c r="O58" s="473"/>
      <c r="P58" s="1073"/>
      <c r="Q58" s="1073"/>
      <c r="R58" s="1073"/>
      <c r="S58" s="1073"/>
      <c r="AN58" s="1073"/>
      <c r="AO58" s="1073"/>
      <c r="AP58" s="1073"/>
      <c r="AQ58" s="1073"/>
      <c r="AR58" s="1073"/>
      <c r="AS58" s="1073">
        <v>11</v>
      </c>
    </row>
    <row r="59" spans="1:45" ht="23.25" customHeight="1">
      <c r="O59" s="473"/>
      <c r="S59" s="1171"/>
      <c r="T59" s="2641"/>
      <c r="U59" s="2641"/>
      <c r="V59" s="2641"/>
      <c r="W59" s="2641"/>
      <c r="X59" s="2641"/>
      <c r="Y59" s="2641"/>
      <c r="Z59" s="2641"/>
      <c r="AA59" s="2641"/>
      <c r="AB59" s="2641"/>
      <c r="AC59" s="2641"/>
      <c r="AD59" s="2641"/>
      <c r="AE59" s="2641"/>
      <c r="AF59" s="2641"/>
      <c r="AG59" s="2641"/>
      <c r="AH59" s="2641"/>
      <c r="AI59" s="2641"/>
      <c r="AJ59" s="2641"/>
      <c r="AK59" s="2641"/>
      <c r="AL59" s="2641"/>
      <c r="AM59" s="2641"/>
      <c r="AS59" s="1073">
        <v>22</v>
      </c>
    </row>
    <row r="60" spans="1:45" ht="30.4" customHeight="1">
      <c r="O60" s="473"/>
      <c r="T60" s="2641"/>
      <c r="U60" s="2641"/>
      <c r="V60" s="2641"/>
      <c r="W60" s="2641"/>
      <c r="X60" s="2641"/>
      <c r="Y60" s="2641"/>
      <c r="Z60" s="2641"/>
      <c r="AA60" s="2641"/>
      <c r="AB60" s="2641"/>
      <c r="AC60" s="2641"/>
      <c r="AD60" s="2641"/>
      <c r="AE60" s="2641"/>
      <c r="AF60" s="2641"/>
      <c r="AG60" s="2641"/>
      <c r="AH60" s="2641"/>
      <c r="AI60" s="2641"/>
      <c r="AJ60" s="2641"/>
      <c r="AK60" s="2641"/>
      <c r="AL60" s="2641"/>
      <c r="AM60" s="2641"/>
      <c r="AS60" s="1073">
        <v>29</v>
      </c>
    </row>
    <row r="61" spans="1:45" ht="42" customHeight="1">
      <c r="O61" s="473"/>
      <c r="T61" s="2641"/>
      <c r="U61" s="2641"/>
      <c r="V61" s="2641"/>
      <c r="W61" s="2641"/>
      <c r="X61" s="2641"/>
      <c r="Y61" s="2641"/>
      <c r="Z61" s="2641"/>
      <c r="AA61" s="2641"/>
      <c r="AB61" s="2641"/>
      <c r="AC61" s="2641"/>
      <c r="AD61" s="2641"/>
      <c r="AE61" s="2641"/>
      <c r="AF61" s="2641"/>
      <c r="AG61" s="2641"/>
      <c r="AH61" s="2641"/>
      <c r="AI61" s="2641"/>
      <c r="AJ61" s="2641"/>
      <c r="AK61" s="2641"/>
      <c r="AL61" s="2641"/>
      <c r="AM61" s="2641"/>
      <c r="AS61" s="1073">
        <v>40</v>
      </c>
    </row>
    <row r="62" spans="1:45" ht="14.65" customHeight="1">
      <c r="O62" s="473"/>
      <c r="AS62" s="1073">
        <v>14</v>
      </c>
    </row>
    <row r="63" spans="1:45" ht="21" customHeight="1">
      <c r="O63" s="473"/>
      <c r="S63" s="1171"/>
      <c r="T63" s="2554"/>
      <c r="U63" s="2641"/>
      <c r="V63" s="2641"/>
      <c r="W63" s="2641"/>
      <c r="X63" s="2641"/>
      <c r="Y63" s="2641"/>
      <c r="Z63" s="2641"/>
      <c r="AA63" s="2641"/>
      <c r="AB63" s="2641"/>
      <c r="AC63" s="2641"/>
      <c r="AD63" s="2641"/>
      <c r="AE63" s="2641"/>
      <c r="AF63" s="2641"/>
      <c r="AG63" s="2641"/>
      <c r="AH63" s="2641"/>
      <c r="AI63" s="2641"/>
      <c r="AJ63" s="2641"/>
      <c r="AK63" s="2641"/>
      <c r="AL63" s="2641"/>
      <c r="AM63" s="2641"/>
      <c r="AS63" s="1073">
        <v>20</v>
      </c>
    </row>
    <row r="64" spans="1:45" ht="29.25" customHeight="1">
      <c r="O64" s="473"/>
      <c r="T64" s="2641"/>
      <c r="U64" s="2641"/>
      <c r="V64" s="2641"/>
      <c r="W64" s="2641"/>
      <c r="X64" s="2641"/>
      <c r="Y64" s="2641"/>
      <c r="Z64" s="2641"/>
      <c r="AA64" s="2641"/>
      <c r="AB64" s="2641"/>
      <c r="AC64" s="2641"/>
      <c r="AD64" s="2641"/>
      <c r="AE64" s="2641"/>
      <c r="AF64" s="2641"/>
      <c r="AG64" s="2641"/>
      <c r="AH64" s="2641"/>
      <c r="AI64" s="2641"/>
      <c r="AJ64" s="2641"/>
      <c r="AK64" s="2641"/>
      <c r="AL64" s="2641"/>
      <c r="AM64" s="2641"/>
      <c r="AS64" s="1073">
        <v>28</v>
      </c>
    </row>
    <row r="65" spans="1:45" ht="35.65" customHeight="1">
      <c r="T65" s="2641"/>
      <c r="U65" s="2641"/>
      <c r="V65" s="2641"/>
      <c r="W65" s="2641"/>
      <c r="X65" s="2641"/>
      <c r="Y65" s="2641"/>
      <c r="Z65" s="2641"/>
      <c r="AA65" s="2641"/>
      <c r="AB65" s="2641"/>
      <c r="AC65" s="2641"/>
      <c r="AD65" s="2641"/>
      <c r="AE65" s="2641"/>
      <c r="AF65" s="2641"/>
      <c r="AG65" s="2641"/>
      <c r="AH65" s="2641"/>
      <c r="AI65" s="2641"/>
      <c r="AJ65" s="2641"/>
      <c r="AK65" s="2641"/>
      <c r="AL65" s="2641"/>
      <c r="AM65" s="2641"/>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2" style="2406" hidden="1" customWidth="1"/>
    <col min="10" max="10" width="9.85546875" style="2406" hidden="1" customWidth="1"/>
    <col min="11" max="11" width="11.42578125" style="2406" hidden="1" customWidth="1"/>
    <col min="12" max="12" width="19.140625" style="2432" hidden="1" customWidth="1"/>
    <col min="13" max="14" width="12.28515625" style="2433" hidden="1" customWidth="1"/>
    <col min="15" max="15" width="23.42578125" style="2433" hidden="1" customWidth="1"/>
    <col min="16" max="16" width="3.7109375" style="2434" hidden="1" customWidth="1"/>
    <col min="17" max="18" width="3" style="2435" customWidth="1"/>
    <col min="19" max="19" width="12" style="2436" customWidth="1"/>
    <col min="20" max="20" width="31" style="2400" customWidth="1"/>
    <col min="21" max="21" width="0.140625" style="2400" customWidth="1"/>
    <col min="22" max="22" width="24.7109375" style="2400" hidden="1" customWidth="1"/>
    <col min="23" max="23" width="0.140625" style="2400" hidden="1" customWidth="1"/>
    <col min="24" max="25" width="24.7109375" style="2400" hidden="1" customWidth="1"/>
    <col min="26" max="26" width="11.7109375" style="2400" hidden="1" customWidth="1"/>
    <col min="27" max="27" width="3.7109375" style="2400" hidden="1" customWidth="1"/>
    <col min="28" max="28" width="11.7109375" style="2400" hidden="1" customWidth="1"/>
    <col min="29" max="29" width="8.5703125" style="2400" hidden="1" customWidth="1"/>
    <col min="30" max="30" width="24.7109375" style="2400" customWidth="1"/>
    <col min="31" max="31" width="0.140625" style="2400" customWidth="1"/>
    <col min="32" max="33" width="24" style="2400" customWidth="1"/>
    <col min="34" max="34" width="11" style="2400" customWidth="1"/>
    <col min="35" max="35" width="3.7109375" style="2400" customWidth="1"/>
    <col min="36" max="36" width="11" style="2400" customWidth="1"/>
    <col min="37" max="37" width="8.5703125" style="2400" hidden="1" customWidth="1"/>
    <col min="38" max="38" width="4" style="2400" customWidth="1"/>
    <col min="39" max="39" width="115" style="2400" customWidth="1"/>
    <col min="40" max="44" width="10" style="2407" customWidth="1"/>
    <col min="45" max="45" width="10.5703125" style="2400" hidden="1"/>
  </cols>
  <sheetData>
    <row r="1" spans="1:45" ht="22.5" hidden="1" customHeight="1">
      <c r="Y1" s="264"/>
      <c r="Z1" s="264"/>
      <c r="AG1" s="264"/>
      <c r="AH1" s="264"/>
      <c r="AS1" s="1073" t="s">
        <v>14</v>
      </c>
    </row>
    <row r="2" spans="1:45" ht="21" hidden="1" customHeight="1">
      <c r="A2" s="1281"/>
      <c r="B2" s="1281"/>
      <c r="C2" s="1281"/>
      <c r="D2" s="1281"/>
      <c r="E2" s="2642">
        <v>1</v>
      </c>
      <c r="F2" s="1281"/>
      <c r="G2" s="1281"/>
      <c r="H2" s="1281"/>
      <c r="I2" s="1281"/>
      <c r="J2" s="1281"/>
      <c r="K2" s="1281"/>
      <c r="L2" s="1282"/>
      <c r="M2" s="1283"/>
      <c r="N2" s="1283"/>
      <c r="O2" s="1283"/>
      <c r="P2" s="297"/>
      <c r="Q2" s="296"/>
      <c r="R2" s="291"/>
      <c r="S2" s="1254" t="e">
        <f>INDEX(PT_DIFFERENTIATION_NUM_NTAR,MATCH(A2,PT_DIFFERENTIATION_NTAR_ID,0))</f>
        <v>#N/A</v>
      </c>
      <c r="T2" s="235" t="s">
        <v>116</v>
      </c>
      <c r="U2" s="237"/>
      <c r="V2" s="2636"/>
      <c r="W2" s="2637"/>
      <c r="X2" s="2637"/>
      <c r="Y2" s="2637"/>
      <c r="Z2" s="2637"/>
      <c r="AA2" s="2637"/>
      <c r="AB2" s="2637"/>
      <c r="AC2" s="2638"/>
      <c r="AD2" s="2636" t="e">
        <f>INDEX(PT_DIFFERENTIATION_NTAR,MATCH(A2,PT_DIFFERENTIATION_NTAR_ID,0))</f>
        <v>#N/A</v>
      </c>
      <c r="AE2" s="2637"/>
      <c r="AF2" s="2637"/>
      <c r="AG2" s="2637"/>
      <c r="AH2" s="2637"/>
      <c r="AI2" s="2637"/>
      <c r="AJ2" s="2637"/>
      <c r="AK2" s="2637"/>
      <c r="AL2" s="2638"/>
      <c r="AM2" s="1176" t="s">
        <v>387</v>
      </c>
      <c r="AO2" s="436"/>
      <c r="AP2" s="436" t="str">
        <f t="shared" ref="AP2:AP15" si="0">IF(T2="","",T2)</f>
        <v>Наименование тарифа</v>
      </c>
      <c r="AQ2" s="436"/>
      <c r="AR2" s="436"/>
      <c r="AS2" s="1073">
        <v>0</v>
      </c>
    </row>
    <row r="3" spans="1:45" ht="21" hidden="1" customHeight="1">
      <c r="A3" s="1281"/>
      <c r="B3" s="1281"/>
      <c r="C3" s="1281"/>
      <c r="D3" s="1281"/>
      <c r="E3" s="2643"/>
      <c r="F3" s="2642">
        <v>1</v>
      </c>
      <c r="G3" s="1281"/>
      <c r="H3" s="1281"/>
      <c r="I3" s="1281"/>
      <c r="J3" s="1281"/>
      <c r="K3" s="1281"/>
      <c r="L3" s="1282"/>
      <c r="M3" s="1283"/>
      <c r="N3" s="1283"/>
      <c r="O3" s="1283"/>
      <c r="P3" s="1250"/>
      <c r="Q3" s="288"/>
      <c r="R3" s="289"/>
      <c r="S3" s="1254" t="e">
        <f>INDEX(PT_DIFFERENTIATION_NUM_TER,MATCH(B3,PT_DIFFERENTIATION_TER_ID,0))</f>
        <v>#N/A</v>
      </c>
      <c r="T3" s="245" t="s">
        <v>388</v>
      </c>
      <c r="U3" s="237"/>
      <c r="V3" s="2636"/>
      <c r="W3" s="2637"/>
      <c r="X3" s="2637"/>
      <c r="Y3" s="2637"/>
      <c r="Z3" s="2637"/>
      <c r="AA3" s="2637"/>
      <c r="AB3" s="2637"/>
      <c r="AC3" s="2638"/>
      <c r="AD3" s="2636" t="e">
        <f>INDEX(PT_DIFFERENTIATION_TER,MATCH(B3,PT_DIFFERENTIATION_TER_ID,0))</f>
        <v>#N/A</v>
      </c>
      <c r="AE3" s="2637"/>
      <c r="AF3" s="2637"/>
      <c r="AG3" s="2637"/>
      <c r="AH3" s="2637"/>
      <c r="AI3" s="2637"/>
      <c r="AJ3" s="2637"/>
      <c r="AK3" s="2637"/>
      <c r="AL3" s="2638"/>
      <c r="AM3" s="1176" t="s">
        <v>389</v>
      </c>
      <c r="AO3" s="436"/>
      <c r="AP3" s="436" t="str">
        <f t="shared" si="0"/>
        <v>Территория действия тарифа</v>
      </c>
      <c r="AQ3" s="436"/>
      <c r="AR3" s="436"/>
      <c r="AS3" s="1073">
        <v>0</v>
      </c>
    </row>
    <row r="4" spans="1:45" ht="23.25" hidden="1" customHeight="1">
      <c r="A4" s="1281"/>
      <c r="B4" s="1281"/>
      <c r="C4" s="1281"/>
      <c r="D4" s="1281"/>
      <c r="E4" s="2643"/>
      <c r="F4" s="2643"/>
      <c r="G4" s="2642">
        <v>1</v>
      </c>
      <c r="H4" s="1281"/>
      <c r="I4" s="1281"/>
      <c r="J4" s="1281"/>
      <c r="K4" s="1281"/>
      <c r="L4" s="1282"/>
      <c r="M4" s="1283"/>
      <c r="N4" s="1283"/>
      <c r="O4" s="1283"/>
      <c r="P4" s="290"/>
      <c r="Q4" s="288"/>
      <c r="R4" s="289"/>
      <c r="S4" s="1254" t="e">
        <f>INDEX(PT_DIFFERENTIATION_NUM_CS,MATCH(C4,PT_DIFFERENTIATION_CS_ID,0))</f>
        <v>#N/A</v>
      </c>
      <c r="T4" s="246" t="s">
        <v>390</v>
      </c>
      <c r="U4" s="237"/>
      <c r="V4" s="2636"/>
      <c r="W4" s="2637"/>
      <c r="X4" s="2637"/>
      <c r="Y4" s="2637"/>
      <c r="Z4" s="2637"/>
      <c r="AA4" s="2637"/>
      <c r="AB4" s="2637"/>
      <c r="AC4" s="2638"/>
      <c r="AD4" s="2636" t="e">
        <f>INDEX(PT_DIFFERENTIATION_CS,MATCH(C4,PT_DIFFERENTIATION_CS_ID,0))</f>
        <v>#N/A</v>
      </c>
      <c r="AE4" s="2637"/>
      <c r="AF4" s="2637"/>
      <c r="AG4" s="2637"/>
      <c r="AH4" s="2637"/>
      <c r="AI4" s="2637"/>
      <c r="AJ4" s="2637"/>
      <c r="AK4" s="2637"/>
      <c r="AL4" s="2638"/>
      <c r="AM4" s="1176" t="s">
        <v>391</v>
      </c>
      <c r="AO4" s="436"/>
      <c r="AP4" s="436" t="str">
        <f t="shared" si="0"/>
        <v xml:space="preserve">Наименование системы теплоснабжения </v>
      </c>
      <c r="AQ4" s="436"/>
      <c r="AR4" s="436"/>
      <c r="AS4" s="1073">
        <v>0</v>
      </c>
    </row>
    <row r="5" spans="1:45" ht="21" hidden="1" customHeight="1">
      <c r="A5" s="1281"/>
      <c r="B5" s="1281"/>
      <c r="C5" s="1281"/>
      <c r="D5" s="1281"/>
      <c r="E5" s="2643"/>
      <c r="F5" s="2643"/>
      <c r="G5" s="2643"/>
      <c r="H5" s="2642">
        <v>1</v>
      </c>
      <c r="I5" s="1281"/>
      <c r="J5" s="1281"/>
      <c r="K5" s="1281"/>
      <c r="L5" s="1282"/>
      <c r="M5" s="1283"/>
      <c r="N5" s="1283"/>
      <c r="O5" s="1283"/>
      <c r="P5" s="290"/>
      <c r="Q5" s="288"/>
      <c r="R5" s="289"/>
      <c r="S5" s="1254" t="e">
        <f>INDEX(PT_DIFFERENTIATION_NUM_IST_TE,MATCH(D5,PT_DIFFERENTIATION_IST_TE_ID,0))</f>
        <v>#N/A</v>
      </c>
      <c r="T5" s="247" t="s">
        <v>392</v>
      </c>
      <c r="U5" s="237"/>
      <c r="V5" s="2636"/>
      <c r="W5" s="2637"/>
      <c r="X5" s="2637"/>
      <c r="Y5" s="2637"/>
      <c r="Z5" s="2637"/>
      <c r="AA5" s="2637"/>
      <c r="AB5" s="2637"/>
      <c r="AC5" s="2638"/>
      <c r="AD5" s="2636" t="e">
        <f>INDEX(PT_DIFFERENTIATION_IST_TE,MATCH(D5,PT_DIFFERENTIATION_IST_TE_ID,0))</f>
        <v>#N/A</v>
      </c>
      <c r="AE5" s="2637"/>
      <c r="AF5" s="2637"/>
      <c r="AG5" s="2637"/>
      <c r="AH5" s="2637"/>
      <c r="AI5" s="2637"/>
      <c r="AJ5" s="2637"/>
      <c r="AK5" s="2637"/>
      <c r="AL5" s="2638"/>
      <c r="AM5" s="1176" t="s">
        <v>393</v>
      </c>
      <c r="AO5" s="436"/>
      <c r="AP5" s="436" t="str">
        <f t="shared" si="0"/>
        <v xml:space="preserve">Источник тепловой энергии  </v>
      </c>
      <c r="AQ5" s="436"/>
      <c r="AR5" s="436"/>
      <c r="AS5" s="1073">
        <v>0</v>
      </c>
    </row>
    <row r="6" spans="1:45" ht="14.25" hidden="1" customHeight="1">
      <c r="A6" s="1281"/>
      <c r="B6" s="1281"/>
      <c r="C6" s="1281"/>
      <c r="D6" s="1281"/>
      <c r="E6" s="2643"/>
      <c r="F6" s="2643"/>
      <c r="G6" s="2643"/>
      <c r="H6" s="2643"/>
      <c r="I6" s="2644" t="e">
        <f>S5&amp;".1"</f>
        <v>#N/A</v>
      </c>
      <c r="J6" s="1281"/>
      <c r="K6" s="1281"/>
      <c r="L6" s="1282" t="s">
        <v>394</v>
      </c>
      <c r="M6" s="473"/>
      <c r="P6" s="2646">
        <v>1</v>
      </c>
      <c r="Q6" s="1249"/>
      <c r="R6" s="292"/>
      <c r="S6" s="965"/>
      <c r="T6" s="1301"/>
      <c r="U6" s="1302"/>
      <c r="V6" s="2673"/>
      <c r="W6" s="2674"/>
      <c r="X6" s="2674"/>
      <c r="Y6" s="2674"/>
      <c r="Z6" s="2674"/>
      <c r="AA6" s="2674"/>
      <c r="AB6" s="2674"/>
      <c r="AC6" s="2675"/>
      <c r="AD6" s="2673"/>
      <c r="AE6" s="2674"/>
      <c r="AF6" s="2674"/>
      <c r="AG6" s="2674"/>
      <c r="AH6" s="2674"/>
      <c r="AI6" s="2674"/>
      <c r="AJ6" s="2674"/>
      <c r="AK6" s="2674"/>
      <c r="AL6" s="2675"/>
      <c r="AM6" s="1303"/>
      <c r="AO6" s="436"/>
      <c r="AP6" s="436" t="str">
        <f t="shared" si="0"/>
        <v/>
      </c>
      <c r="AQ6" s="436"/>
      <c r="AR6" s="436"/>
      <c r="AS6" s="1073">
        <v>0</v>
      </c>
    </row>
    <row r="7" spans="1:45" ht="21" hidden="1" customHeight="1">
      <c r="A7" s="1281"/>
      <c r="B7" s="1281"/>
      <c r="C7" s="1281"/>
      <c r="D7" s="1281"/>
      <c r="E7" s="2643"/>
      <c r="F7" s="2643"/>
      <c r="G7" s="2643"/>
      <c r="H7" s="2643"/>
      <c r="I7" s="2645"/>
      <c r="J7" s="2644" t="e">
        <f>I6&amp;".1"</f>
        <v>#N/A</v>
      </c>
      <c r="K7" s="1281"/>
      <c r="L7" s="1282" t="s">
        <v>397</v>
      </c>
      <c r="M7" s="473"/>
      <c r="N7" s="1284"/>
      <c r="P7" s="2646"/>
      <c r="Q7" s="2646">
        <v>1</v>
      </c>
      <c r="R7" s="293"/>
      <c r="S7" s="1254" t="e">
        <f>$J7</f>
        <v>#N/A</v>
      </c>
      <c r="T7" s="223" t="s">
        <v>398</v>
      </c>
      <c r="U7" s="237"/>
      <c r="V7" s="2630"/>
      <c r="W7" s="2631"/>
      <c r="X7" s="2631"/>
      <c r="Y7" s="2631"/>
      <c r="Z7" s="2631"/>
      <c r="AA7" s="2631"/>
      <c r="AB7" s="2631"/>
      <c r="AC7" s="2632"/>
      <c r="AD7" s="2630"/>
      <c r="AE7" s="2631"/>
      <c r="AF7" s="2631"/>
      <c r="AG7" s="2631"/>
      <c r="AH7" s="2631"/>
      <c r="AI7" s="2631"/>
      <c r="AJ7" s="2631"/>
      <c r="AK7" s="2631"/>
      <c r="AL7" s="2632"/>
      <c r="AM7" s="1176" t="s">
        <v>399</v>
      </c>
      <c r="AO7" s="436"/>
      <c r="AP7" s="436" t="str">
        <f t="shared" si="0"/>
        <v>Группа потребителей</v>
      </c>
      <c r="AQ7" s="436"/>
      <c r="AR7" s="436"/>
      <c r="AS7" s="1073">
        <v>0</v>
      </c>
    </row>
    <row r="8" spans="1:45" ht="21" hidden="1" customHeight="1">
      <c r="A8" s="1281"/>
      <c r="B8" s="1281"/>
      <c r="C8" s="1281"/>
      <c r="D8" s="1281"/>
      <c r="E8" s="2643"/>
      <c r="F8" s="2643"/>
      <c r="G8" s="2643"/>
      <c r="H8" s="2643"/>
      <c r="I8" s="2645"/>
      <c r="J8" s="2645"/>
      <c r="K8" s="2644" t="e">
        <f>J7&amp;".1"</f>
        <v>#N/A</v>
      </c>
      <c r="L8" s="1282" t="s">
        <v>400</v>
      </c>
      <c r="M8" s="473"/>
      <c r="N8" s="1284"/>
      <c r="O8" s="1284"/>
      <c r="P8" s="2646"/>
      <c r="Q8" s="2646"/>
      <c r="R8" s="293">
        <v>1</v>
      </c>
      <c r="S8" s="1254" t="e">
        <f>$K8</f>
        <v>#N/A</v>
      </c>
      <c r="T8" s="1265"/>
      <c r="U8" s="237"/>
      <c r="V8" s="687"/>
      <c r="W8" s="262"/>
      <c r="X8" s="687"/>
      <c r="Y8" s="1175"/>
      <c r="Z8" s="2647"/>
      <c r="AA8" s="2524" t="s">
        <v>65</v>
      </c>
      <c r="AB8" s="2647"/>
      <c r="AC8" s="2524" t="s">
        <v>65</v>
      </c>
      <c r="AD8" s="687"/>
      <c r="AE8" s="262"/>
      <c r="AF8" s="687"/>
      <c r="AG8" s="1175"/>
      <c r="AH8" s="2647"/>
      <c r="AI8" s="2524" t="s">
        <v>65</v>
      </c>
      <c r="AJ8" s="2647"/>
      <c r="AK8" s="2524" t="s">
        <v>65</v>
      </c>
      <c r="AL8" s="262"/>
      <c r="AM8" s="2665" t="s">
        <v>401</v>
      </c>
      <c r="AN8" s="447" t="e">
        <f ca="1">STRCHECKDATE(V9:AL9)</f>
        <v>#NAME?</v>
      </c>
      <c r="AO8" s="436"/>
      <c r="AP8" s="436" t="str">
        <f t="shared" si="0"/>
        <v/>
      </c>
      <c r="AQ8" s="436"/>
      <c r="AR8" s="436"/>
      <c r="AS8" s="1073">
        <v>0</v>
      </c>
    </row>
    <row r="9" spans="1:45" ht="14.25" hidden="1" customHeight="1">
      <c r="A9" s="1281"/>
      <c r="B9" s="1281"/>
      <c r="C9" s="1281"/>
      <c r="D9" s="1281"/>
      <c r="E9" s="2643"/>
      <c r="F9" s="2643"/>
      <c r="G9" s="2643"/>
      <c r="H9" s="2643"/>
      <c r="I9" s="2645"/>
      <c r="J9" s="2645"/>
      <c r="K9" s="2644"/>
      <c r="L9" s="1282"/>
      <c r="M9" s="473"/>
      <c r="N9" s="1284"/>
      <c r="O9" s="1284"/>
      <c r="P9" s="2646"/>
      <c r="Q9" s="2646"/>
      <c r="R9" s="293"/>
      <c r="S9" s="1260"/>
      <c r="T9" s="237"/>
      <c r="U9" s="237"/>
      <c r="V9" s="262"/>
      <c r="W9" s="262"/>
      <c r="X9" s="262"/>
      <c r="Y9" s="265" t="str">
        <f>Z8&amp;"-"&amp;AB8</f>
        <v>-</v>
      </c>
      <c r="Z9" s="2648"/>
      <c r="AA9" s="2524"/>
      <c r="AB9" s="2648"/>
      <c r="AC9" s="2524"/>
      <c r="AD9" s="262"/>
      <c r="AE9" s="262"/>
      <c r="AF9" s="262"/>
      <c r="AG9" s="265" t="str">
        <f>AH8&amp;"-"&amp;AJ8</f>
        <v>-</v>
      </c>
      <c r="AH9" s="2648"/>
      <c r="AI9" s="2524"/>
      <c r="AJ9" s="2648"/>
      <c r="AK9" s="2524"/>
      <c r="AL9" s="262"/>
      <c r="AM9" s="2666"/>
      <c r="AO9" s="436"/>
      <c r="AP9" s="436" t="str">
        <f t="shared" si="0"/>
        <v/>
      </c>
      <c r="AQ9" s="436"/>
      <c r="AR9" s="436"/>
      <c r="AS9" s="1073">
        <v>0</v>
      </c>
    </row>
    <row r="10" spans="1:45" ht="15" hidden="1" customHeight="1">
      <c r="A10" s="1281"/>
      <c r="B10" s="1281"/>
      <c r="C10" s="1281"/>
      <c r="D10" s="1281"/>
      <c r="E10" s="2643"/>
      <c r="F10" s="2643"/>
      <c r="G10" s="2643"/>
      <c r="H10" s="2643"/>
      <c r="I10" s="2645"/>
      <c r="J10" s="2644"/>
      <c r="K10" s="1281"/>
      <c r="L10" s="1282"/>
      <c r="M10" s="473"/>
      <c r="N10" s="1284"/>
      <c r="P10" s="2646"/>
      <c r="Q10" s="2646"/>
      <c r="R10" s="292"/>
      <c r="S10" s="1196"/>
      <c r="T10" s="224" t="s">
        <v>402</v>
      </c>
      <c r="U10" s="303"/>
      <c r="V10" s="303"/>
      <c r="W10" s="303"/>
      <c r="X10" s="303"/>
      <c r="Y10" s="303"/>
      <c r="Z10" s="303"/>
      <c r="AA10" s="303"/>
      <c r="AB10" s="303"/>
      <c r="AC10" s="303"/>
      <c r="AD10" s="303"/>
      <c r="AE10" s="303"/>
      <c r="AF10" s="303"/>
      <c r="AG10" s="303"/>
      <c r="AH10" s="303"/>
      <c r="AI10" s="303"/>
      <c r="AJ10" s="303"/>
      <c r="AK10" s="303"/>
      <c r="AL10" s="261"/>
      <c r="AM10" s="2667"/>
      <c r="AO10" s="436"/>
      <c r="AP10" s="436" t="str">
        <f t="shared" si="0"/>
        <v>Добавить вид теплоносителя (параметры теплоносителя)</v>
      </c>
      <c r="AQ10" s="436"/>
      <c r="AR10" s="436"/>
      <c r="AS10" s="1073">
        <v>0</v>
      </c>
    </row>
    <row r="11" spans="1:45" ht="11.25" hidden="1" customHeight="1">
      <c r="A11" s="1281"/>
      <c r="B11" s="1281"/>
      <c r="C11" s="1281"/>
      <c r="D11" s="1281"/>
      <c r="E11" s="2643"/>
      <c r="F11" s="2643"/>
      <c r="G11" s="2643"/>
      <c r="H11" s="2643"/>
      <c r="I11" s="2644"/>
      <c r="J11" s="1281"/>
      <c r="K11" s="1281"/>
      <c r="L11" s="1282"/>
      <c r="M11" s="473"/>
      <c r="P11" s="2646"/>
      <c r="Q11" s="1249"/>
      <c r="R11" s="292"/>
      <c r="S11" s="1196"/>
      <c r="T11" s="301" t="s">
        <v>403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3">
        <v>0</v>
      </c>
    </row>
    <row r="12" spans="1:45" ht="14.25" hidden="1" customHeight="1">
      <c r="A12" s="1281"/>
      <c r="B12" s="1281"/>
      <c r="C12" s="1281"/>
      <c r="D12" s="1281"/>
      <c r="E12" s="2643"/>
      <c r="F12" s="2643"/>
      <c r="G12" s="2643"/>
      <c r="H12" s="2642"/>
      <c r="I12" s="1281"/>
      <c r="J12" s="1281"/>
      <c r="K12" s="1281"/>
      <c r="L12" s="1282"/>
      <c r="M12" s="1283"/>
      <c r="N12" s="1283"/>
      <c r="O12" s="473"/>
      <c r="P12" s="296"/>
      <c r="Q12" s="311"/>
      <c r="R12" s="291"/>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6"/>
      <c r="AP12" s="436" t="str">
        <f t="shared" si="0"/>
        <v/>
      </c>
      <c r="AQ12" s="436"/>
      <c r="AR12" s="436"/>
      <c r="AS12" s="1073">
        <v>0</v>
      </c>
    </row>
    <row r="13" spans="1:45" s="2407" customFormat="1" ht="14.25" hidden="1" customHeight="1">
      <c r="A13" s="1232"/>
      <c r="B13" s="1232"/>
      <c r="C13" s="1232"/>
      <c r="D13" s="1232"/>
      <c r="E13" s="2643"/>
      <c r="F13" s="2643"/>
      <c r="G13" s="2642"/>
      <c r="H13" s="1232"/>
      <c r="I13" s="1232"/>
      <c r="J13" s="1232"/>
      <c r="K13" s="1232"/>
      <c r="L13" s="1257"/>
      <c r="M13" s="1233"/>
      <c r="N13" s="1233"/>
      <c r="P13" s="1234"/>
      <c r="Q13" s="1235"/>
      <c r="R13" s="1234"/>
      <c r="S13" s="1236"/>
      <c r="T13" s="1237" t="s">
        <v>405</v>
      </c>
      <c r="U13" s="1238"/>
      <c r="V13" s="1238"/>
      <c r="W13" s="1238"/>
      <c r="X13" s="1238"/>
      <c r="Y13" s="1238"/>
      <c r="Z13" s="1238"/>
      <c r="AA13" s="1238"/>
      <c r="AB13" s="1238"/>
      <c r="AC13" s="1238"/>
      <c r="AD13" s="1238"/>
      <c r="AE13" s="1238"/>
      <c r="AF13" s="1238"/>
      <c r="AG13" s="1238"/>
      <c r="AH13" s="1238"/>
      <c r="AI13" s="1238"/>
      <c r="AJ13" s="1238"/>
      <c r="AK13" s="1238"/>
      <c r="AL13" s="1238"/>
      <c r="AM13" s="1238"/>
      <c r="AO13" s="719"/>
      <c r="AP13" s="719" t="str">
        <f t="shared" si="0"/>
        <v>Добавить источник для дифференциации</v>
      </c>
      <c r="AQ13" s="719"/>
      <c r="AR13" s="719"/>
      <c r="AS13" s="454">
        <v>0</v>
      </c>
    </row>
    <row r="14" spans="1:45" s="2407" customFormat="1" ht="14.25" hidden="1" customHeight="1">
      <c r="A14" s="1232"/>
      <c r="B14" s="1232"/>
      <c r="C14" s="1232"/>
      <c r="D14" s="1232"/>
      <c r="E14" s="2643"/>
      <c r="F14" s="2642"/>
      <c r="G14" s="1232"/>
      <c r="H14" s="1232"/>
      <c r="I14" s="1232"/>
      <c r="J14" s="1232"/>
      <c r="K14" s="1232"/>
      <c r="L14" s="1257"/>
      <c r="M14" s="1239"/>
      <c r="N14" s="1239"/>
      <c r="P14" s="1234"/>
      <c r="Q14" s="1235"/>
      <c r="R14" s="1234"/>
      <c r="S14" s="1240"/>
      <c r="T14" s="1241" t="s">
        <v>406</v>
      </c>
      <c r="U14" s="1242"/>
      <c r="V14" s="1242"/>
      <c r="W14" s="1242"/>
      <c r="X14" s="1242"/>
      <c r="Y14" s="1242"/>
      <c r="Z14" s="1242"/>
      <c r="AA14" s="1242"/>
      <c r="AB14" s="1242"/>
      <c r="AC14" s="1242"/>
      <c r="AD14" s="1242"/>
      <c r="AE14" s="1242"/>
      <c r="AF14" s="1242"/>
      <c r="AG14" s="1242"/>
      <c r="AH14" s="1242"/>
      <c r="AI14" s="1242"/>
      <c r="AJ14" s="1242"/>
      <c r="AK14" s="1242"/>
      <c r="AL14" s="1242"/>
      <c r="AM14" s="1242"/>
      <c r="AO14" s="719"/>
      <c r="AP14" s="719" t="str">
        <f t="shared" si="0"/>
        <v>Добавить централизованную систему для дифференциации</v>
      </c>
      <c r="AQ14" s="719"/>
      <c r="AR14" s="719"/>
      <c r="AS14" s="454">
        <v>0</v>
      </c>
    </row>
    <row r="15" spans="1:45" s="2407" customFormat="1" ht="14.25" hidden="1" customHeight="1">
      <c r="A15" s="1232"/>
      <c r="B15" s="1232"/>
      <c r="C15" s="1232"/>
      <c r="D15" s="1232"/>
      <c r="E15" s="2642"/>
      <c r="F15" s="1232"/>
      <c r="G15" s="1232"/>
      <c r="H15" s="1232"/>
      <c r="I15" s="1232"/>
      <c r="J15" s="1232"/>
      <c r="K15" s="1232"/>
      <c r="L15" s="1257"/>
      <c r="M15" s="1239"/>
      <c r="N15" s="1239"/>
      <c r="P15" s="1234"/>
      <c r="Q15" s="1235"/>
      <c r="R15" s="1234"/>
      <c r="S15" s="1240"/>
      <c r="T15" s="1243" t="s">
        <v>407</v>
      </c>
      <c r="U15" s="1242"/>
      <c r="V15" s="1242"/>
      <c r="W15" s="1242"/>
      <c r="X15" s="1242"/>
      <c r="Y15" s="1242"/>
      <c r="Z15" s="1242"/>
      <c r="AA15" s="1242"/>
      <c r="AB15" s="1242"/>
      <c r="AC15" s="1242"/>
      <c r="AD15" s="1242"/>
      <c r="AE15" s="1242"/>
      <c r="AF15" s="1242"/>
      <c r="AG15" s="1242"/>
      <c r="AH15" s="1242"/>
      <c r="AI15" s="1242"/>
      <c r="AJ15" s="1242"/>
      <c r="AK15" s="1242"/>
      <c r="AL15" s="1242"/>
      <c r="AM15" s="1242"/>
      <c r="AO15" s="719"/>
      <c r="AP15" s="719" t="str">
        <f t="shared" si="0"/>
        <v>Добавить территорию для дифференциации</v>
      </c>
      <c r="AQ15" s="719"/>
      <c r="AR15" s="719"/>
      <c r="AS15" s="454">
        <v>0</v>
      </c>
    </row>
    <row r="16" spans="1:45" ht="14.25" hidden="1" customHeight="1">
      <c r="AC16" s="264"/>
      <c r="AK16" s="264"/>
      <c r="AS16" s="1073">
        <v>0</v>
      </c>
    </row>
    <row r="17" spans="1:45" ht="14.25" hidden="1" customHeight="1">
      <c r="AD17" s="1278"/>
      <c r="AE17" s="1278"/>
      <c r="AF17" s="1278"/>
      <c r="AG17" s="1279"/>
      <c r="AH17" s="2640"/>
      <c r="AI17" s="2639" t="s">
        <v>65</v>
      </c>
      <c r="AJ17" s="2640"/>
      <c r="AK17" s="2639" t="s">
        <v>65</v>
      </c>
      <c r="AS17" s="1073">
        <v>0</v>
      </c>
    </row>
    <row r="18" spans="1:45" ht="14.25" hidden="1" customHeight="1">
      <c r="AD18" s="1278"/>
      <c r="AE18" s="1278"/>
      <c r="AF18" s="1278"/>
      <c r="AG18" s="265" t="str">
        <f>AH17&amp;"-"&amp;AJ17</f>
        <v>-</v>
      </c>
      <c r="AH18" s="2639"/>
      <c r="AI18" s="2639"/>
      <c r="AJ18" s="2639"/>
      <c r="AK18" s="2639"/>
      <c r="AS18" s="1073">
        <v>0</v>
      </c>
    </row>
    <row r="19" spans="1:45" ht="14.25" hidden="1" customHeight="1">
      <c r="AK19" s="264"/>
      <c r="AS19" s="1073">
        <v>0</v>
      </c>
    </row>
    <row r="20" spans="1:45" s="2406" customFormat="1" ht="22.5" hidden="1" customHeight="1">
      <c r="L20" s="1247"/>
      <c r="M20" s="1280"/>
      <c r="N20" s="1280"/>
      <c r="O20" s="1285" t="s">
        <v>408</v>
      </c>
      <c r="P20" s="1280"/>
      <c r="Q20" s="1289"/>
      <c r="R20" s="1289"/>
      <c r="S20" s="665"/>
      <c r="Z20" s="1285"/>
      <c r="AB20" s="1285"/>
      <c r="AC20" s="1284"/>
      <c r="AH20" s="1285"/>
      <c r="AJ20" s="1285"/>
      <c r="AK20" s="1284"/>
      <c r="AN20" s="447"/>
      <c r="AO20" s="447"/>
      <c r="AP20" s="447"/>
      <c r="AQ20" s="447"/>
      <c r="AR20" s="447"/>
      <c r="AS20" s="1078">
        <v>0</v>
      </c>
    </row>
    <row r="21" spans="1:45" s="2406" customFormat="1" ht="14.25" hidden="1" customHeight="1">
      <c r="L21" s="1247"/>
      <c r="M21" s="1280"/>
      <c r="N21" s="1280"/>
      <c r="O21" s="1280"/>
      <c r="P21" s="1280"/>
      <c r="Q21" s="1289"/>
      <c r="R21" s="1289"/>
      <c r="S21" s="665"/>
      <c r="AC21" s="1284"/>
      <c r="AK21" s="1284"/>
      <c r="AN21" s="447"/>
      <c r="AO21" s="447"/>
      <c r="AP21" s="447"/>
      <c r="AQ21" s="447"/>
      <c r="AR21" s="447"/>
      <c r="AS21" s="1078">
        <v>0</v>
      </c>
    </row>
    <row r="22" spans="1:45" s="2406" customFormat="1" ht="14.25" hidden="1" customHeight="1">
      <c r="L22" s="1247"/>
      <c r="M22" s="1280"/>
      <c r="N22" s="1280"/>
      <c r="O22" s="1282" t="s">
        <v>409</v>
      </c>
      <c r="P22" s="1280"/>
      <c r="Q22" s="1289"/>
      <c r="R22" s="1289"/>
      <c r="S22" s="665"/>
      <c r="T22" s="1078" t="s">
        <v>410</v>
      </c>
      <c r="AA22" s="123" t="s">
        <v>411</v>
      </c>
      <c r="AC22" s="123" t="s">
        <v>412</v>
      </c>
      <c r="AD22" s="1078" t="s">
        <v>410</v>
      </c>
      <c r="AI22" s="123" t="s">
        <v>413</v>
      </c>
      <c r="AK22" s="123" t="s">
        <v>412</v>
      </c>
      <c r="AN22" s="447"/>
      <c r="AO22" s="447"/>
      <c r="AP22" s="447"/>
      <c r="AQ22" s="447"/>
      <c r="AR22" s="447"/>
      <c r="AS22" s="1078">
        <v>0</v>
      </c>
    </row>
    <row r="23" spans="1:45" ht="14.25" hidden="1" customHeight="1">
      <c r="O23" s="1282"/>
      <c r="AS23" s="1073">
        <v>0</v>
      </c>
    </row>
    <row r="24" spans="1:45" ht="14.25" hidden="1" customHeight="1">
      <c r="O24" s="1282"/>
      <c r="AS24" s="1073">
        <v>0</v>
      </c>
    </row>
    <row r="25" spans="1:45" ht="14.65" customHeight="1">
      <c r="Q25" s="312"/>
      <c r="R25" s="312"/>
      <c r="S25" s="1193"/>
      <c r="T25" s="299"/>
      <c r="U25" s="299"/>
      <c r="V25" s="445"/>
      <c r="W25" s="445"/>
      <c r="X25" s="445"/>
      <c r="Y25" s="445"/>
      <c r="Z25" s="445"/>
      <c r="AA25" s="445"/>
      <c r="AB25" s="445"/>
      <c r="AC25" s="445"/>
      <c r="AD25" s="445"/>
      <c r="AE25" s="445"/>
      <c r="AF25" s="445"/>
      <c r="AG25" s="445"/>
      <c r="AH25" s="445"/>
      <c r="AI25" s="445"/>
      <c r="AJ25" s="445"/>
      <c r="AK25" s="445"/>
      <c r="AS25" s="1073">
        <v>14</v>
      </c>
    </row>
    <row r="26" spans="1:45" ht="53.45" customHeight="1">
      <c r="Q26" s="312"/>
      <c r="R26" s="312"/>
      <c r="S26" s="26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23"/>
      <c r="U26" s="2623"/>
      <c r="V26" s="2623"/>
      <c r="W26" s="2623"/>
      <c r="X26" s="2623"/>
      <c r="Y26" s="2623"/>
      <c r="Z26" s="2623"/>
      <c r="AA26" s="2623"/>
      <c r="AB26" s="2623"/>
      <c r="AC26" s="2623"/>
      <c r="AD26" s="2623"/>
      <c r="AE26" s="2623"/>
      <c r="AF26" s="2623"/>
      <c r="AG26" s="2623"/>
      <c r="AH26" s="2623"/>
      <c r="AI26" s="2623"/>
      <c r="AJ26" s="2623"/>
      <c r="AK26" s="1161"/>
      <c r="AS26" s="1073">
        <v>51</v>
      </c>
    </row>
    <row r="27" spans="1:45" ht="14.65" customHeight="1">
      <c r="Q27" s="312"/>
      <c r="R27" s="312"/>
      <c r="S27" s="2595" t="str">
        <f>IF(org=0,"Не определено",org)</f>
        <v>ПАО "ТГК-1" (филиал "Кольский")</v>
      </c>
      <c r="T27" s="2595"/>
      <c r="U27" s="2595"/>
      <c r="V27" s="2595"/>
      <c r="W27" s="2595"/>
      <c r="X27" s="2595"/>
      <c r="Y27" s="2595"/>
      <c r="Z27" s="2595"/>
      <c r="AA27" s="2595"/>
      <c r="AB27" s="2595"/>
      <c r="AC27" s="2595"/>
      <c r="AD27" s="2595"/>
      <c r="AE27" s="2595"/>
      <c r="AF27" s="2595"/>
      <c r="AG27" s="2595"/>
      <c r="AH27" s="2595"/>
      <c r="AI27" s="2595"/>
      <c r="AJ27" s="2595"/>
      <c r="AK27" s="1161"/>
      <c r="AS27" s="1073">
        <v>14</v>
      </c>
    </row>
    <row r="28" spans="1:45" ht="14.25" hidden="1" customHeight="1">
      <c r="Q28" s="312"/>
      <c r="R28" s="312"/>
      <c r="S28" s="1193"/>
      <c r="T28" s="299"/>
      <c r="U28" s="299"/>
      <c r="V28" s="259"/>
      <c r="W28" s="259"/>
      <c r="X28" s="259"/>
      <c r="Y28" s="259"/>
      <c r="Z28" s="259"/>
      <c r="AA28" s="259"/>
      <c r="AB28" s="259"/>
      <c r="AC28" s="259"/>
      <c r="AD28" s="259"/>
      <c r="AE28" s="259"/>
      <c r="AF28" s="259"/>
      <c r="AG28" s="259"/>
      <c r="AH28" s="259"/>
      <c r="AI28" s="259"/>
      <c r="AJ28" s="259"/>
      <c r="AK28" s="259"/>
      <c r="AL28" s="445"/>
      <c r="AS28" s="1073">
        <v>0</v>
      </c>
    </row>
    <row r="29" spans="1:45" s="2416" customFormat="1" ht="25.5" hidden="1" customHeight="1">
      <c r="A29" s="1286"/>
      <c r="B29" s="1286"/>
      <c r="C29" s="1286"/>
      <c r="D29" s="1286"/>
      <c r="E29" s="1286"/>
      <c r="F29" s="1286"/>
      <c r="G29" s="1286"/>
      <c r="H29" s="1286"/>
      <c r="I29" s="1286"/>
      <c r="J29" s="1286"/>
      <c r="K29" s="1286"/>
      <c r="L29" s="1287"/>
      <c r="M29" s="1286"/>
      <c r="N29" s="1286"/>
      <c r="O29" s="1286"/>
      <c r="S29" s="2633" t="s">
        <v>41</v>
      </c>
      <c r="T29" s="2633"/>
      <c r="U29" s="1290"/>
      <c r="V29" s="2635" t="str">
        <f>IF(TITLE_NAME_OR_PR_CHANGE="",IF(TITLE_NAME_OR_PR="","",TITLE_NAME_OR_PR),TITLE_NAME_OR_PR_CHANGE)</f>
        <v/>
      </c>
      <c r="W29" s="2635"/>
      <c r="X29" s="2635"/>
      <c r="Y29" s="2635"/>
      <c r="Z29" s="2635"/>
      <c r="AA29" s="2635"/>
      <c r="AB29" s="2635"/>
      <c r="AC29" s="263"/>
      <c r="AD29" s="2635" t="str">
        <f>IF(TITLE_NAME_OR_PR_CHANGE="",IF(TITLE_NAME_OR_PR="","",TITLE_NAME_OR_PR),TITLE_NAME_OR_PR_CHANGE)</f>
        <v/>
      </c>
      <c r="AE29" s="2635"/>
      <c r="AF29" s="2635"/>
      <c r="AG29" s="2635"/>
      <c r="AH29" s="2635"/>
      <c r="AI29" s="2635"/>
      <c r="AJ29" s="2635"/>
      <c r="AK29" s="263"/>
      <c r="AL29" s="263"/>
      <c r="AM29" s="217"/>
      <c r="AN29" s="304"/>
      <c r="AO29" s="304"/>
      <c r="AP29" s="304"/>
      <c r="AQ29" s="304"/>
      <c r="AR29" s="304"/>
      <c r="AS29" s="354">
        <v>0</v>
      </c>
    </row>
    <row r="30" spans="1:45" s="2416" customFormat="1" ht="18.75" hidden="1" customHeight="1">
      <c r="A30" s="1286"/>
      <c r="B30" s="1286"/>
      <c r="C30" s="1286"/>
      <c r="D30" s="1286"/>
      <c r="E30" s="1286"/>
      <c r="F30" s="1286"/>
      <c r="G30" s="1286"/>
      <c r="H30" s="1286"/>
      <c r="I30" s="1286"/>
      <c r="J30" s="1286"/>
      <c r="K30" s="1286"/>
      <c r="L30" s="1287"/>
      <c r="M30" s="1286"/>
      <c r="N30" s="1286"/>
      <c r="O30" s="1286"/>
      <c r="S30" s="2633" t="s">
        <v>414</v>
      </c>
      <c r="T30" s="2633"/>
      <c r="U30" s="1290"/>
      <c r="V30" s="2634" t="str">
        <f>IF(TITLE_DATE_PR_CHANGE="",IF(TITLE_DATE_PR="","",TITLE_DATE_PR),TITLE_DATE_PR_CHANGE)</f>
        <v/>
      </c>
      <c r="W30" s="2634"/>
      <c r="X30" s="2634"/>
      <c r="Y30" s="2634"/>
      <c r="Z30" s="2634"/>
      <c r="AA30" s="2634"/>
      <c r="AB30" s="2634"/>
      <c r="AC30" s="263"/>
      <c r="AD30" s="2634" t="str">
        <f>IF(TITLE_DATE_PR_CHANGE="",IF(TITLE_DATE_PR="","",TITLE_DATE_PR),TITLE_DATE_PR_CHANGE)</f>
        <v/>
      </c>
      <c r="AE30" s="2634"/>
      <c r="AF30" s="2634"/>
      <c r="AG30" s="2634"/>
      <c r="AH30" s="2634"/>
      <c r="AI30" s="2634"/>
      <c r="AJ30" s="2634"/>
      <c r="AK30" s="263"/>
      <c r="AL30" s="263"/>
      <c r="AM30" s="217"/>
      <c r="AN30" s="304"/>
      <c r="AO30" s="304"/>
      <c r="AP30" s="304"/>
      <c r="AQ30" s="304"/>
      <c r="AR30" s="304"/>
      <c r="AS30" s="354">
        <v>0</v>
      </c>
    </row>
    <row r="31" spans="1:45" s="2416" customFormat="1" ht="18.75" hidden="1" customHeight="1">
      <c r="A31" s="1286"/>
      <c r="B31" s="1286"/>
      <c r="C31" s="1286"/>
      <c r="D31" s="1286"/>
      <c r="E31" s="1286"/>
      <c r="F31" s="1286"/>
      <c r="G31" s="1286"/>
      <c r="H31" s="1286"/>
      <c r="I31" s="1286"/>
      <c r="J31" s="1286"/>
      <c r="K31" s="1286"/>
      <c r="L31" s="1287"/>
      <c r="M31" s="1286"/>
      <c r="N31" s="1286"/>
      <c r="O31" s="1286"/>
      <c r="S31" s="2633" t="s">
        <v>415</v>
      </c>
      <c r="T31" s="2633"/>
      <c r="U31" s="1290"/>
      <c r="V31" s="2635" t="str">
        <f>IF(TITLE_NUMBER_PR_CHANGE="",IF(TITLE_NUMBER_PR="","",TITLE_NUMBER_PR),TITLE_NUMBER_PR_CHANGE)</f>
        <v/>
      </c>
      <c r="W31" s="2635"/>
      <c r="X31" s="2635"/>
      <c r="Y31" s="2635"/>
      <c r="Z31" s="2635"/>
      <c r="AA31" s="2635"/>
      <c r="AB31" s="2635"/>
      <c r="AC31" s="263"/>
      <c r="AD31" s="2635" t="str">
        <f>IF(TITLE_NUMBER_PR_CHANGE="",IF(TITLE_NUMBER_PR="","",TITLE_NUMBER_PR),TITLE_NUMBER_PR_CHANGE)</f>
        <v/>
      </c>
      <c r="AE31" s="2635"/>
      <c r="AF31" s="2635"/>
      <c r="AG31" s="2635"/>
      <c r="AH31" s="2635"/>
      <c r="AI31" s="2635"/>
      <c r="AJ31" s="2635"/>
      <c r="AK31" s="263"/>
      <c r="AL31" s="263"/>
      <c r="AM31" s="217"/>
      <c r="AN31" s="304"/>
      <c r="AO31" s="304"/>
      <c r="AP31" s="304"/>
      <c r="AQ31" s="304"/>
      <c r="AR31" s="304"/>
      <c r="AS31" s="354">
        <v>0</v>
      </c>
    </row>
    <row r="32" spans="1:45" s="2416" customFormat="1" ht="18.75" hidden="1" customHeight="1">
      <c r="A32" s="1286"/>
      <c r="B32" s="1286"/>
      <c r="C32" s="1286"/>
      <c r="D32" s="1286"/>
      <c r="E32" s="1286"/>
      <c r="F32" s="1286"/>
      <c r="G32" s="1286"/>
      <c r="H32" s="1286"/>
      <c r="I32" s="1286"/>
      <c r="J32" s="1286"/>
      <c r="K32" s="1286"/>
      <c r="L32" s="1287"/>
      <c r="M32" s="1286"/>
      <c r="N32" s="1286"/>
      <c r="O32" s="1286"/>
      <c r="S32" s="2633" t="s">
        <v>42</v>
      </c>
      <c r="T32" s="2633"/>
      <c r="U32" s="1290"/>
      <c r="V32" s="2635" t="str">
        <f>IF(TITLE_IST_PUB_CHANGE="",IF(TITLE_IST_PUB="","",TITLE_IST_PUB),TITLE_IST_PUB_CHANGE)</f>
        <v/>
      </c>
      <c r="W32" s="2635"/>
      <c r="X32" s="2635"/>
      <c r="Y32" s="2635"/>
      <c r="Z32" s="2635"/>
      <c r="AA32" s="2635"/>
      <c r="AB32" s="2635"/>
      <c r="AC32" s="263"/>
      <c r="AD32" s="2635" t="str">
        <f>IF(TITLE_IST_PUB_CHANGE="",IF(TITLE_IST_PUB="","",TITLE_IST_PUB),TITLE_IST_PUB_CHANGE)</f>
        <v/>
      </c>
      <c r="AE32" s="2635"/>
      <c r="AF32" s="2635"/>
      <c r="AG32" s="2635"/>
      <c r="AH32" s="2635"/>
      <c r="AI32" s="2635"/>
      <c r="AJ32" s="2635"/>
      <c r="AK32" s="263"/>
      <c r="AL32" s="263"/>
      <c r="AM32" s="217"/>
      <c r="AN32" s="304"/>
      <c r="AO32" s="304"/>
      <c r="AP32" s="304"/>
      <c r="AQ32" s="304"/>
      <c r="AR32" s="304"/>
      <c r="AS32" s="354">
        <v>0</v>
      </c>
    </row>
    <row r="33" spans="1:45" ht="14.25" hidden="1" customHeight="1">
      <c r="Q33" s="312"/>
      <c r="R33" s="312"/>
      <c r="S33" s="1193"/>
      <c r="T33" s="299"/>
      <c r="U33" s="299"/>
      <c r="V33" s="259"/>
      <c r="W33" s="259"/>
      <c r="X33" s="259"/>
      <c r="Y33" s="259"/>
      <c r="Z33" s="259"/>
      <c r="AA33" s="259"/>
      <c r="AB33" s="259"/>
      <c r="AC33" s="259"/>
      <c r="AD33" s="259"/>
      <c r="AE33" s="259"/>
      <c r="AF33" s="259"/>
      <c r="AG33" s="259"/>
      <c r="AH33" s="259"/>
      <c r="AI33" s="259"/>
      <c r="AJ33" s="259"/>
      <c r="AK33" s="259"/>
      <c r="AL33" s="445"/>
      <c r="AS33" s="1073">
        <v>0</v>
      </c>
    </row>
    <row r="34" spans="1:45" s="2416" customFormat="1" ht="18.75" hidden="1" customHeight="1">
      <c r="A34" s="1286"/>
      <c r="B34" s="1286"/>
      <c r="C34" s="1286"/>
      <c r="D34" s="1286"/>
      <c r="E34" s="1286"/>
      <c r="F34" s="1286"/>
      <c r="G34" s="1286"/>
      <c r="H34" s="1286"/>
      <c r="I34" s="1286"/>
      <c r="J34" s="1286"/>
      <c r="K34" s="1286"/>
      <c r="L34" s="1287"/>
      <c r="M34" s="1286"/>
      <c r="N34" s="1286"/>
      <c r="O34" s="1286"/>
      <c r="S34" s="2633" t="s">
        <v>416</v>
      </c>
      <c r="T34" s="2633"/>
      <c r="U34" s="1290"/>
      <c r="V34" s="2634" t="str">
        <f>IF(TITLE_DATE_PR_CHANGE="",IF(TITLE_DATE_PR="","",TITLE_DATE_PR),TITLE_DATE_PR_CHANGE)</f>
        <v/>
      </c>
      <c r="W34" s="2634"/>
      <c r="X34" s="2634"/>
      <c r="Y34" s="2634"/>
      <c r="Z34" s="2634"/>
      <c r="AA34" s="2634"/>
      <c r="AB34" s="2634"/>
      <c r="AC34" s="263"/>
      <c r="AD34" s="2634" t="str">
        <f>IF(TITLE_DATE_PR_CHANGE="",IF(TITLE_DATE_PR="","",TITLE_DATE_PR),TITLE_DATE_PR_CHANGE)</f>
        <v/>
      </c>
      <c r="AE34" s="2634"/>
      <c r="AF34" s="2634"/>
      <c r="AG34" s="2634"/>
      <c r="AH34" s="2634"/>
      <c r="AI34" s="2634"/>
      <c r="AJ34" s="2634"/>
      <c r="AK34" s="263"/>
      <c r="AL34" s="263"/>
      <c r="AM34" s="217"/>
      <c r="AN34" s="304"/>
      <c r="AO34" s="304"/>
      <c r="AP34" s="304"/>
      <c r="AQ34" s="304"/>
      <c r="AR34" s="304"/>
      <c r="AS34" s="354">
        <v>0</v>
      </c>
    </row>
    <row r="35" spans="1:45" s="2416" customFormat="1" ht="25.5" hidden="1" customHeight="1">
      <c r="A35" s="1286"/>
      <c r="B35" s="1286"/>
      <c r="C35" s="1286"/>
      <c r="D35" s="1286"/>
      <c r="E35" s="1286"/>
      <c r="F35" s="1286"/>
      <c r="G35" s="1286"/>
      <c r="H35" s="1286"/>
      <c r="I35" s="1286"/>
      <c r="J35" s="1286"/>
      <c r="K35" s="1286"/>
      <c r="L35" s="1287"/>
      <c r="M35" s="1286"/>
      <c r="N35" s="1286"/>
      <c r="O35" s="1286"/>
      <c r="S35" s="2633" t="s">
        <v>417</v>
      </c>
      <c r="T35" s="2633"/>
      <c r="U35" s="1290"/>
      <c r="V35" s="2635" t="str">
        <f>IF(TITLE_NUMBER_PR_CHANGE="",IF(TITLE_NUMBER_PR="","",TITLE_NUMBER_PR),TITLE_NUMBER_PR_CHANGE)</f>
        <v/>
      </c>
      <c r="W35" s="2635"/>
      <c r="X35" s="2635"/>
      <c r="Y35" s="2635"/>
      <c r="Z35" s="2635"/>
      <c r="AA35" s="2635"/>
      <c r="AB35" s="2635"/>
      <c r="AC35" s="263"/>
      <c r="AD35" s="2635" t="str">
        <f>IF(TITLE_NUMBER_PR_CHANGE="",IF(TITLE_NUMBER_PR="","",TITLE_NUMBER_PR),TITLE_NUMBER_PR_CHANGE)</f>
        <v/>
      </c>
      <c r="AE35" s="2635"/>
      <c r="AF35" s="2635"/>
      <c r="AG35" s="2635"/>
      <c r="AH35" s="2635"/>
      <c r="AI35" s="2635"/>
      <c r="AJ35" s="2635"/>
      <c r="AK35" s="263"/>
      <c r="AL35" s="263"/>
      <c r="AM35" s="217"/>
      <c r="AN35" s="304"/>
      <c r="AO35" s="304"/>
      <c r="AP35" s="304"/>
      <c r="AQ35" s="304"/>
      <c r="AR35" s="304"/>
      <c r="AS35" s="354">
        <v>0</v>
      </c>
    </row>
    <row r="36" spans="1:45" s="2416" customFormat="1" ht="0" hidden="1" customHeight="1">
      <c r="A36" s="1286"/>
      <c r="B36" s="1286"/>
      <c r="C36" s="1286"/>
      <c r="D36" s="1286"/>
      <c r="E36" s="1286"/>
      <c r="F36" s="1286"/>
      <c r="G36" s="1286"/>
      <c r="H36" s="1286"/>
      <c r="I36" s="1286"/>
      <c r="J36" s="1286"/>
      <c r="K36" s="1286"/>
      <c r="L36" s="1287"/>
      <c r="M36" s="1286"/>
      <c r="N36" s="1286"/>
      <c r="O36" s="1286"/>
      <c r="S36" s="260"/>
      <c r="T36" s="260"/>
      <c r="U36" s="1258"/>
      <c r="V36" s="263"/>
      <c r="W36" s="263"/>
      <c r="X36" s="263"/>
      <c r="Y36" s="263"/>
      <c r="Z36" s="263"/>
      <c r="AA36" s="263"/>
      <c r="AB36" s="263"/>
      <c r="AC36" s="215" t="s">
        <v>418</v>
      </c>
      <c r="AD36" s="263"/>
      <c r="AE36" s="263"/>
      <c r="AF36" s="263"/>
      <c r="AG36" s="263"/>
      <c r="AH36" s="263"/>
      <c r="AI36" s="263"/>
      <c r="AJ36" s="263"/>
      <c r="AK36" s="215" t="s">
        <v>418</v>
      </c>
      <c r="AN36" s="304"/>
      <c r="AO36" s="304"/>
      <c r="AP36" s="304"/>
      <c r="AQ36" s="304"/>
      <c r="AR36" s="304"/>
      <c r="AS36" s="354">
        <v>0</v>
      </c>
    </row>
    <row r="37" spans="1:45" ht="14.65" customHeight="1">
      <c r="Q37" s="312"/>
      <c r="R37" s="312"/>
      <c r="S37" s="1193"/>
      <c r="T37" s="299"/>
      <c r="U37" s="1162"/>
      <c r="V37" s="2654"/>
      <c r="W37" s="2654"/>
      <c r="X37" s="2654"/>
      <c r="Y37" s="2654"/>
      <c r="Z37" s="2654"/>
      <c r="AA37" s="2654"/>
      <c r="AB37" s="2654"/>
      <c r="AC37" s="2654"/>
      <c r="AD37" s="2654"/>
      <c r="AE37" s="2654"/>
      <c r="AF37" s="2654"/>
      <c r="AG37" s="2654"/>
      <c r="AH37" s="2654"/>
      <c r="AI37" s="2654"/>
      <c r="AJ37" s="2654"/>
      <c r="AK37" s="2654"/>
      <c r="AS37" s="1073">
        <v>14</v>
      </c>
    </row>
    <row r="38" spans="1:45" ht="14.65" customHeight="1">
      <c r="Q38" s="312"/>
      <c r="R38" s="312"/>
      <c r="S38" s="2514" t="s">
        <v>291</v>
      </c>
      <c r="T38" s="2514"/>
      <c r="U38" s="2514"/>
      <c r="V38" s="2514"/>
      <c r="W38" s="2514"/>
      <c r="X38" s="2514"/>
      <c r="Y38" s="2514"/>
      <c r="Z38" s="2514"/>
      <c r="AA38" s="2514"/>
      <c r="AB38" s="2514"/>
      <c r="AC38" s="2514"/>
      <c r="AD38" s="2514"/>
      <c r="AE38" s="2514"/>
      <c r="AF38" s="2514"/>
      <c r="AG38" s="2514"/>
      <c r="AH38" s="2514"/>
      <c r="AI38" s="2514"/>
      <c r="AJ38" s="2514"/>
      <c r="AK38" s="2514"/>
      <c r="AL38" s="2514"/>
      <c r="AM38" s="2514" t="s">
        <v>292</v>
      </c>
      <c r="AS38" s="1073">
        <v>14</v>
      </c>
    </row>
    <row r="39" spans="1:45" ht="14.65" customHeight="1">
      <c r="Q39" s="312"/>
      <c r="R39" s="312"/>
      <c r="S39" s="2655" t="s">
        <v>84</v>
      </c>
      <c r="T39" s="2603" t="s">
        <v>419</v>
      </c>
      <c r="U39" s="238"/>
      <c r="V39" s="2656" t="s">
        <v>420</v>
      </c>
      <c r="W39" s="2657"/>
      <c r="X39" s="2657"/>
      <c r="Y39" s="2657"/>
      <c r="Z39" s="2657"/>
      <c r="AA39" s="2657"/>
      <c r="AB39" s="2658"/>
      <c r="AC39" s="2659" t="s">
        <v>421</v>
      </c>
      <c r="AD39" s="2656" t="s">
        <v>420</v>
      </c>
      <c r="AE39" s="2657"/>
      <c r="AF39" s="2657"/>
      <c r="AG39" s="2657"/>
      <c r="AH39" s="2657"/>
      <c r="AI39" s="2657"/>
      <c r="AJ39" s="2658"/>
      <c r="AK39" s="2659" t="s">
        <v>422</v>
      </c>
      <c r="AL39" s="2662" t="s">
        <v>423</v>
      </c>
      <c r="AM39" s="2514"/>
      <c r="AS39" s="1073">
        <v>14</v>
      </c>
    </row>
    <row r="40" spans="1:45" ht="35.65" customHeight="1">
      <c r="Q40" s="312"/>
      <c r="R40" s="312"/>
      <c r="S40" s="2655"/>
      <c r="T40" s="2603"/>
      <c r="U40" s="954"/>
      <c r="V40" s="2573" t="s">
        <v>424</v>
      </c>
      <c r="W40" s="2651"/>
      <c r="X40" s="2496" t="s">
        <v>426</v>
      </c>
      <c r="Y40" s="2495"/>
      <c r="Z40" s="2496" t="s">
        <v>427</v>
      </c>
      <c r="AA40" s="2501"/>
      <c r="AB40" s="2495"/>
      <c r="AC40" s="2660"/>
      <c r="AD40" s="2573" t="s">
        <v>441</v>
      </c>
      <c r="AE40" s="2651"/>
      <c r="AF40" s="2496" t="s">
        <v>426</v>
      </c>
      <c r="AG40" s="2495"/>
      <c r="AH40" s="2496" t="s">
        <v>427</v>
      </c>
      <c r="AI40" s="2501"/>
      <c r="AJ40" s="2495"/>
      <c r="AK40" s="2660"/>
      <c r="AL40" s="2663"/>
      <c r="AM40" s="2514"/>
      <c r="AS40" s="1073">
        <v>34</v>
      </c>
    </row>
    <row r="41" spans="1:45" ht="35.65" customHeight="1">
      <c r="A41" s="1288"/>
      <c r="B41" s="1288" t="s">
        <v>128</v>
      </c>
      <c r="C41" s="1288" t="s">
        <v>129</v>
      </c>
      <c r="D41" s="1288" t="s">
        <v>130</v>
      </c>
      <c r="E41" s="1282" t="s">
        <v>428</v>
      </c>
      <c r="F41" s="1282" t="s">
        <v>429</v>
      </c>
      <c r="G41" s="1282" t="s">
        <v>430</v>
      </c>
      <c r="H41" s="1282" t="s">
        <v>431</v>
      </c>
      <c r="I41" s="1282" t="s">
        <v>432</v>
      </c>
      <c r="J41" s="1282" t="s">
        <v>433</v>
      </c>
      <c r="K41" s="1282" t="s">
        <v>434</v>
      </c>
      <c r="L41" s="1282" t="s">
        <v>409</v>
      </c>
      <c r="Q41" s="312"/>
      <c r="R41" s="312"/>
      <c r="S41" s="2655"/>
      <c r="T41" s="2603"/>
      <c r="U41" s="239"/>
      <c r="V41" s="2628"/>
      <c r="W41" s="2652"/>
      <c r="X41" s="1140" t="s">
        <v>435</v>
      </c>
      <c r="Y41" s="1140" t="s">
        <v>436</v>
      </c>
      <c r="Z41" s="1256" t="s">
        <v>437</v>
      </c>
      <c r="AA41" s="2608" t="s">
        <v>438</v>
      </c>
      <c r="AB41" s="2622"/>
      <c r="AC41" s="2661"/>
      <c r="AD41" s="2628"/>
      <c r="AE41" s="2652"/>
      <c r="AF41" s="1140" t="s">
        <v>435</v>
      </c>
      <c r="AG41" s="1140" t="s">
        <v>436</v>
      </c>
      <c r="AH41" s="1256" t="s">
        <v>437</v>
      </c>
      <c r="AI41" s="2608" t="s">
        <v>438</v>
      </c>
      <c r="AJ41" s="2622"/>
      <c r="AK41" s="2661"/>
      <c r="AL41" s="2664"/>
      <c r="AM41" s="2514"/>
      <c r="AS41" s="1073">
        <v>34</v>
      </c>
    </row>
    <row r="42" spans="1:45" s="243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102</v>
      </c>
      <c r="T42" s="1173" t="s">
        <v>103</v>
      </c>
      <c r="U42" s="1163" t="str">
        <f ca="1">OFFSET(U42,0,-1)</f>
        <v>2</v>
      </c>
      <c r="V42" s="1253">
        <f ca="1">OFFSET(V42,0,-1)+1</f>
        <v>3</v>
      </c>
      <c r="W42" s="1253"/>
      <c r="X42" s="1253">
        <f ca="1">OFFSET(X42,0,-1)+1</f>
        <v>1</v>
      </c>
      <c r="Y42" s="1253">
        <f ca="1">OFFSET(Y42,0,-1)+1</f>
        <v>2</v>
      </c>
      <c r="Z42" s="1253">
        <f ca="1">OFFSET(Z42,0,-1)+1</f>
        <v>3</v>
      </c>
      <c r="AA42" s="2653">
        <f ca="1">OFFSET(AA42,0,-1)+1</f>
        <v>4</v>
      </c>
      <c r="AB42" s="2653"/>
      <c r="AC42" s="1253">
        <f ca="1">OFFSET(AC42,0,-2)+1</f>
        <v>5</v>
      </c>
      <c r="AD42" s="1253">
        <f ca="1">OFFSET(AD42,0,-1)+1</f>
        <v>6</v>
      </c>
      <c r="AE42" s="1253"/>
      <c r="AF42" s="1253">
        <f ca="1">OFFSET(AF42,0,-1)+1</f>
        <v>1</v>
      </c>
      <c r="AG42" s="1253">
        <f ca="1">OFFSET(AG42,0,-1)+1</f>
        <v>2</v>
      </c>
      <c r="AH42" s="1253">
        <f ca="1">OFFSET(AH42,0,-1)+1</f>
        <v>3</v>
      </c>
      <c r="AI42" s="2653">
        <f ca="1">OFFSET(AI42,0,-1)+1</f>
        <v>4</v>
      </c>
      <c r="AJ42" s="2653"/>
      <c r="AK42" s="1253">
        <f ca="1">OFFSET(AK42,0,-2)+1</f>
        <v>5</v>
      </c>
      <c r="AL42" s="1163">
        <f ca="1">OFFSET(AL42,0,-1)</f>
        <v>5</v>
      </c>
      <c r="AM42" s="1253">
        <f ca="1">OFFSET(AM42,0,-1)+1</f>
        <v>6</v>
      </c>
      <c r="AN42" s="447"/>
      <c r="AO42" s="447"/>
      <c r="AP42" s="447"/>
      <c r="AQ42" s="447"/>
      <c r="AR42" s="447"/>
      <c r="AS42" s="432">
        <v>0</v>
      </c>
    </row>
    <row r="43" spans="1:45" ht="21.95" customHeight="1">
      <c r="A43" s="1281" t="s">
        <v>179</v>
      </c>
      <c r="B43" s="1281"/>
      <c r="C43" s="1281"/>
      <c r="D43" s="1281"/>
      <c r="E43" s="2642">
        <v>1</v>
      </c>
      <c r="F43" s="1281"/>
      <c r="G43" s="1281"/>
      <c r="H43" s="1281"/>
      <c r="I43" s="1281"/>
      <c r="J43" s="1281"/>
      <c r="K43" s="1281"/>
      <c r="L43" s="1282"/>
      <c r="M43" s="1283"/>
      <c r="N43" s="1283"/>
      <c r="O43" s="1283"/>
      <c r="P43" s="297"/>
      <c r="Q43" s="296"/>
      <c r="R43" s="291"/>
      <c r="S43" s="1254">
        <f>INDEX(PT_DIFFERENTIATION_NUM_NTAR,MATCH(A43,PT_DIFFERENTIATION_NTAR_ID,0))</f>
        <v>0</v>
      </c>
      <c r="T43" s="235" t="s">
        <v>116</v>
      </c>
      <c r="U43" s="237"/>
      <c r="V43" s="2636"/>
      <c r="W43" s="2637"/>
      <c r="X43" s="2637"/>
      <c r="Y43" s="2637"/>
      <c r="Z43" s="2637"/>
      <c r="AA43" s="2637"/>
      <c r="AB43" s="2637"/>
      <c r="AC43" s="2638"/>
      <c r="AD43" s="2636" t="str">
        <f>INDEX(PT_DIFFERENTIATION_NTAR,MATCH(A43,PT_DIFFERENTIATION_NTAR_ID,0))</f>
        <v/>
      </c>
      <c r="AE43" s="2637"/>
      <c r="AF43" s="2637"/>
      <c r="AG43" s="2637"/>
      <c r="AH43" s="2637"/>
      <c r="AI43" s="2637"/>
      <c r="AJ43" s="2637"/>
      <c r="AK43" s="2637"/>
      <c r="AL43" s="263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3">
        <v>21</v>
      </c>
    </row>
    <row r="44" spans="1:45" ht="21.95" customHeight="1">
      <c r="A44" s="1281" t="s">
        <v>179</v>
      </c>
      <c r="B44" s="1281" t="s">
        <v>180</v>
      </c>
      <c r="C44" s="1281"/>
      <c r="D44" s="1281"/>
      <c r="E44" s="2643"/>
      <c r="F44" s="2642">
        <v>1</v>
      </c>
      <c r="G44" s="1281"/>
      <c r="H44" s="1281"/>
      <c r="I44" s="1281"/>
      <c r="J44" s="1281"/>
      <c r="K44" s="1281"/>
      <c r="L44" s="1282"/>
      <c r="M44" s="1283"/>
      <c r="N44" s="1283"/>
      <c r="O44" s="1283"/>
      <c r="P44" s="1250"/>
      <c r="Q44" s="288"/>
      <c r="R44" s="289"/>
      <c r="S44" s="1254" t="str">
        <f>INDEX(PT_DIFFERENTIATION_NUM_TER,MATCH(B44,PT_DIFFERENTIATION_TER_ID,0))</f>
        <v>.</v>
      </c>
      <c r="T44" s="245" t="s">
        <v>388</v>
      </c>
      <c r="U44" s="237"/>
      <c r="V44" s="2636"/>
      <c r="W44" s="2637"/>
      <c r="X44" s="2637"/>
      <c r="Y44" s="2637"/>
      <c r="Z44" s="2637"/>
      <c r="AA44" s="2637"/>
      <c r="AB44" s="2637"/>
      <c r="AC44" s="2638"/>
      <c r="AD44" s="2636" t="str">
        <f>INDEX(PT_DIFFERENTIATION_TER,MATCH(B44,PT_DIFFERENTIATION_TER_ID,0))</f>
        <v/>
      </c>
      <c r="AE44" s="2637"/>
      <c r="AF44" s="2637"/>
      <c r="AG44" s="2637"/>
      <c r="AH44" s="2637"/>
      <c r="AI44" s="2637"/>
      <c r="AJ44" s="2637"/>
      <c r="AK44" s="2637"/>
      <c r="AL44" s="2638"/>
      <c r="AM44" s="1176" t="s">
        <v>389</v>
      </c>
      <c r="AO44" s="436"/>
      <c r="AP44" s="436" t="str">
        <f t="shared" si="1"/>
        <v>Территория действия тарифа</v>
      </c>
      <c r="AQ44" s="436"/>
      <c r="AR44" s="436"/>
      <c r="AS44" s="1073">
        <v>21</v>
      </c>
    </row>
    <row r="45" spans="1:45" ht="24" customHeight="1">
      <c r="A45" s="1281" t="s">
        <v>179</v>
      </c>
      <c r="B45" s="1281" t="s">
        <v>180</v>
      </c>
      <c r="C45" s="1281" t="s">
        <v>181</v>
      </c>
      <c r="D45" s="1281"/>
      <c r="E45" s="2643"/>
      <c r="F45" s="2643"/>
      <c r="G45" s="2642">
        <v>1</v>
      </c>
      <c r="H45" s="1281"/>
      <c r="I45" s="1281"/>
      <c r="J45" s="1281"/>
      <c r="K45" s="1281"/>
      <c r="L45" s="1282"/>
      <c r="M45" s="1283"/>
      <c r="N45" s="1283"/>
      <c r="O45" s="1283"/>
      <c r="P45" s="290"/>
      <c r="Q45" s="288"/>
      <c r="R45" s="289"/>
      <c r="S45" s="1254" t="str">
        <f>INDEX(PT_DIFFERENTIATION_NUM_CS,MATCH(C45,PT_DIFFERENTIATION_CS_ID,0))</f>
        <v>..</v>
      </c>
      <c r="T45" s="246" t="s">
        <v>390</v>
      </c>
      <c r="U45" s="237"/>
      <c r="V45" s="2636"/>
      <c r="W45" s="2637"/>
      <c r="X45" s="2637"/>
      <c r="Y45" s="2637"/>
      <c r="Z45" s="2637"/>
      <c r="AA45" s="2637"/>
      <c r="AB45" s="2637"/>
      <c r="AC45" s="2638"/>
      <c r="AD45" s="2636" t="str">
        <f>INDEX(PT_DIFFERENTIATION_CS,MATCH(C45,PT_DIFFERENTIATION_CS_ID,0))</f>
        <v/>
      </c>
      <c r="AE45" s="2637"/>
      <c r="AF45" s="2637"/>
      <c r="AG45" s="2637"/>
      <c r="AH45" s="2637"/>
      <c r="AI45" s="2637"/>
      <c r="AJ45" s="2637"/>
      <c r="AK45" s="2637"/>
      <c r="AL45" s="2638"/>
      <c r="AM45" s="1176" t="s">
        <v>391</v>
      </c>
      <c r="AO45" s="436"/>
      <c r="AP45" s="436" t="str">
        <f t="shared" si="1"/>
        <v xml:space="preserve">Наименование системы теплоснабжения </v>
      </c>
      <c r="AQ45" s="436"/>
      <c r="AR45" s="436"/>
      <c r="AS45" s="1073">
        <v>23</v>
      </c>
    </row>
    <row r="46" spans="1:45" ht="21.95" customHeight="1">
      <c r="A46" s="1281" t="s">
        <v>179</v>
      </c>
      <c r="B46" s="1281" t="s">
        <v>180</v>
      </c>
      <c r="C46" s="1281" t="s">
        <v>181</v>
      </c>
      <c r="D46" s="1281" t="s">
        <v>182</v>
      </c>
      <c r="E46" s="2643"/>
      <c r="F46" s="2643"/>
      <c r="G46" s="2643"/>
      <c r="H46" s="2642">
        <v>1</v>
      </c>
      <c r="I46" s="1281"/>
      <c r="J46" s="1281"/>
      <c r="K46" s="1281"/>
      <c r="L46" s="1282"/>
      <c r="M46" s="1283"/>
      <c r="N46" s="1283"/>
      <c r="O46" s="1283"/>
      <c r="P46" s="290"/>
      <c r="Q46" s="288"/>
      <c r="R46" s="289"/>
      <c r="S46" s="1254" t="str">
        <f>INDEX(PT_DIFFERENTIATION_NUM_IST_TE,MATCH(D46,PT_DIFFERENTIATION_IST_TE_ID,0))</f>
        <v>...</v>
      </c>
      <c r="T46" s="247" t="s">
        <v>392</v>
      </c>
      <c r="U46" s="237"/>
      <c r="V46" s="2636"/>
      <c r="W46" s="2637"/>
      <c r="X46" s="2637"/>
      <c r="Y46" s="2637"/>
      <c r="Z46" s="2637"/>
      <c r="AA46" s="2637"/>
      <c r="AB46" s="2637"/>
      <c r="AC46" s="2638"/>
      <c r="AD46" s="2636" t="str">
        <f>INDEX(PT_DIFFERENTIATION_IST_TE,MATCH(D46,PT_DIFFERENTIATION_IST_TE_ID,0))</f>
        <v/>
      </c>
      <c r="AE46" s="2637"/>
      <c r="AF46" s="2637"/>
      <c r="AG46" s="2637"/>
      <c r="AH46" s="2637"/>
      <c r="AI46" s="2637"/>
      <c r="AJ46" s="2637"/>
      <c r="AK46" s="2637"/>
      <c r="AL46" s="2638"/>
      <c r="AM46" s="1176" t="s">
        <v>393</v>
      </c>
      <c r="AO46" s="436"/>
      <c r="AP46" s="436" t="str">
        <f t="shared" si="1"/>
        <v xml:space="preserve">Источник тепловой энергии  </v>
      </c>
      <c r="AQ46" s="436"/>
      <c r="AR46" s="436"/>
      <c r="AS46" s="1073">
        <v>21</v>
      </c>
    </row>
    <row r="47" spans="1:45" s="2407" customFormat="1" ht="0" hidden="1" customHeight="1">
      <c r="A47" s="1261" t="s">
        <v>179</v>
      </c>
      <c r="B47" s="1261" t="s">
        <v>180</v>
      </c>
      <c r="C47" s="1261" t="s">
        <v>181</v>
      </c>
      <c r="D47" s="1261" t="s">
        <v>182</v>
      </c>
      <c r="E47" s="2643"/>
      <c r="F47" s="2643"/>
      <c r="G47" s="2643"/>
      <c r="H47" s="2643"/>
      <c r="I47" s="2644" t="str">
        <f>S46&amp;".1"</f>
        <v>....1</v>
      </c>
      <c r="J47" s="1261"/>
      <c r="K47" s="1261"/>
      <c r="L47" s="1264" t="s">
        <v>394</v>
      </c>
      <c r="M47" s="446"/>
      <c r="N47" s="446"/>
      <c r="O47" s="446"/>
      <c r="P47" s="2646">
        <v>1</v>
      </c>
      <c r="Q47" s="1249"/>
      <c r="R47" s="292"/>
      <c r="S47" s="965"/>
      <c r="T47" s="1301"/>
      <c r="U47" s="1302"/>
      <c r="V47" s="2673"/>
      <c r="W47" s="2674"/>
      <c r="X47" s="2674"/>
      <c r="Y47" s="2674"/>
      <c r="Z47" s="2674"/>
      <c r="AA47" s="2674"/>
      <c r="AB47" s="2674"/>
      <c r="AC47" s="2675"/>
      <c r="AD47" s="2673"/>
      <c r="AE47" s="2674"/>
      <c r="AF47" s="2674"/>
      <c r="AG47" s="2674"/>
      <c r="AH47" s="2674"/>
      <c r="AI47" s="2674"/>
      <c r="AJ47" s="2674"/>
      <c r="AK47" s="2674"/>
      <c r="AL47" s="2675"/>
      <c r="AM47" s="1303"/>
      <c r="AO47" s="436"/>
      <c r="AP47" s="436" t="str">
        <f t="shared" si="1"/>
        <v/>
      </c>
      <c r="AQ47" s="436"/>
      <c r="AR47" s="436"/>
      <c r="AS47" s="447">
        <v>0</v>
      </c>
    </row>
    <row r="48" spans="1:45" ht="21.95" customHeight="1">
      <c r="A48" s="1281" t="s">
        <v>179</v>
      </c>
      <c r="B48" s="1281" t="s">
        <v>180</v>
      </c>
      <c r="C48" s="1281" t="s">
        <v>181</v>
      </c>
      <c r="D48" s="1281" t="s">
        <v>182</v>
      </c>
      <c r="E48" s="2643"/>
      <c r="F48" s="2643"/>
      <c r="G48" s="2643"/>
      <c r="H48" s="2643"/>
      <c r="I48" s="2645"/>
      <c r="J48" s="2644" t="str">
        <f>S46&amp;".1"</f>
        <v>....1</v>
      </c>
      <c r="K48" s="1281"/>
      <c r="L48" s="1282" t="s">
        <v>397</v>
      </c>
      <c r="P48" s="2646"/>
      <c r="Q48" s="2646">
        <v>1</v>
      </c>
      <c r="R48" s="293"/>
      <c r="S48" s="1254" t="str">
        <f>$J48</f>
        <v>....1</v>
      </c>
      <c r="T48" s="223" t="s">
        <v>398</v>
      </c>
      <c r="U48" s="237"/>
      <c r="V48" s="2630"/>
      <c r="W48" s="2631"/>
      <c r="X48" s="2631"/>
      <c r="Y48" s="2631"/>
      <c r="Z48" s="2631"/>
      <c r="AA48" s="2631"/>
      <c r="AB48" s="2631"/>
      <c r="AC48" s="2632"/>
      <c r="AD48" s="2630"/>
      <c r="AE48" s="2631"/>
      <c r="AF48" s="2631"/>
      <c r="AG48" s="2631"/>
      <c r="AH48" s="2631"/>
      <c r="AI48" s="2631"/>
      <c r="AJ48" s="2631"/>
      <c r="AK48" s="2631"/>
      <c r="AL48" s="2632"/>
      <c r="AM48" s="1176" t="s">
        <v>399</v>
      </c>
      <c r="AO48" s="436"/>
      <c r="AP48" s="436" t="str">
        <f t="shared" si="1"/>
        <v>Группа потребителей</v>
      </c>
      <c r="AQ48" s="436"/>
      <c r="AR48" s="436"/>
      <c r="AS48" s="1073">
        <v>21</v>
      </c>
    </row>
    <row r="49" spans="1:45" ht="21.95" customHeight="1">
      <c r="A49" s="1281" t="s">
        <v>179</v>
      </c>
      <c r="B49" s="1281" t="s">
        <v>180</v>
      </c>
      <c r="C49" s="1281" t="s">
        <v>181</v>
      </c>
      <c r="D49" s="1281" t="s">
        <v>182</v>
      </c>
      <c r="E49" s="2643"/>
      <c r="F49" s="2643"/>
      <c r="G49" s="2643"/>
      <c r="H49" s="2643"/>
      <c r="I49" s="2645"/>
      <c r="J49" s="2645"/>
      <c r="K49" s="2644" t="str">
        <f>J48&amp;".1"</f>
        <v>....1.1</v>
      </c>
      <c r="L49" s="1282" t="s">
        <v>400</v>
      </c>
      <c r="P49" s="2646"/>
      <c r="Q49" s="2646"/>
      <c r="R49" s="293">
        <v>1</v>
      </c>
      <c r="S49" s="1254" t="str">
        <f>$K49</f>
        <v>....1.1</v>
      </c>
      <c r="T49" s="1265"/>
      <c r="U49" s="237"/>
      <c r="V49" s="687"/>
      <c r="W49" s="262"/>
      <c r="X49" s="687"/>
      <c r="Y49" s="1175"/>
      <c r="Z49" s="2647"/>
      <c r="AA49" s="2524" t="s">
        <v>65</v>
      </c>
      <c r="AB49" s="2647"/>
      <c r="AC49" s="2524" t="s">
        <v>65</v>
      </c>
      <c r="AD49" s="687"/>
      <c r="AE49" s="262"/>
      <c r="AF49" s="687"/>
      <c r="AG49" s="1175"/>
      <c r="AH49" s="2647"/>
      <c r="AI49" s="2524" t="s">
        <v>65</v>
      </c>
      <c r="AJ49" s="2649"/>
      <c r="AK49" s="2524" t="s">
        <v>65</v>
      </c>
      <c r="AL49" s="1266"/>
      <c r="AM49" s="2665" t="s">
        <v>442</v>
      </c>
      <c r="AN49" s="447" t="e">
        <f ca="1">STRCHECKDATE(V50:AL50)</f>
        <v>#NAME?</v>
      </c>
      <c r="AO49" s="436"/>
      <c r="AP49" s="436" t="str">
        <f t="shared" si="1"/>
        <v/>
      </c>
      <c r="AQ49" s="436"/>
      <c r="AR49" s="436"/>
      <c r="AS49" s="1073">
        <v>21</v>
      </c>
    </row>
    <row r="50" spans="1:45" ht="0" hidden="1" customHeight="1">
      <c r="A50" s="1281" t="s">
        <v>179</v>
      </c>
      <c r="B50" s="1281" t="s">
        <v>180</v>
      </c>
      <c r="C50" s="1281" t="s">
        <v>181</v>
      </c>
      <c r="D50" s="1281" t="s">
        <v>182</v>
      </c>
      <c r="E50" s="2643"/>
      <c r="F50" s="2643"/>
      <c r="G50" s="2643"/>
      <c r="H50" s="2643"/>
      <c r="I50" s="2645"/>
      <c r="J50" s="2645"/>
      <c r="K50" s="2644"/>
      <c r="L50" s="1282"/>
      <c r="P50" s="2646"/>
      <c r="Q50" s="2646"/>
      <c r="R50" s="293"/>
      <c r="S50" s="1260"/>
      <c r="T50" s="237"/>
      <c r="U50" s="237"/>
      <c r="V50" s="262"/>
      <c r="W50" s="262"/>
      <c r="X50" s="262"/>
      <c r="Y50" s="265" t="str">
        <f>Z49&amp;"-"&amp;AB49</f>
        <v>-</v>
      </c>
      <c r="Z50" s="2648"/>
      <c r="AA50" s="2524"/>
      <c r="AB50" s="2648"/>
      <c r="AC50" s="2524"/>
      <c r="AD50" s="262"/>
      <c r="AE50" s="262"/>
      <c r="AF50" s="262"/>
      <c r="AG50" s="265" t="str">
        <f>AH49&amp;"-"&amp;AJ49</f>
        <v>-</v>
      </c>
      <c r="AH50" s="2648"/>
      <c r="AI50" s="2524"/>
      <c r="AJ50" s="2650"/>
      <c r="AK50" s="2524"/>
      <c r="AL50" s="1267"/>
      <c r="AM50" s="2666"/>
      <c r="AO50" s="436"/>
      <c r="AP50" s="436" t="str">
        <f t="shared" si="1"/>
        <v/>
      </c>
      <c r="AQ50" s="436"/>
      <c r="AR50" s="436"/>
      <c r="AS50" s="1073">
        <v>0</v>
      </c>
    </row>
    <row r="51" spans="1:45" ht="11.45" customHeight="1">
      <c r="A51" s="1281" t="s">
        <v>179</v>
      </c>
      <c r="B51" s="1281" t="s">
        <v>180</v>
      </c>
      <c r="C51" s="1281" t="s">
        <v>181</v>
      </c>
      <c r="D51" s="1281" t="s">
        <v>182</v>
      </c>
      <c r="E51" s="2643"/>
      <c r="F51" s="2643"/>
      <c r="G51" s="2643"/>
      <c r="H51" s="2643"/>
      <c r="I51" s="2645"/>
      <c r="J51" s="2644"/>
      <c r="K51" s="1281"/>
      <c r="L51" s="1282"/>
      <c r="P51" s="2646"/>
      <c r="Q51" s="2646"/>
      <c r="R51" s="292"/>
      <c r="S51" s="1196"/>
      <c r="T51" s="224" t="s">
        <v>402</v>
      </c>
      <c r="U51" s="303"/>
      <c r="V51" s="303"/>
      <c r="W51" s="303"/>
      <c r="X51" s="303"/>
      <c r="Y51" s="303"/>
      <c r="Z51" s="303"/>
      <c r="AA51" s="303"/>
      <c r="AB51" s="303"/>
      <c r="AC51" s="303"/>
      <c r="AD51" s="303"/>
      <c r="AE51" s="303"/>
      <c r="AF51" s="303"/>
      <c r="AG51" s="303"/>
      <c r="AH51" s="303"/>
      <c r="AI51" s="303"/>
      <c r="AJ51" s="303"/>
      <c r="AK51" s="303"/>
      <c r="AL51" s="261"/>
      <c r="AM51" s="2667"/>
      <c r="AO51" s="436"/>
      <c r="AP51" s="436" t="str">
        <f t="shared" si="1"/>
        <v>Добавить вид теплоносителя (параметры теплоносителя)</v>
      </c>
      <c r="AQ51" s="436"/>
      <c r="AR51" s="436"/>
      <c r="AS51" s="1073">
        <v>11</v>
      </c>
    </row>
    <row r="52" spans="1:45" ht="11.45" customHeight="1">
      <c r="A52" s="1281" t="s">
        <v>179</v>
      </c>
      <c r="B52" s="1281" t="s">
        <v>180</v>
      </c>
      <c r="C52" s="1281" t="s">
        <v>181</v>
      </c>
      <c r="D52" s="1281" t="s">
        <v>182</v>
      </c>
      <c r="E52" s="2643"/>
      <c r="F52" s="2643"/>
      <c r="G52" s="2643"/>
      <c r="H52" s="2643"/>
      <c r="I52" s="2644"/>
      <c r="J52" s="1281"/>
      <c r="K52" s="1281"/>
      <c r="L52" s="1282"/>
      <c r="P52" s="2646"/>
      <c r="Q52" s="1249"/>
      <c r="R52" s="292"/>
      <c r="S52" s="1196"/>
      <c r="T52" s="301" t="s">
        <v>403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3">
        <v>11</v>
      </c>
    </row>
    <row r="53" spans="1:45" ht="0" hidden="1" customHeight="1">
      <c r="A53" s="1281" t="s">
        <v>179</v>
      </c>
      <c r="B53" s="1281" t="s">
        <v>180</v>
      </c>
      <c r="C53" s="1281" t="s">
        <v>181</v>
      </c>
      <c r="D53" s="1281" t="s">
        <v>182</v>
      </c>
      <c r="E53" s="2643"/>
      <c r="F53" s="2643"/>
      <c r="G53" s="2643"/>
      <c r="H53" s="2642"/>
      <c r="I53" s="1281"/>
      <c r="J53" s="1281"/>
      <c r="K53" s="1281"/>
      <c r="L53" s="1282"/>
      <c r="M53" s="1283"/>
      <c r="N53" s="1283"/>
      <c r="O53" s="473"/>
      <c r="P53" s="296"/>
      <c r="Q53" s="311"/>
      <c r="R53" s="291"/>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6"/>
      <c r="AP53" s="436" t="str">
        <f t="shared" si="1"/>
        <v/>
      </c>
      <c r="AQ53" s="436"/>
      <c r="AR53" s="436"/>
      <c r="AS53" s="1073">
        <v>0</v>
      </c>
    </row>
    <row r="54" spans="1:45" s="2407" customFormat="1" ht="0" hidden="1" customHeight="1">
      <c r="A54" s="1261" t="s">
        <v>179</v>
      </c>
      <c r="B54" s="1261" t="s">
        <v>180</v>
      </c>
      <c r="C54" s="1261" t="s">
        <v>181</v>
      </c>
      <c r="D54" s="1232"/>
      <c r="E54" s="2643"/>
      <c r="F54" s="2643"/>
      <c r="G54" s="2642"/>
      <c r="H54" s="1232"/>
      <c r="I54" s="1232"/>
      <c r="J54" s="1232"/>
      <c r="K54" s="1232"/>
      <c r="L54" s="1257"/>
      <c r="M54" s="1233"/>
      <c r="N54" s="1233"/>
      <c r="P54" s="1234"/>
      <c r="Q54" s="1235"/>
      <c r="R54" s="1234"/>
      <c r="S54" s="1240"/>
      <c r="T54" s="1243" t="s">
        <v>405</v>
      </c>
      <c r="U54" s="1242"/>
      <c r="V54" s="1242"/>
      <c r="W54" s="1242"/>
      <c r="X54" s="1242"/>
      <c r="Y54" s="1242"/>
      <c r="Z54" s="1242"/>
      <c r="AA54" s="1242"/>
      <c r="AB54" s="1242"/>
      <c r="AC54" s="1242"/>
      <c r="AD54" s="1242"/>
      <c r="AE54" s="1242"/>
      <c r="AF54" s="1242"/>
      <c r="AG54" s="1242"/>
      <c r="AH54" s="1242"/>
      <c r="AI54" s="1242"/>
      <c r="AJ54" s="1242"/>
      <c r="AK54" s="1242"/>
      <c r="AL54" s="1242"/>
      <c r="AM54" s="1242"/>
      <c r="AO54" s="719"/>
      <c r="AP54" s="719" t="str">
        <f t="shared" si="1"/>
        <v>Добавить источник для дифференциации</v>
      </c>
      <c r="AQ54" s="719"/>
      <c r="AR54" s="719"/>
      <c r="AS54" s="454">
        <v>0</v>
      </c>
    </row>
    <row r="55" spans="1:45" s="2407" customFormat="1" ht="0" hidden="1" customHeight="1">
      <c r="A55" s="1261" t="s">
        <v>179</v>
      </c>
      <c r="B55" s="1261" t="s">
        <v>180</v>
      </c>
      <c r="C55" s="1232"/>
      <c r="D55" s="1232"/>
      <c r="E55" s="2643"/>
      <c r="F55" s="2642"/>
      <c r="G55" s="1232"/>
      <c r="H55" s="1232"/>
      <c r="I55" s="1232"/>
      <c r="J55" s="1232"/>
      <c r="K55" s="1232"/>
      <c r="L55" s="1257"/>
      <c r="M55" s="1239"/>
      <c r="N55" s="1239"/>
      <c r="P55" s="1234"/>
      <c r="Q55" s="1235"/>
      <c r="R55" s="1234"/>
      <c r="S55" s="1240"/>
      <c r="T55" s="1243" t="s">
        <v>406</v>
      </c>
      <c r="U55" s="1242"/>
      <c r="V55" s="1242"/>
      <c r="W55" s="1242"/>
      <c r="X55" s="1242"/>
      <c r="Y55" s="1242"/>
      <c r="Z55" s="1242"/>
      <c r="AA55" s="1242"/>
      <c r="AB55" s="1242"/>
      <c r="AC55" s="1242"/>
      <c r="AD55" s="1242"/>
      <c r="AE55" s="1242"/>
      <c r="AF55" s="1242"/>
      <c r="AG55" s="1242"/>
      <c r="AH55" s="1242"/>
      <c r="AI55" s="1242"/>
      <c r="AJ55" s="1242"/>
      <c r="AK55" s="1242"/>
      <c r="AL55" s="1242"/>
      <c r="AM55" s="1242"/>
      <c r="AO55" s="719"/>
      <c r="AP55" s="719" t="str">
        <f t="shared" si="1"/>
        <v>Добавить централизованную систему для дифференциации</v>
      </c>
      <c r="AQ55" s="719"/>
      <c r="AR55" s="719"/>
      <c r="AS55" s="454">
        <v>0</v>
      </c>
    </row>
    <row r="56" spans="1:45" s="2407" customFormat="1" ht="0" hidden="1" customHeight="1">
      <c r="A56" s="1261" t="s">
        <v>179</v>
      </c>
      <c r="B56" s="1261"/>
      <c r="C56" s="1261"/>
      <c r="D56" s="1261"/>
      <c r="E56" s="2642"/>
      <c r="F56" s="1261"/>
      <c r="G56" s="1261"/>
      <c r="H56" s="1261"/>
      <c r="I56" s="1261"/>
      <c r="J56" s="1261"/>
      <c r="K56" s="1261"/>
      <c r="L56" s="1264"/>
      <c r="M56" s="1239"/>
      <c r="N56" s="1239"/>
      <c r="O56" s="454"/>
      <c r="P56" s="316"/>
      <c r="Q56" s="1262"/>
      <c r="R56" s="316"/>
      <c r="S56" s="1240"/>
      <c r="T56" s="1243" t="s">
        <v>407</v>
      </c>
      <c r="U56" s="1242"/>
      <c r="V56" s="1242"/>
      <c r="W56" s="1242"/>
      <c r="X56" s="1242"/>
      <c r="Y56" s="1242"/>
      <c r="Z56" s="1242"/>
      <c r="AA56" s="1242"/>
      <c r="AB56" s="1242"/>
      <c r="AC56" s="1242"/>
      <c r="AD56" s="1242"/>
      <c r="AE56" s="1242"/>
      <c r="AF56" s="1242"/>
      <c r="AG56" s="1242"/>
      <c r="AH56" s="1242"/>
      <c r="AI56" s="1242"/>
      <c r="AJ56" s="1242"/>
      <c r="AK56" s="1242"/>
      <c r="AL56" s="1242"/>
      <c r="AM56" s="1242"/>
      <c r="AO56" s="436"/>
      <c r="AP56" s="436" t="str">
        <f t="shared" si="1"/>
        <v>Добавить территорию для дифференциации</v>
      </c>
      <c r="AQ56" s="436"/>
      <c r="AR56" s="436"/>
      <c r="AS56" s="447">
        <v>0</v>
      </c>
    </row>
    <row r="57" spans="1:45" s="2407"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439</v>
      </c>
      <c r="U57" s="1242"/>
      <c r="V57" s="1242"/>
      <c r="W57" s="1242"/>
      <c r="X57" s="1242"/>
      <c r="Y57" s="1242"/>
      <c r="Z57" s="1242"/>
      <c r="AA57" s="1242"/>
      <c r="AB57" s="1242"/>
      <c r="AC57" s="1242"/>
      <c r="AD57" s="1242"/>
      <c r="AE57" s="1242"/>
      <c r="AF57" s="1242"/>
      <c r="AG57" s="1242"/>
      <c r="AH57" s="1242"/>
      <c r="AI57" s="1242"/>
      <c r="AJ57" s="1242"/>
      <c r="AK57" s="1242"/>
      <c r="AL57" s="1242"/>
      <c r="AM57" s="1242"/>
      <c r="AO57" s="719"/>
      <c r="AP57" s="719" t="str">
        <f t="shared" si="1"/>
        <v>Добавить наименование тарифа</v>
      </c>
      <c r="AQ57" s="719"/>
      <c r="AR57" s="719"/>
      <c r="AS57" s="454">
        <v>4</v>
      </c>
    </row>
    <row r="58" spans="1:45" ht="11.45" customHeight="1">
      <c r="M58" s="1078"/>
      <c r="N58" s="1078"/>
      <c r="O58" s="473"/>
      <c r="P58" s="1073"/>
      <c r="Q58" s="1073"/>
      <c r="R58" s="1073"/>
      <c r="S58" s="1073"/>
      <c r="AN58" s="1073"/>
      <c r="AO58" s="1073"/>
      <c r="AP58" s="1073"/>
      <c r="AQ58" s="1073"/>
      <c r="AR58" s="1073"/>
      <c r="AS58" s="1073">
        <v>11</v>
      </c>
    </row>
    <row r="59" spans="1:45" ht="14.65" customHeight="1">
      <c r="O59" s="473"/>
      <c r="S59" s="1171"/>
      <c r="T59" s="2641"/>
      <c r="U59" s="2641"/>
      <c r="V59" s="2641"/>
      <c r="W59" s="2641"/>
      <c r="X59" s="2641"/>
      <c r="Y59" s="2641"/>
      <c r="Z59" s="2641"/>
      <c r="AA59" s="2641"/>
      <c r="AB59" s="2641"/>
      <c r="AC59" s="2641"/>
      <c r="AD59" s="2641"/>
      <c r="AE59" s="2641"/>
      <c r="AF59" s="2641"/>
      <c r="AG59" s="2641"/>
      <c r="AH59" s="2641"/>
      <c r="AI59" s="2641"/>
      <c r="AJ59" s="2641"/>
      <c r="AK59" s="2641"/>
      <c r="AL59" s="2641"/>
      <c r="AM59" s="2641"/>
      <c r="AS59" s="1073">
        <v>14</v>
      </c>
    </row>
    <row r="60" spans="1:45" ht="14.65" customHeight="1">
      <c r="O60" s="473"/>
      <c r="T60" s="2641"/>
      <c r="U60" s="2641"/>
      <c r="V60" s="2641"/>
      <c r="W60" s="2641"/>
      <c r="X60" s="2641"/>
      <c r="Y60" s="2641"/>
      <c r="Z60" s="2641"/>
      <c r="AA60" s="2641"/>
      <c r="AB60" s="2641"/>
      <c r="AC60" s="2641"/>
      <c r="AD60" s="2641"/>
      <c r="AE60" s="2641"/>
      <c r="AF60" s="2641"/>
      <c r="AG60" s="2641"/>
      <c r="AH60" s="2641"/>
      <c r="AI60" s="2641"/>
      <c r="AJ60" s="2641"/>
      <c r="AK60" s="2641"/>
      <c r="AL60" s="2641"/>
      <c r="AM60" s="2641"/>
      <c r="AS60" s="1073">
        <v>14</v>
      </c>
    </row>
    <row r="61" spans="1:45" ht="14.65" customHeight="1">
      <c r="O61" s="473"/>
      <c r="T61" s="2641"/>
      <c r="U61" s="2641"/>
      <c r="V61" s="2641"/>
      <c r="W61" s="2641"/>
      <c r="X61" s="2641"/>
      <c r="Y61" s="2641"/>
      <c r="Z61" s="2641"/>
      <c r="AA61" s="2641"/>
      <c r="AB61" s="2641"/>
      <c r="AC61" s="2641"/>
      <c r="AD61" s="2641"/>
      <c r="AE61" s="2641"/>
      <c r="AF61" s="2641"/>
      <c r="AG61" s="2641"/>
      <c r="AH61" s="2641"/>
      <c r="AI61" s="2641"/>
      <c r="AJ61" s="2641"/>
      <c r="AK61" s="2641"/>
      <c r="AL61" s="2641"/>
      <c r="AM61" s="2641"/>
      <c r="AS61" s="1073">
        <v>14</v>
      </c>
    </row>
    <row r="62" spans="1:45" ht="14.65" customHeight="1">
      <c r="O62" s="473"/>
      <c r="AS62" s="1073">
        <v>14</v>
      </c>
    </row>
    <row r="63" spans="1:45" ht="14.65" customHeight="1">
      <c r="O63" s="473"/>
      <c r="S63" s="1171"/>
      <c r="T63" s="2554"/>
      <c r="U63" s="2641"/>
      <c r="V63" s="2641"/>
      <c r="W63" s="2641"/>
      <c r="X63" s="2641"/>
      <c r="Y63" s="2641"/>
      <c r="Z63" s="2641"/>
      <c r="AA63" s="2641"/>
      <c r="AB63" s="2641"/>
      <c r="AC63" s="2641"/>
      <c r="AD63" s="2641"/>
      <c r="AE63" s="2641"/>
      <c r="AF63" s="2641"/>
      <c r="AG63" s="2641"/>
      <c r="AH63" s="2641"/>
      <c r="AI63" s="2641"/>
      <c r="AJ63" s="2641"/>
      <c r="AK63" s="2641"/>
      <c r="AL63" s="2641"/>
      <c r="AM63" s="2641"/>
      <c r="AS63" s="1073">
        <v>14</v>
      </c>
    </row>
    <row r="64" spans="1:45" ht="14.65" customHeight="1">
      <c r="O64" s="473"/>
      <c r="T64" s="2641"/>
      <c r="U64" s="2641"/>
      <c r="V64" s="2641"/>
      <c r="W64" s="2641"/>
      <c r="X64" s="2641"/>
      <c r="Y64" s="2641"/>
      <c r="Z64" s="2641"/>
      <c r="AA64" s="2641"/>
      <c r="AB64" s="2641"/>
      <c r="AC64" s="2641"/>
      <c r="AD64" s="2641"/>
      <c r="AE64" s="2641"/>
      <c r="AF64" s="2641"/>
      <c r="AG64" s="2641"/>
      <c r="AH64" s="2641"/>
      <c r="AI64" s="2641"/>
      <c r="AJ64" s="2641"/>
      <c r="AK64" s="2641"/>
      <c r="AL64" s="2641"/>
      <c r="AM64" s="2641"/>
      <c r="AS64" s="1073">
        <v>14</v>
      </c>
    </row>
    <row r="65" spans="1:45" ht="14.65" customHeight="1">
      <c r="T65" s="2641"/>
      <c r="U65" s="2641"/>
      <c r="V65" s="2641"/>
      <c r="W65" s="2641"/>
      <c r="X65" s="2641"/>
      <c r="Y65" s="2641"/>
      <c r="Z65" s="2641"/>
      <c r="AA65" s="2641"/>
      <c r="AB65" s="2641"/>
      <c r="AC65" s="2641"/>
      <c r="AD65" s="2641"/>
      <c r="AE65" s="2641"/>
      <c r="AF65" s="2641"/>
      <c r="AG65" s="2641"/>
      <c r="AH65" s="2641"/>
      <c r="AI65" s="2641"/>
      <c r="AJ65" s="2641"/>
      <c r="AK65" s="2641"/>
      <c r="AL65" s="2641"/>
      <c r="AM65" s="2641"/>
      <c r="AS65" s="1073">
        <v>14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1">
        <v>3</v>
      </c>
      <c r="R66" s="281">
        <v>3</v>
      </c>
      <c r="S66" s="517">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7">
        <v>10</v>
      </c>
      <c r="AO66" s="447">
        <v>10</v>
      </c>
      <c r="AP66" s="447">
        <v>10</v>
      </c>
      <c r="AQ66" s="447">
        <v>10</v>
      </c>
      <c r="AR66" s="447">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400" hidden="1"/>
    <col min="2" max="2" width="11" style="2400" hidden="1" customWidth="1"/>
    <col min="3" max="3" width="10.5703125" style="2400" hidden="1"/>
    <col min="4" max="4" width="11.85546875" style="2400" hidden="1" customWidth="1"/>
    <col min="5" max="5" width="10" style="2400" hidden="1" customWidth="1"/>
    <col min="6" max="6" width="8.7109375" style="2400" hidden="1" customWidth="1"/>
    <col min="7" max="7" width="7.5703125" style="2400" hidden="1" customWidth="1"/>
    <col min="8" max="8" width="11.42578125" style="2400" hidden="1" customWidth="1"/>
    <col min="9" max="9" width="12" style="2400" hidden="1" customWidth="1"/>
    <col min="10" max="10" width="9.85546875" style="2400" hidden="1" customWidth="1"/>
    <col min="11" max="12" width="11.42578125" style="2400" hidden="1" customWidth="1"/>
    <col min="13" max="13" width="19.140625" style="2404" hidden="1" customWidth="1"/>
    <col min="14" max="15" width="12.28515625" style="2434" hidden="1" customWidth="1"/>
    <col min="16" max="16" width="23.42578125" style="2434" hidden="1" customWidth="1"/>
    <col min="17" max="17" width="3.7109375" style="2434" hidden="1" customWidth="1"/>
    <col min="18" max="20" width="3" style="2435" customWidth="1"/>
    <col min="21" max="21" width="12" style="2436" customWidth="1"/>
    <col min="22" max="22" width="31" style="2400" customWidth="1"/>
    <col min="23" max="23" width="0.140625" style="2400" customWidth="1"/>
    <col min="24" max="28" width="21.7109375" style="2400" hidden="1" customWidth="1"/>
    <col min="29" max="29" width="11.7109375" style="2400" hidden="1" customWidth="1"/>
    <col min="30" max="30" width="3.7109375" style="2400" hidden="1" customWidth="1"/>
    <col min="31" max="31" width="11.7109375" style="2400" hidden="1" customWidth="1"/>
    <col min="32" max="32" width="8.5703125" style="2400" hidden="1" customWidth="1"/>
    <col min="33" max="33" width="21.7109375" style="2400" customWidth="1"/>
    <col min="34" max="37" width="21" style="2400" customWidth="1"/>
    <col min="38" max="38" width="11" style="2400" customWidth="1"/>
    <col min="39" max="39" width="3.7109375" style="2400" customWidth="1"/>
    <col min="40" max="40" width="11" style="2400" customWidth="1"/>
    <col min="41" max="41" width="8.5703125" style="2400" hidden="1" customWidth="1"/>
    <col min="42" max="42" width="4" style="2400" customWidth="1"/>
    <col min="43" max="43" width="115" style="2400" customWidth="1"/>
    <col min="44" max="48" width="10" style="2407" customWidth="1"/>
    <col min="49" max="49" width="10.5703125" style="2400" hidden="1"/>
  </cols>
  <sheetData>
    <row r="1" spans="1:49" ht="22.5" hidden="1" customHeight="1">
      <c r="AB1" s="264"/>
      <c r="AC1" s="264"/>
      <c r="AK1" s="264"/>
      <c r="AL1" s="264"/>
      <c r="AW1" s="1073" t="s">
        <v>14</v>
      </c>
    </row>
    <row r="2" spans="1:49" ht="21" hidden="1" customHeight="1">
      <c r="A2" s="1185"/>
      <c r="B2" s="1185"/>
      <c r="C2" s="1185"/>
      <c r="D2" s="1185"/>
      <c r="E2" s="2668">
        <v>1</v>
      </c>
      <c r="F2" s="1185"/>
      <c r="G2" s="1185"/>
      <c r="H2" s="1185"/>
      <c r="I2" s="1185"/>
      <c r="J2" s="1185"/>
      <c r="K2" s="1185"/>
      <c r="L2" s="1185"/>
      <c r="M2" s="1228"/>
      <c r="N2" s="624"/>
      <c r="O2" s="624"/>
      <c r="P2" s="624"/>
      <c r="Q2" s="297"/>
      <c r="R2" s="296"/>
      <c r="S2" s="296"/>
      <c r="T2" s="291"/>
      <c r="U2" s="1254" t="e">
        <f>INDEX(PT_DIFFERENTIATION_NUM_NTAR,MATCH(A2,PT_DIFFERENTIATION_NTAR_ID,0))</f>
        <v>#N/A</v>
      </c>
      <c r="V2" s="235" t="s">
        <v>116</v>
      </c>
      <c r="W2" s="237"/>
      <c r="X2" s="2636"/>
      <c r="Y2" s="2637"/>
      <c r="Z2" s="2637"/>
      <c r="AA2" s="2637"/>
      <c r="AB2" s="2637"/>
      <c r="AC2" s="2637"/>
      <c r="AD2" s="2637"/>
      <c r="AE2" s="2637"/>
      <c r="AF2" s="2638"/>
      <c r="AG2" s="2636" t="e">
        <f>INDEX(PT_DIFFERENTIATION_NTAR,MATCH(A2,PT_DIFFERENTIATION_NTAR_ID,0))</f>
        <v>#N/A</v>
      </c>
      <c r="AH2" s="2637"/>
      <c r="AI2" s="2637"/>
      <c r="AJ2" s="2637"/>
      <c r="AK2" s="2637"/>
      <c r="AL2" s="2637"/>
      <c r="AM2" s="2637"/>
      <c r="AN2" s="2637"/>
      <c r="AO2" s="2637"/>
      <c r="AP2" s="2638"/>
      <c r="AQ2" s="1176" t="s">
        <v>387</v>
      </c>
      <c r="AS2" s="436"/>
      <c r="AT2" s="436" t="str">
        <f t="shared" ref="AT2:AT8" si="0">IF(V2="","",V2)</f>
        <v>Наименование тарифа</v>
      </c>
      <c r="AU2" s="436"/>
      <c r="AV2" s="436"/>
      <c r="AW2" s="1073">
        <v>0</v>
      </c>
    </row>
    <row r="3" spans="1:49" ht="21" hidden="1" customHeight="1">
      <c r="A3" s="1185"/>
      <c r="B3" s="1185"/>
      <c r="C3" s="1185"/>
      <c r="D3" s="1185"/>
      <c r="E3" s="2669"/>
      <c r="F3" s="2668">
        <v>1</v>
      </c>
      <c r="G3" s="1185"/>
      <c r="H3" s="1185"/>
      <c r="I3" s="1185"/>
      <c r="J3" s="1185"/>
      <c r="K3" s="1185"/>
      <c r="L3" s="1185"/>
      <c r="M3" s="1228"/>
      <c r="N3" s="624"/>
      <c r="O3" s="624"/>
      <c r="P3" s="624"/>
      <c r="Q3" s="1250"/>
      <c r="R3" s="288"/>
      <c r="S3" s="445"/>
      <c r="T3" s="289"/>
      <c r="U3" s="1254" t="e">
        <f>INDEX(PT_DIFFERENTIATION_NUM_TER,MATCH(B3,PT_DIFFERENTIATION_TER_ID,0))</f>
        <v>#N/A</v>
      </c>
      <c r="V3" s="245" t="s">
        <v>388</v>
      </c>
      <c r="W3" s="237"/>
      <c r="X3" s="2636"/>
      <c r="Y3" s="2637"/>
      <c r="Z3" s="2637"/>
      <c r="AA3" s="2637"/>
      <c r="AB3" s="2637"/>
      <c r="AC3" s="2637"/>
      <c r="AD3" s="2637"/>
      <c r="AE3" s="2637"/>
      <c r="AF3" s="2638"/>
      <c r="AG3" s="2636" t="e">
        <f>INDEX(PT_DIFFERENTIATION_TER,MATCH(B3,PT_DIFFERENTIATION_TER_ID,0))</f>
        <v>#N/A</v>
      </c>
      <c r="AH3" s="2637"/>
      <c r="AI3" s="2637"/>
      <c r="AJ3" s="2637"/>
      <c r="AK3" s="2637"/>
      <c r="AL3" s="2637"/>
      <c r="AM3" s="2637"/>
      <c r="AN3" s="2637"/>
      <c r="AO3" s="2637"/>
      <c r="AP3" s="2638"/>
      <c r="AQ3" s="1176" t="s">
        <v>389</v>
      </c>
      <c r="AS3" s="436"/>
      <c r="AT3" s="436" t="str">
        <f t="shared" si="0"/>
        <v>Территория действия тарифа</v>
      </c>
      <c r="AU3" s="436"/>
      <c r="AV3" s="436"/>
      <c r="AW3" s="1073">
        <v>0</v>
      </c>
    </row>
    <row r="4" spans="1:49" ht="22.5" hidden="1" customHeight="1">
      <c r="A4" s="1185"/>
      <c r="B4" s="1185"/>
      <c r="C4" s="1185"/>
      <c r="D4" s="1185"/>
      <c r="E4" s="2669"/>
      <c r="F4" s="2669"/>
      <c r="G4" s="2668">
        <v>1</v>
      </c>
      <c r="H4" s="1185"/>
      <c r="I4" s="1185"/>
      <c r="J4" s="1185"/>
      <c r="K4" s="1185"/>
      <c r="L4" s="1185"/>
      <c r="M4" s="1228"/>
      <c r="N4" s="624"/>
      <c r="O4" s="624"/>
      <c r="P4" s="624"/>
      <c r="Q4" s="290"/>
      <c r="R4" s="288"/>
      <c r="S4" s="445"/>
      <c r="T4" s="289"/>
      <c r="U4" s="1254" t="e">
        <f>INDEX(PT_DIFFERENTIATION_NUM_CS,MATCH(C4,PT_DIFFERENTIATION_CS_ID,0))</f>
        <v>#N/A</v>
      </c>
      <c r="V4" s="246" t="s">
        <v>390</v>
      </c>
      <c r="W4" s="237"/>
      <c r="X4" s="2636"/>
      <c r="Y4" s="2637"/>
      <c r="Z4" s="2637"/>
      <c r="AA4" s="2637"/>
      <c r="AB4" s="2637"/>
      <c r="AC4" s="2637"/>
      <c r="AD4" s="2637"/>
      <c r="AE4" s="2637"/>
      <c r="AF4" s="2638"/>
      <c r="AG4" s="2636" t="e">
        <f>INDEX(PT_DIFFERENTIATION_CS,MATCH(C4,PT_DIFFERENTIATION_CS_ID,0))</f>
        <v>#N/A</v>
      </c>
      <c r="AH4" s="2637"/>
      <c r="AI4" s="2637"/>
      <c r="AJ4" s="2637"/>
      <c r="AK4" s="2637"/>
      <c r="AL4" s="2637"/>
      <c r="AM4" s="2637"/>
      <c r="AN4" s="2637"/>
      <c r="AO4" s="2637"/>
      <c r="AP4" s="2638"/>
      <c r="AQ4" s="1176" t="s">
        <v>391</v>
      </c>
      <c r="AS4" s="436"/>
      <c r="AT4" s="436" t="str">
        <f t="shared" si="0"/>
        <v xml:space="preserve">Наименование системы теплоснабжения </v>
      </c>
      <c r="AU4" s="436"/>
      <c r="AV4" s="436"/>
      <c r="AW4" s="1073">
        <v>0</v>
      </c>
    </row>
    <row r="5" spans="1:49" ht="21" hidden="1" customHeight="1">
      <c r="A5" s="1185"/>
      <c r="B5" s="1185"/>
      <c r="C5" s="1185"/>
      <c r="D5" s="1185"/>
      <c r="E5" s="2669"/>
      <c r="F5" s="2669"/>
      <c r="G5" s="2669"/>
      <c r="H5" s="2668">
        <v>1</v>
      </c>
      <c r="I5" s="1185"/>
      <c r="J5" s="1185"/>
      <c r="K5" s="1185"/>
      <c r="L5" s="1185"/>
      <c r="M5" s="1228"/>
      <c r="N5" s="624"/>
      <c r="O5" s="624"/>
      <c r="P5" s="624"/>
      <c r="Q5" s="290"/>
      <c r="R5" s="288"/>
      <c r="S5" s="445"/>
      <c r="T5" s="289"/>
      <c r="U5" s="1254" t="e">
        <f>INDEX(PT_DIFFERENTIATION_NUM_IST_TE,MATCH(D5,PT_DIFFERENTIATION_IST_TE_ID,0))</f>
        <v>#N/A</v>
      </c>
      <c r="V5" s="247" t="s">
        <v>392</v>
      </c>
      <c r="W5" s="237"/>
      <c r="X5" s="2636"/>
      <c r="Y5" s="2637"/>
      <c r="Z5" s="2637"/>
      <c r="AA5" s="2637"/>
      <c r="AB5" s="2637"/>
      <c r="AC5" s="2637"/>
      <c r="AD5" s="2637"/>
      <c r="AE5" s="2637"/>
      <c r="AF5" s="2638"/>
      <c r="AG5" s="2636" t="e">
        <f>INDEX(PT_DIFFERENTIATION_IST_TE,MATCH(D5,PT_DIFFERENTIATION_IST_TE_ID,0))</f>
        <v>#N/A</v>
      </c>
      <c r="AH5" s="2637"/>
      <c r="AI5" s="2637"/>
      <c r="AJ5" s="2637"/>
      <c r="AK5" s="2637"/>
      <c r="AL5" s="2637"/>
      <c r="AM5" s="2637"/>
      <c r="AN5" s="2637"/>
      <c r="AO5" s="2637"/>
      <c r="AP5" s="2638"/>
      <c r="AQ5" s="1176" t="s">
        <v>393</v>
      </c>
      <c r="AS5" s="436"/>
      <c r="AT5" s="436" t="str">
        <f t="shared" si="0"/>
        <v xml:space="preserve">Источник тепловой энергии  </v>
      </c>
      <c r="AU5" s="436"/>
      <c r="AV5" s="436"/>
      <c r="AW5" s="1073">
        <v>0</v>
      </c>
    </row>
    <row r="6" spans="1:49" ht="14.25" hidden="1" customHeight="1">
      <c r="A6" s="1185"/>
      <c r="B6" s="1185"/>
      <c r="C6" s="1185"/>
      <c r="D6" s="1185"/>
      <c r="E6" s="2669"/>
      <c r="F6" s="2669"/>
      <c r="G6" s="2669"/>
      <c r="H6" s="2669"/>
      <c r="I6" s="2514" t="e">
        <f>U5&amp;".1"</f>
        <v>#N/A</v>
      </c>
      <c r="J6" s="1185"/>
      <c r="K6" s="1185"/>
      <c r="L6" s="1185"/>
      <c r="M6" s="1228" t="s">
        <v>394</v>
      </c>
      <c r="N6" s="445"/>
      <c r="Q6" s="2646">
        <v>1</v>
      </c>
      <c r="R6" s="1249"/>
      <c r="S6" s="1249"/>
      <c r="T6" s="292"/>
      <c r="U6" s="965"/>
      <c r="V6" s="1301"/>
      <c r="W6" s="1302"/>
      <c r="X6" s="2673"/>
      <c r="Y6" s="2674"/>
      <c r="Z6" s="2674"/>
      <c r="AA6" s="2674"/>
      <c r="AB6" s="2674"/>
      <c r="AC6" s="2674"/>
      <c r="AD6" s="2674"/>
      <c r="AE6" s="2674"/>
      <c r="AF6" s="2675"/>
      <c r="AG6" s="2673"/>
      <c r="AH6" s="2674"/>
      <c r="AI6" s="2674"/>
      <c r="AJ6" s="2674"/>
      <c r="AK6" s="2674"/>
      <c r="AL6" s="2674"/>
      <c r="AM6" s="2674"/>
      <c r="AN6" s="2674"/>
      <c r="AO6" s="2674"/>
      <c r="AP6" s="2675"/>
      <c r="AQ6" s="1303"/>
      <c r="AS6" s="436"/>
      <c r="AT6" s="436" t="str">
        <f t="shared" si="0"/>
        <v/>
      </c>
      <c r="AU6" s="436"/>
      <c r="AV6" s="436"/>
      <c r="AW6" s="1073">
        <v>0</v>
      </c>
    </row>
    <row r="7" spans="1:49" ht="21" hidden="1" customHeight="1">
      <c r="A7" s="1185"/>
      <c r="B7" s="1185"/>
      <c r="C7" s="1185"/>
      <c r="D7" s="1185"/>
      <c r="E7" s="2669"/>
      <c r="F7" s="2669"/>
      <c r="G7" s="2669"/>
      <c r="H7" s="2669"/>
      <c r="I7" s="2496"/>
      <c r="J7" s="2514" t="e">
        <f>I6&amp;".1"</f>
        <v>#N/A</v>
      </c>
      <c r="K7" s="1185"/>
      <c r="L7" s="1185"/>
      <c r="M7" s="1228" t="s">
        <v>397</v>
      </c>
      <c r="N7" s="445"/>
      <c r="O7" s="264"/>
      <c r="Q7" s="2646"/>
      <c r="R7" s="2646">
        <v>1</v>
      </c>
      <c r="S7" s="454"/>
      <c r="T7" s="293"/>
      <c r="U7" s="1254" t="e">
        <f>$J7</f>
        <v>#N/A</v>
      </c>
      <c r="V7" s="223" t="s">
        <v>398</v>
      </c>
      <c r="W7" s="237"/>
      <c r="X7" s="2630"/>
      <c r="Y7" s="2631"/>
      <c r="Z7" s="2631"/>
      <c r="AA7" s="2631"/>
      <c r="AB7" s="2631"/>
      <c r="AC7" s="2626"/>
      <c r="AD7" s="2626"/>
      <c r="AE7" s="2626"/>
      <c r="AF7" s="2686"/>
      <c r="AG7" s="2630"/>
      <c r="AH7" s="2631"/>
      <c r="AI7" s="2631"/>
      <c r="AJ7" s="2631"/>
      <c r="AK7" s="2631"/>
      <c r="AL7" s="2631"/>
      <c r="AM7" s="2631"/>
      <c r="AN7" s="2631"/>
      <c r="AO7" s="2631"/>
      <c r="AP7" s="2632"/>
      <c r="AQ7" s="1176" t="s">
        <v>399</v>
      </c>
      <c r="AS7" s="436"/>
      <c r="AT7" s="436" t="str">
        <f t="shared" si="0"/>
        <v>Группа потребителей</v>
      </c>
      <c r="AU7" s="436"/>
      <c r="AV7" s="436"/>
      <c r="AW7" s="1073">
        <v>0</v>
      </c>
    </row>
    <row r="8" spans="1:49" ht="21" hidden="1" customHeight="1">
      <c r="A8" s="1185"/>
      <c r="B8" s="1185"/>
      <c r="C8" s="1185"/>
      <c r="D8" s="1185"/>
      <c r="E8" s="2669"/>
      <c r="F8" s="2669"/>
      <c r="G8" s="2669"/>
      <c r="H8" s="2669"/>
      <c r="I8" s="2496"/>
      <c r="J8" s="2496"/>
      <c r="K8" s="2514" t="e">
        <f>J7&amp;".1"</f>
        <v>#N/A</v>
      </c>
      <c r="L8" s="78"/>
      <c r="M8" s="1228" t="s">
        <v>400</v>
      </c>
      <c r="N8" s="445"/>
      <c r="O8" s="264"/>
      <c r="P8" s="264"/>
      <c r="Q8" s="2646"/>
      <c r="R8" s="2646"/>
      <c r="S8" s="2646">
        <v>1</v>
      </c>
      <c r="T8" s="293"/>
      <c r="U8" s="1254" t="e">
        <f>$K8</f>
        <v>#N/A</v>
      </c>
      <c r="V8" s="1265"/>
      <c r="W8" s="237"/>
      <c r="X8" s="687"/>
      <c r="Y8" s="687"/>
      <c r="Z8" s="687"/>
      <c r="AA8" s="687"/>
      <c r="AB8" s="1323"/>
      <c r="AC8" s="2647"/>
      <c r="AD8" s="2524" t="s">
        <v>65</v>
      </c>
      <c r="AE8" s="2647"/>
      <c r="AF8" s="2524" t="s">
        <v>65</v>
      </c>
      <c r="AG8" s="1325"/>
      <c r="AH8" s="687"/>
      <c r="AI8" s="687"/>
      <c r="AJ8" s="687"/>
      <c r="AK8" s="1175"/>
      <c r="AL8" s="2647"/>
      <c r="AM8" s="2524" t="s">
        <v>65</v>
      </c>
      <c r="AN8" s="2647"/>
      <c r="AO8" s="2524" t="s">
        <v>65</v>
      </c>
      <c r="AP8" s="262"/>
      <c r="AQ8" s="1225" t="s">
        <v>443</v>
      </c>
      <c r="AR8" s="447" t="e">
        <f ca="1">STRCHECKDATE(X10:AP10)</f>
        <v>#NAME?</v>
      </c>
      <c r="AS8" s="436"/>
      <c r="AT8" s="436" t="str">
        <f t="shared" si="0"/>
        <v/>
      </c>
      <c r="AU8" s="436"/>
      <c r="AV8" s="436"/>
      <c r="AW8" s="1073">
        <v>0</v>
      </c>
    </row>
    <row r="9" spans="1:49" ht="21" hidden="1" customHeight="1">
      <c r="A9" s="1185"/>
      <c r="B9" s="1185"/>
      <c r="C9" s="1185"/>
      <c r="D9" s="1185"/>
      <c r="E9" s="2669"/>
      <c r="F9" s="2669"/>
      <c r="G9" s="2669"/>
      <c r="H9" s="2669"/>
      <c r="I9" s="2496"/>
      <c r="J9" s="2496"/>
      <c r="K9" s="2496"/>
      <c r="L9" s="2514" t="e">
        <f>K8&amp;".1"</f>
        <v>#N/A</v>
      </c>
      <c r="M9" s="1228"/>
      <c r="N9" s="445"/>
      <c r="O9" s="264"/>
      <c r="P9" s="264"/>
      <c r="Q9" s="2646"/>
      <c r="R9" s="2646"/>
      <c r="S9" s="2646"/>
      <c r="T9" s="293"/>
      <c r="U9" s="1254" t="e">
        <f>$L9</f>
        <v>#N/A</v>
      </c>
      <c r="V9" s="1309"/>
      <c r="W9" s="237"/>
      <c r="X9" s="262"/>
      <c r="Y9" s="687"/>
      <c r="Z9" s="687"/>
      <c r="AA9" s="687"/>
      <c r="AB9" s="1323"/>
      <c r="AC9" s="2648"/>
      <c r="AD9" s="2524"/>
      <c r="AE9" s="2648"/>
      <c r="AF9" s="2524"/>
      <c r="AG9" s="1325"/>
      <c r="AH9" s="687"/>
      <c r="AI9" s="687"/>
      <c r="AJ9" s="687"/>
      <c r="AK9" s="1175"/>
      <c r="AL9" s="2648"/>
      <c r="AM9" s="2524"/>
      <c r="AN9" s="2648"/>
      <c r="AO9" s="2524"/>
      <c r="AP9" s="262"/>
      <c r="AQ9" s="2665" t="s">
        <v>444</v>
      </c>
      <c r="AS9" s="436"/>
      <c r="AT9" s="436"/>
      <c r="AU9" s="436"/>
      <c r="AV9" s="436"/>
      <c r="AW9" s="1073">
        <v>0</v>
      </c>
    </row>
    <row r="10" spans="1:49" ht="14.25" hidden="1" customHeight="1">
      <c r="A10" s="1185"/>
      <c r="B10" s="1185"/>
      <c r="C10" s="1185"/>
      <c r="D10" s="1185"/>
      <c r="E10" s="2669"/>
      <c r="F10" s="2669"/>
      <c r="G10" s="2669"/>
      <c r="H10" s="2669"/>
      <c r="I10" s="2496"/>
      <c r="J10" s="2496"/>
      <c r="K10" s="2496"/>
      <c r="L10" s="2514"/>
      <c r="M10" s="1228"/>
      <c r="N10" s="445"/>
      <c r="O10" s="264"/>
      <c r="P10" s="264"/>
      <c r="Q10" s="2646"/>
      <c r="R10" s="2646"/>
      <c r="S10" s="2646"/>
      <c r="T10" s="293"/>
      <c r="U10" s="1260"/>
      <c r="V10" s="237"/>
      <c r="W10" s="237"/>
      <c r="X10" s="262"/>
      <c r="Y10" s="262"/>
      <c r="Z10" s="262"/>
      <c r="AA10" s="262"/>
      <c r="AB10" s="1324" t="str">
        <f>AC8&amp;"-"&amp;AE8</f>
        <v>-</v>
      </c>
      <c r="AC10" s="2648"/>
      <c r="AD10" s="2524"/>
      <c r="AE10" s="2648"/>
      <c r="AF10" s="2524"/>
      <c r="AG10" s="1300"/>
      <c r="AH10" s="262"/>
      <c r="AI10" s="262"/>
      <c r="AJ10" s="262"/>
      <c r="AK10" s="265" t="str">
        <f>AL8&amp;"-"&amp;AN8</f>
        <v>-</v>
      </c>
      <c r="AL10" s="2648"/>
      <c r="AM10" s="2524"/>
      <c r="AN10" s="2648"/>
      <c r="AO10" s="2524"/>
      <c r="AP10" s="262"/>
      <c r="AQ10" s="2666"/>
      <c r="AS10" s="436"/>
      <c r="AT10" s="436" t="str">
        <f>IF(V10="","",V10)</f>
        <v/>
      </c>
      <c r="AU10" s="436"/>
      <c r="AV10" s="436"/>
      <c r="AW10" s="1073">
        <v>0</v>
      </c>
    </row>
    <row r="11" spans="1:49" ht="11.25" hidden="1" customHeight="1">
      <c r="A11" s="1185"/>
      <c r="B11" s="1185"/>
      <c r="C11" s="1185"/>
      <c r="D11" s="1185"/>
      <c r="E11" s="2669"/>
      <c r="F11" s="2669"/>
      <c r="G11" s="2669"/>
      <c r="H11" s="2669"/>
      <c r="I11" s="2496"/>
      <c r="J11" s="2496"/>
      <c r="K11" s="2514"/>
      <c r="L11" s="1185"/>
      <c r="M11" s="1228"/>
      <c r="N11" s="445"/>
      <c r="O11" s="264"/>
      <c r="P11" s="264"/>
      <c r="Q11" s="2646"/>
      <c r="R11" s="2646"/>
      <c r="S11" s="2646"/>
      <c r="T11" s="293"/>
      <c r="U11" s="1196"/>
      <c r="V11" s="225" t="s">
        <v>445</v>
      </c>
      <c r="W11" s="1310"/>
      <c r="X11" s="1311"/>
      <c r="Y11" s="1311"/>
      <c r="Z11" s="1311"/>
      <c r="AA11" s="1311"/>
      <c r="AB11" s="1312"/>
      <c r="AC11" s="2648"/>
      <c r="AD11" s="2524"/>
      <c r="AE11" s="2648"/>
      <c r="AF11" s="2524"/>
      <c r="AG11" s="1311"/>
      <c r="AH11" s="1311"/>
      <c r="AI11" s="1311"/>
      <c r="AJ11" s="1311"/>
      <c r="AK11" s="1312"/>
      <c r="AL11" s="2648"/>
      <c r="AM11" s="2524"/>
      <c r="AN11" s="2648"/>
      <c r="AO11" s="2524"/>
      <c r="AP11" s="1313"/>
      <c r="AQ11" s="2666"/>
      <c r="AS11" s="436"/>
      <c r="AT11" s="436"/>
      <c r="AU11" s="436"/>
      <c r="AV11" s="436"/>
      <c r="AW11" s="1073">
        <v>0</v>
      </c>
    </row>
    <row r="12" spans="1:49" ht="15" hidden="1" customHeight="1">
      <c r="A12" s="1185"/>
      <c r="B12" s="1185"/>
      <c r="C12" s="1185"/>
      <c r="D12" s="1185"/>
      <c r="E12" s="2669"/>
      <c r="F12" s="2669"/>
      <c r="G12" s="2669"/>
      <c r="H12" s="2669"/>
      <c r="I12" s="2496"/>
      <c r="J12" s="2514"/>
      <c r="K12" s="1185"/>
      <c r="L12" s="1185"/>
      <c r="M12" s="1228"/>
      <c r="N12" s="445"/>
      <c r="O12" s="264"/>
      <c r="Q12" s="2646"/>
      <c r="R12" s="2646"/>
      <c r="S12" s="1249"/>
      <c r="T12" s="292"/>
      <c r="U12" s="1196"/>
      <c r="V12" s="224" t="s">
        <v>402</v>
      </c>
      <c r="W12" s="303"/>
      <c r="X12" s="303"/>
      <c r="Y12" s="303"/>
      <c r="Z12" s="303"/>
      <c r="AA12" s="303"/>
      <c r="AB12" s="303"/>
      <c r="AC12" s="1326"/>
      <c r="AD12" s="1326"/>
      <c r="AE12" s="1326"/>
      <c r="AF12" s="1326"/>
      <c r="AG12" s="303"/>
      <c r="AH12" s="303"/>
      <c r="AI12" s="303"/>
      <c r="AJ12" s="303"/>
      <c r="AK12" s="303"/>
      <c r="AL12" s="303"/>
      <c r="AM12" s="303"/>
      <c r="AN12" s="303"/>
      <c r="AO12" s="303"/>
      <c r="AP12" s="261"/>
      <c r="AQ12" s="2667"/>
      <c r="AS12" s="436"/>
      <c r="AT12" s="436" t="str">
        <f t="shared" ref="AT12:AT17" si="1">IF(V12="","",V12)</f>
        <v>Добавить вид теплоносителя (параметры теплоносителя)</v>
      </c>
      <c r="AU12" s="436"/>
      <c r="AV12" s="436"/>
      <c r="AW12" s="1073">
        <v>0</v>
      </c>
    </row>
    <row r="13" spans="1:49" ht="11.25" hidden="1" customHeight="1">
      <c r="A13" s="1185"/>
      <c r="B13" s="1185"/>
      <c r="C13" s="1185"/>
      <c r="D13" s="1185"/>
      <c r="E13" s="2669"/>
      <c r="F13" s="2669"/>
      <c r="G13" s="2669"/>
      <c r="H13" s="2669"/>
      <c r="I13" s="2514"/>
      <c r="J13" s="1185"/>
      <c r="K13" s="1185"/>
      <c r="L13" s="1185"/>
      <c r="M13" s="1228"/>
      <c r="N13" s="445"/>
      <c r="Q13" s="2646"/>
      <c r="R13" s="1249"/>
      <c r="S13" s="1249"/>
      <c r="T13" s="292"/>
      <c r="U13" s="1196"/>
      <c r="V13" s="301" t="s">
        <v>403</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3">
        <v>0</v>
      </c>
    </row>
    <row r="14" spans="1:49" ht="14.25" hidden="1" customHeight="1">
      <c r="A14" s="1185"/>
      <c r="B14" s="1185"/>
      <c r="C14" s="1185"/>
      <c r="D14" s="1185"/>
      <c r="E14" s="2669"/>
      <c r="F14" s="2669"/>
      <c r="G14" s="2669"/>
      <c r="H14" s="2668"/>
      <c r="I14" s="1185"/>
      <c r="J14" s="1185"/>
      <c r="K14" s="1185"/>
      <c r="L14" s="1185"/>
      <c r="M14" s="1228"/>
      <c r="N14" s="624"/>
      <c r="O14" s="624"/>
      <c r="P14" s="445"/>
      <c r="Q14" s="296"/>
      <c r="R14" s="311"/>
      <c r="S14" s="291"/>
      <c r="T14" s="296"/>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6"/>
      <c r="AT14" s="436" t="str">
        <f t="shared" si="1"/>
        <v/>
      </c>
      <c r="AU14" s="436"/>
      <c r="AV14" s="436"/>
      <c r="AW14" s="1073">
        <v>0</v>
      </c>
    </row>
    <row r="15" spans="1:49" s="2407" customFormat="1" ht="14.25" hidden="1" customHeight="1">
      <c r="A15" s="1292"/>
      <c r="B15" s="1292"/>
      <c r="C15" s="1292"/>
      <c r="D15" s="1292"/>
      <c r="E15" s="2669"/>
      <c r="F15" s="2669"/>
      <c r="G15" s="2668"/>
      <c r="H15" s="1292"/>
      <c r="I15" s="1292"/>
      <c r="J15" s="1292"/>
      <c r="K15" s="1292"/>
      <c r="L15" s="1292"/>
      <c r="M15" s="1295"/>
      <c r="N15" s="1296"/>
      <c r="O15" s="1296"/>
      <c r="P15" s="287"/>
      <c r="Q15" s="1234"/>
      <c r="R15" s="1235"/>
      <c r="S15" s="1234"/>
      <c r="T15" s="1234"/>
      <c r="U15" s="1236"/>
      <c r="V15" s="1237" t="s">
        <v>405</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9"/>
      <c r="AT15" s="719" t="str">
        <f t="shared" si="1"/>
        <v>Добавить источник для дифференциации</v>
      </c>
      <c r="AU15" s="719"/>
      <c r="AV15" s="719"/>
      <c r="AW15" s="454">
        <v>0</v>
      </c>
    </row>
    <row r="16" spans="1:49" s="2407" customFormat="1" ht="14.25" hidden="1" customHeight="1">
      <c r="A16" s="1292"/>
      <c r="B16" s="1292"/>
      <c r="C16" s="1292"/>
      <c r="D16" s="1292"/>
      <c r="E16" s="2669"/>
      <c r="F16" s="2668"/>
      <c r="G16" s="1292"/>
      <c r="H16" s="1292"/>
      <c r="I16" s="1292"/>
      <c r="J16" s="1292"/>
      <c r="K16" s="1292"/>
      <c r="L16" s="1292"/>
      <c r="M16" s="1295"/>
      <c r="N16" s="1297"/>
      <c r="O16" s="1297"/>
      <c r="P16" s="287"/>
      <c r="Q16" s="1234"/>
      <c r="R16" s="1235"/>
      <c r="S16" s="1234"/>
      <c r="T16" s="1234"/>
      <c r="U16" s="1240"/>
      <c r="V16" s="1241" t="s">
        <v>406</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9"/>
      <c r="AT16" s="719" t="str">
        <f t="shared" si="1"/>
        <v>Добавить централизованную систему для дифференциации</v>
      </c>
      <c r="AU16" s="719"/>
      <c r="AV16" s="719"/>
      <c r="AW16" s="454">
        <v>0</v>
      </c>
    </row>
    <row r="17" spans="1:49" s="2407" customFormat="1" ht="14.25" hidden="1" customHeight="1">
      <c r="A17" s="1292"/>
      <c r="B17" s="1292"/>
      <c r="C17" s="1292"/>
      <c r="D17" s="1292"/>
      <c r="E17" s="2668"/>
      <c r="F17" s="1292"/>
      <c r="G17" s="1292"/>
      <c r="H17" s="1292"/>
      <c r="I17" s="1292"/>
      <c r="J17" s="1292"/>
      <c r="K17" s="1292"/>
      <c r="L17" s="1292"/>
      <c r="M17" s="1295"/>
      <c r="N17" s="1297"/>
      <c r="O17" s="1297"/>
      <c r="P17" s="287"/>
      <c r="Q17" s="1234"/>
      <c r="R17" s="1235"/>
      <c r="S17" s="1234"/>
      <c r="T17" s="1234"/>
      <c r="U17" s="1240"/>
      <c r="V17" s="1243" t="s">
        <v>407</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9"/>
      <c r="AT17" s="719" t="str">
        <f t="shared" si="1"/>
        <v>Добавить территорию для дифференциации</v>
      </c>
      <c r="AU17" s="719"/>
      <c r="AV17" s="719"/>
      <c r="AW17" s="454">
        <v>0</v>
      </c>
    </row>
    <row r="18" spans="1:49" ht="14.25" hidden="1" customHeight="1">
      <c r="AF18" s="264"/>
      <c r="AO18" s="264"/>
      <c r="AW18" s="1073">
        <v>0</v>
      </c>
    </row>
    <row r="19" spans="1:49" ht="14.25" hidden="1" customHeight="1">
      <c r="AG19" s="1278"/>
      <c r="AH19" s="1278"/>
      <c r="AI19" s="1278"/>
      <c r="AJ19" s="1278"/>
      <c r="AK19" s="1279"/>
      <c r="AL19" s="2640"/>
      <c r="AM19" s="2639" t="s">
        <v>65</v>
      </c>
      <c r="AN19" s="2640"/>
      <c r="AO19" s="2639" t="s">
        <v>65</v>
      </c>
      <c r="AW19" s="1073">
        <v>0</v>
      </c>
    </row>
    <row r="20" spans="1:49" ht="14.25" hidden="1" customHeight="1">
      <c r="AG20" s="1278"/>
      <c r="AH20" s="1278"/>
      <c r="AI20" s="1278"/>
      <c r="AJ20" s="1278"/>
      <c r="AK20" s="1279"/>
      <c r="AL20" s="2640"/>
      <c r="AM20" s="2639"/>
      <c r="AN20" s="2640"/>
      <c r="AO20" s="2639"/>
      <c r="AW20" s="1073">
        <v>0</v>
      </c>
    </row>
    <row r="21" spans="1:49" ht="14.25" hidden="1" customHeight="1">
      <c r="AG21" s="1278"/>
      <c r="AH21" s="1278"/>
      <c r="AI21" s="1278"/>
      <c r="AJ21" s="1278"/>
      <c r="AK21" s="1279"/>
      <c r="AL21" s="2640"/>
      <c r="AM21" s="2639"/>
      <c r="AN21" s="2640"/>
      <c r="AO21" s="2639"/>
      <c r="AW21" s="1073">
        <v>0</v>
      </c>
    </row>
    <row r="22" spans="1:49" ht="14.25" hidden="1" customHeight="1">
      <c r="AG22" s="1278"/>
      <c r="AH22" s="1278"/>
      <c r="AI22" s="1278"/>
      <c r="AJ22" s="1278"/>
      <c r="AK22" s="265" t="str">
        <f>AL19&amp;"-"&amp;AN19</f>
        <v>-</v>
      </c>
      <c r="AL22" s="2639"/>
      <c r="AM22" s="2639"/>
      <c r="AN22" s="2639"/>
      <c r="AO22" s="2639"/>
      <c r="AW22" s="1073">
        <v>0</v>
      </c>
    </row>
    <row r="23" spans="1:49" ht="14.25" hidden="1" customHeight="1">
      <c r="AO23" s="264"/>
      <c r="AW23" s="1073">
        <v>0</v>
      </c>
    </row>
    <row r="24" spans="1:49" s="2406" customFormat="1" ht="22.5" hidden="1" customHeight="1">
      <c r="A24" s="1073"/>
      <c r="B24" s="1073"/>
      <c r="C24" s="1073"/>
      <c r="D24" s="1073"/>
      <c r="E24" s="1073"/>
      <c r="F24" s="1073"/>
      <c r="G24" s="1073"/>
      <c r="H24" s="1073"/>
      <c r="I24" s="1073"/>
      <c r="J24" s="1073"/>
      <c r="K24" s="1073"/>
      <c r="L24" s="1073"/>
      <c r="M24" s="1245"/>
      <c r="N24" s="1246"/>
      <c r="O24" s="1246"/>
      <c r="P24" s="1263" t="s">
        <v>408</v>
      </c>
      <c r="Q24" s="1280"/>
      <c r="R24" s="1289"/>
      <c r="S24" s="1289"/>
      <c r="T24" s="1289"/>
      <c r="U24" s="665"/>
      <c r="AC24" s="1285"/>
      <c r="AE24" s="1285"/>
      <c r="AF24" s="1284"/>
      <c r="AL24" s="1285"/>
      <c r="AN24" s="1285"/>
      <c r="AO24" s="1284"/>
      <c r="AR24" s="447"/>
      <c r="AS24" s="447"/>
      <c r="AT24" s="447"/>
      <c r="AU24" s="447"/>
      <c r="AV24" s="447"/>
      <c r="AW24" s="1078">
        <v>0</v>
      </c>
    </row>
    <row r="25" spans="1:49" s="240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5"/>
      <c r="AF25" s="1284"/>
      <c r="AO25" s="1284"/>
      <c r="AR25" s="447"/>
      <c r="AS25" s="447"/>
      <c r="AT25" s="447"/>
      <c r="AU25" s="447"/>
      <c r="AV25" s="447"/>
      <c r="AW25" s="1078">
        <v>0</v>
      </c>
    </row>
    <row r="26" spans="1:49" s="2406" customFormat="1" ht="14.25" hidden="1" customHeight="1">
      <c r="A26" s="1073"/>
      <c r="B26" s="1073"/>
      <c r="C26" s="1073"/>
      <c r="D26" s="1073"/>
      <c r="E26" s="1073"/>
      <c r="F26" s="1073"/>
      <c r="G26" s="1073"/>
      <c r="H26" s="1073"/>
      <c r="I26" s="1073"/>
      <c r="J26" s="1073"/>
      <c r="K26" s="1073"/>
      <c r="L26" s="1073"/>
      <c r="M26" s="1245"/>
      <c r="N26" s="1246"/>
      <c r="O26" s="1246"/>
      <c r="P26" s="1228" t="s">
        <v>409</v>
      </c>
      <c r="Q26" s="1280"/>
      <c r="R26" s="1289"/>
      <c r="S26" s="1289"/>
      <c r="T26" s="1289"/>
      <c r="U26" s="665"/>
      <c r="V26" s="1078" t="s">
        <v>410</v>
      </c>
      <c r="AD26" s="123" t="s">
        <v>411</v>
      </c>
      <c r="AF26" s="123" t="s">
        <v>412</v>
      </c>
      <c r="AG26" s="1078" t="s">
        <v>410</v>
      </c>
      <c r="AM26" s="123" t="s">
        <v>413</v>
      </c>
      <c r="AO26" s="123" t="s">
        <v>412</v>
      </c>
      <c r="AR26" s="447"/>
      <c r="AS26" s="447"/>
      <c r="AT26" s="447"/>
      <c r="AU26" s="447"/>
      <c r="AV26" s="447"/>
      <c r="AW26" s="1078">
        <v>0</v>
      </c>
    </row>
    <row r="27" spans="1:49" ht="14.25" hidden="1" customHeight="1">
      <c r="P27" s="1228"/>
      <c r="AW27" s="1073">
        <v>0</v>
      </c>
    </row>
    <row r="28" spans="1:49" ht="14.25" hidden="1" customHeight="1">
      <c r="P28" s="1228"/>
      <c r="AW28" s="1073">
        <v>0</v>
      </c>
    </row>
    <row r="29" spans="1:49" ht="14.65" customHeight="1">
      <c r="R29" s="312"/>
      <c r="S29" s="312"/>
      <c r="T29" s="312"/>
      <c r="U29" s="1193"/>
      <c r="V29" s="299"/>
      <c r="W29" s="299"/>
      <c r="X29" s="445"/>
      <c r="Y29" s="445"/>
      <c r="Z29" s="445"/>
      <c r="AA29" s="445"/>
      <c r="AB29" s="445"/>
      <c r="AC29" s="445"/>
      <c r="AD29" s="445"/>
      <c r="AE29" s="445"/>
      <c r="AF29" s="445"/>
      <c r="AG29" s="445"/>
      <c r="AH29" s="445"/>
      <c r="AI29" s="445"/>
      <c r="AJ29" s="445"/>
      <c r="AK29" s="445"/>
      <c r="AL29" s="445"/>
      <c r="AM29" s="445"/>
      <c r="AN29" s="445"/>
      <c r="AO29" s="445"/>
      <c r="AW29" s="1073">
        <v>14</v>
      </c>
    </row>
    <row r="30" spans="1:49" ht="56.65" customHeight="1">
      <c r="R30" s="312"/>
      <c r="S30" s="312"/>
      <c r="T30" s="312"/>
      <c r="U30" s="262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23"/>
      <c r="W30" s="2623"/>
      <c r="X30" s="2623"/>
      <c r="Y30" s="2623"/>
      <c r="Z30" s="2623"/>
      <c r="AA30" s="2623"/>
      <c r="AB30" s="2623"/>
      <c r="AC30" s="2623"/>
      <c r="AD30" s="2623"/>
      <c r="AE30" s="2623"/>
      <c r="AF30" s="2623"/>
      <c r="AG30" s="2623"/>
      <c r="AH30" s="2623"/>
      <c r="AI30" s="2623"/>
      <c r="AJ30" s="2623"/>
      <c r="AK30" s="2623"/>
      <c r="AL30" s="2623"/>
      <c r="AM30" s="2623"/>
      <c r="AN30" s="2623"/>
      <c r="AO30" s="1161"/>
      <c r="AW30" s="1073">
        <v>54</v>
      </c>
    </row>
    <row r="31" spans="1:49" ht="14.65" customHeight="1">
      <c r="R31" s="312"/>
      <c r="S31" s="312"/>
      <c r="T31" s="312"/>
      <c r="U31" s="2595" t="str">
        <f>IF(org=0,"Не определено",org)</f>
        <v>ПАО "ТГК-1" (филиал "Кольский")</v>
      </c>
      <c r="V31" s="2595"/>
      <c r="W31" s="2595"/>
      <c r="X31" s="2595"/>
      <c r="Y31" s="2595"/>
      <c r="Z31" s="2595"/>
      <c r="AA31" s="2595"/>
      <c r="AB31" s="2595"/>
      <c r="AC31" s="2595"/>
      <c r="AD31" s="2595"/>
      <c r="AE31" s="2595"/>
      <c r="AF31" s="2595"/>
      <c r="AG31" s="2595"/>
      <c r="AH31" s="2595"/>
      <c r="AI31" s="2595"/>
      <c r="AJ31" s="2595"/>
      <c r="AK31" s="2595"/>
      <c r="AL31" s="2595"/>
      <c r="AM31" s="2595"/>
      <c r="AN31" s="2595"/>
      <c r="AO31" s="1161"/>
      <c r="AW31" s="1073">
        <v>14</v>
      </c>
    </row>
    <row r="32" spans="1:49" ht="14.25" hidden="1" customHeight="1">
      <c r="R32" s="312"/>
      <c r="S32" s="312"/>
      <c r="T32" s="312"/>
      <c r="U32" s="1193"/>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3">
        <v>0</v>
      </c>
    </row>
    <row r="33" spans="1:49" s="2416" customFormat="1" ht="25.5" hidden="1" customHeight="1">
      <c r="A33" s="1166"/>
      <c r="B33" s="1166"/>
      <c r="C33" s="1166"/>
      <c r="D33" s="1166"/>
      <c r="E33" s="1166"/>
      <c r="F33" s="1166"/>
      <c r="G33" s="1166"/>
      <c r="H33" s="1166"/>
      <c r="I33" s="1166"/>
      <c r="J33" s="1166"/>
      <c r="K33" s="1166"/>
      <c r="L33" s="1166"/>
      <c r="M33" s="1298"/>
      <c r="N33" s="1166"/>
      <c r="O33" s="1166"/>
      <c r="P33" s="1166"/>
      <c r="U33" s="2633" t="s">
        <v>41</v>
      </c>
      <c r="V33" s="2633"/>
      <c r="W33" s="1290"/>
      <c r="X33" s="2635" t="str">
        <f>IF(TITLE_NAME_OR_PR_CHANGE="",IF(TITLE_NAME_OR_PR="","",TITLE_NAME_OR_PR),TITLE_NAME_OR_PR_CHANGE)</f>
        <v/>
      </c>
      <c r="Y33" s="2635"/>
      <c r="Z33" s="2635"/>
      <c r="AA33" s="2635"/>
      <c r="AB33" s="2635"/>
      <c r="AC33" s="2635"/>
      <c r="AD33" s="2635"/>
      <c r="AE33" s="2635"/>
      <c r="AF33" s="263"/>
      <c r="AG33" s="2635" t="str">
        <f>IF(TITLE_NAME_OR_PR_CHANGE="",IF(TITLE_NAME_OR_PR="","",TITLE_NAME_OR_PR),TITLE_NAME_OR_PR_CHANGE)</f>
        <v/>
      </c>
      <c r="AH33" s="2635"/>
      <c r="AI33" s="2635"/>
      <c r="AJ33" s="2635"/>
      <c r="AK33" s="2635"/>
      <c r="AL33" s="2635"/>
      <c r="AM33" s="2635"/>
      <c r="AN33" s="2635"/>
      <c r="AO33" s="263"/>
      <c r="AP33" s="263"/>
      <c r="AQ33" s="217"/>
      <c r="AR33" s="304"/>
      <c r="AS33" s="304"/>
      <c r="AT33" s="304"/>
      <c r="AU33" s="304"/>
      <c r="AV33" s="304"/>
      <c r="AW33" s="354">
        <v>0</v>
      </c>
    </row>
    <row r="34" spans="1:49" s="2416" customFormat="1" ht="18.75" hidden="1" customHeight="1">
      <c r="A34" s="1166"/>
      <c r="B34" s="1166"/>
      <c r="C34" s="1166"/>
      <c r="D34" s="1166"/>
      <c r="E34" s="1166"/>
      <c r="F34" s="1166"/>
      <c r="G34" s="1166"/>
      <c r="H34" s="1166"/>
      <c r="I34" s="1166"/>
      <c r="J34" s="1166"/>
      <c r="K34" s="1166"/>
      <c r="L34" s="1166"/>
      <c r="M34" s="1298"/>
      <c r="N34" s="1166"/>
      <c r="O34" s="1166"/>
      <c r="P34" s="1166"/>
      <c r="U34" s="2633" t="s">
        <v>414</v>
      </c>
      <c r="V34" s="2633"/>
      <c r="W34" s="1290"/>
      <c r="X34" s="2634" t="str">
        <f>IF(TITLE_DATE_PR_CHANGE="",IF(TITLE_DATE_PR="","",TITLE_DATE_PR),TITLE_DATE_PR_CHANGE)</f>
        <v/>
      </c>
      <c r="Y34" s="2634"/>
      <c r="Z34" s="2634"/>
      <c r="AA34" s="2634"/>
      <c r="AB34" s="2634"/>
      <c r="AC34" s="2634"/>
      <c r="AD34" s="2634"/>
      <c r="AE34" s="2634"/>
      <c r="AF34" s="263"/>
      <c r="AG34" s="2634" t="str">
        <f>IF(TITLE_DATE_PR_CHANGE="",IF(TITLE_DATE_PR="","",TITLE_DATE_PR),TITLE_DATE_PR_CHANGE)</f>
        <v/>
      </c>
      <c r="AH34" s="2634"/>
      <c r="AI34" s="2634"/>
      <c r="AJ34" s="2634"/>
      <c r="AK34" s="2634"/>
      <c r="AL34" s="2634"/>
      <c r="AM34" s="2634"/>
      <c r="AN34" s="2634"/>
      <c r="AO34" s="263"/>
      <c r="AP34" s="263"/>
      <c r="AQ34" s="217"/>
      <c r="AR34" s="304"/>
      <c r="AS34" s="304"/>
      <c r="AT34" s="304"/>
      <c r="AU34" s="304"/>
      <c r="AV34" s="304"/>
      <c r="AW34" s="354">
        <v>0</v>
      </c>
    </row>
    <row r="35" spans="1:49" s="2416" customFormat="1" ht="18.75" hidden="1" customHeight="1">
      <c r="A35" s="1166"/>
      <c r="B35" s="1166"/>
      <c r="C35" s="1166"/>
      <c r="D35" s="1166"/>
      <c r="E35" s="1166"/>
      <c r="F35" s="1166"/>
      <c r="G35" s="1166"/>
      <c r="H35" s="1166"/>
      <c r="I35" s="1166"/>
      <c r="J35" s="1166"/>
      <c r="K35" s="1166"/>
      <c r="L35" s="1166"/>
      <c r="M35" s="1298"/>
      <c r="N35" s="1166"/>
      <c r="O35" s="1166"/>
      <c r="P35" s="1166"/>
      <c r="U35" s="2633" t="s">
        <v>415</v>
      </c>
      <c r="V35" s="2633"/>
      <c r="W35" s="1290"/>
      <c r="X35" s="2635" t="str">
        <f>IF(TITLE_NUMBER_PR_CHANGE="",IF(TITLE_NUMBER_PR="","",TITLE_NUMBER_PR),TITLE_NUMBER_PR_CHANGE)</f>
        <v/>
      </c>
      <c r="Y35" s="2635"/>
      <c r="Z35" s="2635"/>
      <c r="AA35" s="2635"/>
      <c r="AB35" s="2635"/>
      <c r="AC35" s="2635"/>
      <c r="AD35" s="2635"/>
      <c r="AE35" s="2635"/>
      <c r="AF35" s="263"/>
      <c r="AG35" s="2635" t="str">
        <f>IF(TITLE_NUMBER_PR_CHANGE="",IF(TITLE_NUMBER_PR="","",TITLE_NUMBER_PR),TITLE_NUMBER_PR_CHANGE)</f>
        <v/>
      </c>
      <c r="AH35" s="2635"/>
      <c r="AI35" s="2635"/>
      <c r="AJ35" s="2635"/>
      <c r="AK35" s="2635"/>
      <c r="AL35" s="2635"/>
      <c r="AM35" s="2635"/>
      <c r="AN35" s="2635"/>
      <c r="AO35" s="263"/>
      <c r="AP35" s="263"/>
      <c r="AQ35" s="217"/>
      <c r="AR35" s="304"/>
      <c r="AS35" s="304"/>
      <c r="AT35" s="304"/>
      <c r="AU35" s="304"/>
      <c r="AV35" s="304"/>
      <c r="AW35" s="354">
        <v>0</v>
      </c>
    </row>
    <row r="36" spans="1:49" s="2416" customFormat="1" ht="18.75" hidden="1" customHeight="1">
      <c r="A36" s="1166"/>
      <c r="B36" s="1166"/>
      <c r="C36" s="1166"/>
      <c r="D36" s="1166"/>
      <c r="E36" s="1166"/>
      <c r="F36" s="1166"/>
      <c r="G36" s="1166"/>
      <c r="H36" s="1166"/>
      <c r="I36" s="1166"/>
      <c r="J36" s="1166"/>
      <c r="K36" s="1166"/>
      <c r="L36" s="1166"/>
      <c r="M36" s="1298"/>
      <c r="N36" s="1166"/>
      <c r="O36" s="1166"/>
      <c r="P36" s="1166"/>
      <c r="U36" s="2633" t="s">
        <v>42</v>
      </c>
      <c r="V36" s="2633"/>
      <c r="W36" s="1290"/>
      <c r="X36" s="2635" t="str">
        <f>IF(TITLE_IST_PUB_CHANGE="",IF(TITLE_IST_PUB="","",TITLE_IST_PUB),TITLE_IST_PUB_CHANGE)</f>
        <v/>
      </c>
      <c r="Y36" s="2635"/>
      <c r="Z36" s="2635"/>
      <c r="AA36" s="2635"/>
      <c r="AB36" s="2635"/>
      <c r="AC36" s="2635"/>
      <c r="AD36" s="2635"/>
      <c r="AE36" s="2635"/>
      <c r="AF36" s="263"/>
      <c r="AG36" s="2635" t="str">
        <f>IF(TITLE_IST_PUB_CHANGE="",IF(TITLE_IST_PUB="","",TITLE_IST_PUB),TITLE_IST_PUB_CHANGE)</f>
        <v/>
      </c>
      <c r="AH36" s="2635"/>
      <c r="AI36" s="2635"/>
      <c r="AJ36" s="2635"/>
      <c r="AK36" s="2635"/>
      <c r="AL36" s="2635"/>
      <c r="AM36" s="2635"/>
      <c r="AN36" s="2635"/>
      <c r="AO36" s="263"/>
      <c r="AP36" s="263"/>
      <c r="AQ36" s="217"/>
      <c r="AR36" s="304"/>
      <c r="AS36" s="304"/>
      <c r="AT36" s="304"/>
      <c r="AU36" s="304"/>
      <c r="AV36" s="304"/>
      <c r="AW36" s="354">
        <v>0</v>
      </c>
    </row>
    <row r="37" spans="1:49" ht="14.25" hidden="1" customHeight="1">
      <c r="R37" s="312"/>
      <c r="S37" s="312"/>
      <c r="T37" s="312"/>
      <c r="U37" s="1193"/>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3">
        <v>0</v>
      </c>
    </row>
    <row r="38" spans="1:49" s="2416" customFormat="1" ht="18.75" hidden="1" customHeight="1">
      <c r="A38" s="1166"/>
      <c r="B38" s="1166"/>
      <c r="C38" s="1166"/>
      <c r="D38" s="1166"/>
      <c r="E38" s="1166"/>
      <c r="F38" s="1166"/>
      <c r="G38" s="1166"/>
      <c r="H38" s="1166"/>
      <c r="I38" s="1166"/>
      <c r="J38" s="1166"/>
      <c r="K38" s="1166"/>
      <c r="L38" s="1166"/>
      <c r="M38" s="1298"/>
      <c r="N38" s="1166"/>
      <c r="O38" s="1166"/>
      <c r="P38" s="1166"/>
      <c r="U38" s="2633" t="s">
        <v>416</v>
      </c>
      <c r="V38" s="2633"/>
      <c r="W38" s="1290"/>
      <c r="X38" s="2634" t="str">
        <f>IF(TITLE_DATE_PR_CHANGE="",IF(TITLE_DATE_PR="","",TITLE_DATE_PR),TITLE_DATE_PR_CHANGE)</f>
        <v/>
      </c>
      <c r="Y38" s="2634"/>
      <c r="Z38" s="2634"/>
      <c r="AA38" s="2634"/>
      <c r="AB38" s="2634"/>
      <c r="AC38" s="2634"/>
      <c r="AD38" s="2634"/>
      <c r="AE38" s="2634"/>
      <c r="AF38" s="263"/>
      <c r="AG38" s="2634" t="str">
        <f>IF(TITLE_DATE_PR_CHANGE="",IF(TITLE_DATE_PR="","",TITLE_DATE_PR),TITLE_DATE_PR_CHANGE)</f>
        <v/>
      </c>
      <c r="AH38" s="2634"/>
      <c r="AI38" s="2634"/>
      <c r="AJ38" s="2634"/>
      <c r="AK38" s="2634"/>
      <c r="AL38" s="2634"/>
      <c r="AM38" s="2634"/>
      <c r="AN38" s="2634"/>
      <c r="AO38" s="263"/>
      <c r="AP38" s="263"/>
      <c r="AQ38" s="217"/>
      <c r="AR38" s="304"/>
      <c r="AS38" s="304"/>
      <c r="AT38" s="304"/>
      <c r="AU38" s="304"/>
      <c r="AV38" s="304"/>
      <c r="AW38" s="354">
        <v>0</v>
      </c>
    </row>
    <row r="39" spans="1:49" s="2416" customFormat="1" ht="18.75" hidden="1" customHeight="1">
      <c r="A39" s="1166"/>
      <c r="B39" s="1166"/>
      <c r="C39" s="1166"/>
      <c r="D39" s="1166"/>
      <c r="E39" s="1166"/>
      <c r="F39" s="1166"/>
      <c r="G39" s="1166"/>
      <c r="H39" s="1166"/>
      <c r="I39" s="1166"/>
      <c r="J39" s="1166"/>
      <c r="K39" s="1166"/>
      <c r="L39" s="1166"/>
      <c r="M39" s="1298"/>
      <c r="N39" s="1166"/>
      <c r="O39" s="1166"/>
      <c r="P39" s="1166"/>
      <c r="U39" s="2633" t="s">
        <v>417</v>
      </c>
      <c r="V39" s="2633"/>
      <c r="W39" s="1290"/>
      <c r="X39" s="2635" t="str">
        <f>IF(TITLE_NUMBER_PR_CHANGE="",IF(TITLE_NUMBER_PR="","",TITLE_NUMBER_PR),TITLE_NUMBER_PR_CHANGE)</f>
        <v/>
      </c>
      <c r="Y39" s="2635"/>
      <c r="Z39" s="2635"/>
      <c r="AA39" s="2635"/>
      <c r="AB39" s="2635"/>
      <c r="AC39" s="2635"/>
      <c r="AD39" s="2635"/>
      <c r="AE39" s="2635"/>
      <c r="AF39" s="263"/>
      <c r="AG39" s="2635" t="str">
        <f>IF(TITLE_NUMBER_PR_CHANGE="",IF(TITLE_NUMBER_PR="","",TITLE_NUMBER_PR),TITLE_NUMBER_PR_CHANGE)</f>
        <v/>
      </c>
      <c r="AH39" s="2635"/>
      <c r="AI39" s="2635"/>
      <c r="AJ39" s="2635"/>
      <c r="AK39" s="2635"/>
      <c r="AL39" s="2635"/>
      <c r="AM39" s="2635"/>
      <c r="AN39" s="2635"/>
      <c r="AO39" s="263"/>
      <c r="AP39" s="263"/>
      <c r="AQ39" s="217"/>
      <c r="AR39" s="304"/>
      <c r="AS39" s="304"/>
      <c r="AT39" s="304"/>
      <c r="AU39" s="304"/>
      <c r="AV39" s="304"/>
      <c r="AW39" s="354">
        <v>0</v>
      </c>
    </row>
    <row r="40" spans="1:49" s="2416" customFormat="1" ht="0" hidden="1" customHeight="1">
      <c r="A40" s="1166"/>
      <c r="B40" s="1166"/>
      <c r="C40" s="1166"/>
      <c r="D40" s="1166"/>
      <c r="E40" s="1166"/>
      <c r="F40" s="1166"/>
      <c r="G40" s="1166"/>
      <c r="H40" s="1166"/>
      <c r="I40" s="1166"/>
      <c r="J40" s="1166"/>
      <c r="K40" s="1166"/>
      <c r="L40" s="1166"/>
      <c r="M40" s="1298"/>
      <c r="N40" s="1166"/>
      <c r="O40" s="1166"/>
      <c r="P40" s="1166"/>
      <c r="U40" s="260"/>
      <c r="V40" s="260"/>
      <c r="W40" s="1258"/>
      <c r="X40" s="263"/>
      <c r="Y40" s="263"/>
      <c r="Z40" s="263"/>
      <c r="AA40" s="263"/>
      <c r="AB40" s="263"/>
      <c r="AC40" s="263"/>
      <c r="AD40" s="263"/>
      <c r="AE40" s="263"/>
      <c r="AF40" s="215" t="s">
        <v>418</v>
      </c>
      <c r="AG40" s="263"/>
      <c r="AH40" s="263"/>
      <c r="AI40" s="263"/>
      <c r="AJ40" s="263"/>
      <c r="AK40" s="263"/>
      <c r="AL40" s="263"/>
      <c r="AM40" s="263"/>
      <c r="AN40" s="263"/>
      <c r="AO40" s="215" t="s">
        <v>418</v>
      </c>
      <c r="AR40" s="304"/>
      <c r="AS40" s="304"/>
      <c r="AT40" s="304"/>
      <c r="AU40" s="304"/>
      <c r="AV40" s="304"/>
      <c r="AW40" s="354">
        <v>0</v>
      </c>
    </row>
    <row r="41" spans="1:49" ht="14.65" customHeight="1">
      <c r="R41" s="312"/>
      <c r="S41" s="312"/>
      <c r="T41" s="312"/>
      <c r="U41" s="1193"/>
      <c r="V41" s="299"/>
      <c r="W41" s="1162"/>
      <c r="X41" s="2654"/>
      <c r="Y41" s="2654"/>
      <c r="Z41" s="2654"/>
      <c r="AA41" s="2654"/>
      <c r="AB41" s="2654"/>
      <c r="AC41" s="2654"/>
      <c r="AD41" s="2654"/>
      <c r="AE41" s="2654"/>
      <c r="AF41" s="2654"/>
      <c r="AG41" s="2654"/>
      <c r="AH41" s="2654"/>
      <c r="AI41" s="2654"/>
      <c r="AJ41" s="2654"/>
      <c r="AK41" s="2654"/>
      <c r="AL41" s="2654"/>
      <c r="AM41" s="2654"/>
      <c r="AN41" s="2654"/>
      <c r="AO41" s="2654"/>
      <c r="AW41" s="1073">
        <v>14</v>
      </c>
    </row>
    <row r="42" spans="1:49" ht="14.65" customHeight="1">
      <c r="R42" s="312"/>
      <c r="S42" s="312"/>
      <c r="T42" s="312"/>
      <c r="U42" s="2514" t="s">
        <v>291</v>
      </c>
      <c r="V42" s="2514"/>
      <c r="W42" s="2514"/>
      <c r="X42" s="2514"/>
      <c r="Y42" s="2514"/>
      <c r="Z42" s="2514"/>
      <c r="AA42" s="2514"/>
      <c r="AB42" s="2514"/>
      <c r="AC42" s="2514"/>
      <c r="AD42" s="2514"/>
      <c r="AE42" s="2514"/>
      <c r="AF42" s="2514"/>
      <c r="AG42" s="2514"/>
      <c r="AH42" s="2514"/>
      <c r="AI42" s="2514"/>
      <c r="AJ42" s="2514"/>
      <c r="AK42" s="2514"/>
      <c r="AL42" s="2514"/>
      <c r="AM42" s="2514"/>
      <c r="AN42" s="2514"/>
      <c r="AO42" s="2514"/>
      <c r="AP42" s="2514"/>
      <c r="AQ42" s="2514" t="s">
        <v>292</v>
      </c>
      <c r="AW42" s="1073">
        <v>14</v>
      </c>
    </row>
    <row r="43" spans="1:49" ht="14.65" customHeight="1">
      <c r="R43" s="312"/>
      <c r="S43" s="312"/>
      <c r="T43" s="312"/>
      <c r="U43" s="2655" t="s">
        <v>84</v>
      </c>
      <c r="V43" s="2603" t="s">
        <v>419</v>
      </c>
      <c r="W43" s="238"/>
      <c r="X43" s="2656" t="s">
        <v>420</v>
      </c>
      <c r="Y43" s="2672"/>
      <c r="Z43" s="2672"/>
      <c r="AA43" s="2672"/>
      <c r="AB43" s="2672"/>
      <c r="AC43" s="2657"/>
      <c r="AD43" s="2657"/>
      <c r="AE43" s="2658"/>
      <c r="AF43" s="2659" t="s">
        <v>421</v>
      </c>
      <c r="AG43" s="2656" t="s">
        <v>420</v>
      </c>
      <c r="AH43" s="2672"/>
      <c r="AI43" s="2672"/>
      <c r="AJ43" s="2672"/>
      <c r="AK43" s="2672"/>
      <c r="AL43" s="2657"/>
      <c r="AM43" s="2657"/>
      <c r="AN43" s="2658"/>
      <c r="AO43" s="2659" t="s">
        <v>422</v>
      </c>
      <c r="AP43" s="2662" t="s">
        <v>423</v>
      </c>
      <c r="AQ43" s="2514"/>
      <c r="AW43" s="1073">
        <v>14</v>
      </c>
    </row>
    <row r="44" spans="1:49" ht="35.65" customHeight="1">
      <c r="R44" s="312"/>
      <c r="S44" s="312"/>
      <c r="T44" s="312"/>
      <c r="U44" s="2655"/>
      <c r="V44" s="2603"/>
      <c r="W44" s="954"/>
      <c r="X44" s="2574" t="s">
        <v>446</v>
      </c>
      <c r="Y44" s="2514" t="s">
        <v>447</v>
      </c>
      <c r="Z44" s="2514"/>
      <c r="AA44" s="2514"/>
      <c r="AB44" s="2514"/>
      <c r="AC44" s="2574" t="s">
        <v>427</v>
      </c>
      <c r="AD44" s="2684"/>
      <c r="AE44" s="2575"/>
      <c r="AF44" s="2660"/>
      <c r="AG44" s="2574" t="s">
        <v>446</v>
      </c>
      <c r="AH44" s="2514" t="s">
        <v>447</v>
      </c>
      <c r="AI44" s="2514"/>
      <c r="AJ44" s="2514"/>
      <c r="AK44" s="2514"/>
      <c r="AL44" s="2574" t="s">
        <v>427</v>
      </c>
      <c r="AM44" s="2684"/>
      <c r="AN44" s="2575"/>
      <c r="AO44" s="2660"/>
      <c r="AP44" s="2663"/>
      <c r="AQ44" s="2514"/>
      <c r="AW44" s="1073">
        <v>34</v>
      </c>
    </row>
    <row r="45" spans="1:49" ht="14.65" customHeight="1">
      <c r="R45" s="312"/>
      <c r="S45" s="312"/>
      <c r="T45" s="312"/>
      <c r="U45" s="2655"/>
      <c r="V45" s="2603"/>
      <c r="W45" s="954"/>
      <c r="X45" s="2576"/>
      <c r="Y45" s="2609" t="s">
        <v>448</v>
      </c>
      <c r="Z45" s="2608" t="s">
        <v>449</v>
      </c>
      <c r="AA45" s="2621"/>
      <c r="AB45" s="2622"/>
      <c r="AC45" s="2579"/>
      <c r="AD45" s="2685"/>
      <c r="AE45" s="2580"/>
      <c r="AF45" s="2660"/>
      <c r="AG45" s="2576"/>
      <c r="AH45" s="2609" t="s">
        <v>448</v>
      </c>
      <c r="AI45" s="2608" t="s">
        <v>449</v>
      </c>
      <c r="AJ45" s="2621"/>
      <c r="AK45" s="2622"/>
      <c r="AL45" s="2579"/>
      <c r="AM45" s="2685"/>
      <c r="AN45" s="2580"/>
      <c r="AO45" s="2660"/>
      <c r="AP45" s="2663"/>
      <c r="AQ45" s="2514"/>
      <c r="AW45" s="1073">
        <v>14</v>
      </c>
    </row>
    <row r="46" spans="1:49" ht="27.4" customHeight="1">
      <c r="R46" s="312"/>
      <c r="S46" s="312"/>
      <c r="T46" s="312"/>
      <c r="U46" s="2655"/>
      <c r="V46" s="2603"/>
      <c r="W46" s="954"/>
      <c r="X46" s="2576"/>
      <c r="Y46" s="2683"/>
      <c r="Z46" s="2609" t="s">
        <v>450</v>
      </c>
      <c r="AA46" s="2608" t="s">
        <v>451</v>
      </c>
      <c r="AB46" s="2622"/>
      <c r="AC46" s="2609" t="s">
        <v>437</v>
      </c>
      <c r="AD46" s="2613" t="s">
        <v>438</v>
      </c>
      <c r="AE46" s="2611"/>
      <c r="AF46" s="2660"/>
      <c r="AG46" s="2576"/>
      <c r="AH46" s="2683"/>
      <c r="AI46" s="2609" t="s">
        <v>450</v>
      </c>
      <c r="AJ46" s="2608" t="s">
        <v>451</v>
      </c>
      <c r="AK46" s="2622"/>
      <c r="AL46" s="2609" t="s">
        <v>437</v>
      </c>
      <c r="AM46" s="2613" t="s">
        <v>438</v>
      </c>
      <c r="AN46" s="2611"/>
      <c r="AO46" s="2660"/>
      <c r="AP46" s="2663"/>
      <c r="AQ46" s="2514"/>
      <c r="AW46" s="1073">
        <v>26</v>
      </c>
    </row>
    <row r="47" spans="1:49" ht="65.25" customHeight="1">
      <c r="A47" s="1177"/>
      <c r="B47" s="1177" t="s">
        <v>128</v>
      </c>
      <c r="C47" s="1177" t="s">
        <v>129</v>
      </c>
      <c r="D47" s="1177" t="s">
        <v>130</v>
      </c>
      <c r="E47" s="1228" t="s">
        <v>428</v>
      </c>
      <c r="F47" s="1228" t="s">
        <v>429</v>
      </c>
      <c r="G47" s="1228" t="s">
        <v>430</v>
      </c>
      <c r="H47" s="1228" t="s">
        <v>431</v>
      </c>
      <c r="I47" s="1228" t="s">
        <v>432</v>
      </c>
      <c r="J47" s="1228" t="s">
        <v>433</v>
      </c>
      <c r="K47" s="1228" t="s">
        <v>434</v>
      </c>
      <c r="L47" s="1228" t="s">
        <v>452</v>
      </c>
      <c r="M47" s="1228" t="s">
        <v>409</v>
      </c>
      <c r="R47" s="312"/>
      <c r="S47" s="312"/>
      <c r="T47" s="312"/>
      <c r="U47" s="2655"/>
      <c r="V47" s="2603"/>
      <c r="W47" s="239"/>
      <c r="X47" s="2579"/>
      <c r="Y47" s="2610"/>
      <c r="Z47" s="2610"/>
      <c r="AA47" s="1140" t="s">
        <v>453</v>
      </c>
      <c r="AB47" s="1140" t="s">
        <v>454</v>
      </c>
      <c r="AC47" s="2610"/>
      <c r="AD47" s="2614"/>
      <c r="AE47" s="2612"/>
      <c r="AF47" s="2661"/>
      <c r="AG47" s="2579"/>
      <c r="AH47" s="2610"/>
      <c r="AI47" s="2610"/>
      <c r="AJ47" s="1140" t="s">
        <v>453</v>
      </c>
      <c r="AK47" s="1140" t="s">
        <v>454</v>
      </c>
      <c r="AL47" s="2610"/>
      <c r="AM47" s="2614"/>
      <c r="AN47" s="2612"/>
      <c r="AO47" s="2661"/>
      <c r="AP47" s="2664"/>
      <c r="AQ47" s="2514"/>
      <c r="AW47" s="1073">
        <v>62</v>
      </c>
    </row>
    <row r="48" spans="1:49" s="2431"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102</v>
      </c>
      <c r="V48" s="1173" t="s">
        <v>103</v>
      </c>
      <c r="W48" s="1163" t="str">
        <f ca="1">OFFSET(W48,0,-1)</f>
        <v>2</v>
      </c>
      <c r="X48" s="1253">
        <f ca="1">OFFSET(X48,0,-1)+1</f>
        <v>3</v>
      </c>
      <c r="Y48" s="1259"/>
      <c r="Z48" s="1259"/>
      <c r="AA48" s="1259">
        <f ca="1">OFFSET(AA48,0,-1)+1</f>
        <v>1</v>
      </c>
      <c r="AB48" s="1259">
        <f ca="1">OFFSET(AB48,0,-1)+1</f>
        <v>2</v>
      </c>
      <c r="AC48" s="1253">
        <f ca="1">OFFSET(AC48,0,-1)+1</f>
        <v>3</v>
      </c>
      <c r="AD48" s="2653">
        <f ca="1">OFFSET(AD48,0,-1)+1</f>
        <v>4</v>
      </c>
      <c r="AE48" s="2653"/>
      <c r="AF48" s="1253">
        <f ca="1">OFFSET(AF48,0,-2)+1</f>
        <v>5</v>
      </c>
      <c r="AG48" s="1253">
        <f ca="1">OFFSET(AG48,0,-1)+1</f>
        <v>6</v>
      </c>
      <c r="AH48" s="1253"/>
      <c r="AI48" s="1253"/>
      <c r="AJ48" s="1253">
        <f ca="1">OFFSET(AJ48,0,-1)+1</f>
        <v>1</v>
      </c>
      <c r="AK48" s="1253">
        <f ca="1">OFFSET(AK48,0,-1)+1</f>
        <v>2</v>
      </c>
      <c r="AL48" s="1253">
        <f ca="1">OFFSET(AL48,0,-1)+1</f>
        <v>3</v>
      </c>
      <c r="AM48" s="2653">
        <f ca="1">OFFSET(AM48,0,-1)+1</f>
        <v>4</v>
      </c>
      <c r="AN48" s="2653"/>
      <c r="AO48" s="1253">
        <f ca="1">OFFSET(AO48,0,-2)+1</f>
        <v>5</v>
      </c>
      <c r="AP48" s="1163">
        <f ca="1">OFFSET(AP48,0,-1)</f>
        <v>5</v>
      </c>
      <c r="AQ48" s="1253">
        <f ca="1">OFFSET(AQ48,0,-1)+1</f>
        <v>6</v>
      </c>
      <c r="AR48" s="447"/>
      <c r="AS48" s="447"/>
      <c r="AT48" s="447"/>
      <c r="AU48" s="447"/>
      <c r="AV48" s="447"/>
      <c r="AW48" s="432">
        <v>0</v>
      </c>
    </row>
    <row r="49" spans="1:49" ht="21.95" customHeight="1">
      <c r="A49" s="1185" t="s">
        <v>167</v>
      </c>
      <c r="B49" s="1185"/>
      <c r="C49" s="1185"/>
      <c r="D49" s="1185"/>
      <c r="E49" s="2668">
        <v>1</v>
      </c>
      <c r="F49" s="1185"/>
      <c r="G49" s="1185"/>
      <c r="H49" s="1185"/>
      <c r="I49" s="1185"/>
      <c r="J49" s="1185"/>
      <c r="K49" s="1185"/>
      <c r="L49" s="1185"/>
      <c r="M49" s="1228"/>
      <c r="N49" s="624"/>
      <c r="O49" s="624"/>
      <c r="P49" s="624"/>
      <c r="Q49" s="297"/>
      <c r="R49" s="296"/>
      <c r="S49" s="296"/>
      <c r="T49" s="291"/>
      <c r="U49" s="1254">
        <f>INDEX(PT_DIFFERENTIATION_NUM_NTAR,MATCH(A49,PT_DIFFERENTIATION_NTAR_ID,0))</f>
        <v>0</v>
      </c>
      <c r="V49" s="235" t="s">
        <v>116</v>
      </c>
      <c r="W49" s="237"/>
      <c r="X49" s="2636"/>
      <c r="Y49" s="2637"/>
      <c r="Z49" s="2637"/>
      <c r="AA49" s="2637"/>
      <c r="AB49" s="2637"/>
      <c r="AC49" s="2637"/>
      <c r="AD49" s="2637"/>
      <c r="AE49" s="2637"/>
      <c r="AF49" s="2638"/>
      <c r="AG49" s="2636" t="str">
        <f>INDEX(PT_DIFFERENTIATION_NTAR,MATCH(A49,PT_DIFFERENTIATION_NTAR_ID,0))</f>
        <v/>
      </c>
      <c r="AH49" s="2637"/>
      <c r="AI49" s="2637"/>
      <c r="AJ49" s="2637"/>
      <c r="AK49" s="2637"/>
      <c r="AL49" s="2637"/>
      <c r="AM49" s="2637"/>
      <c r="AN49" s="2637"/>
      <c r="AO49" s="2637"/>
      <c r="AP49" s="2638"/>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3">
        <v>21</v>
      </c>
    </row>
    <row r="50" spans="1:49" ht="21.95" customHeight="1">
      <c r="A50" s="1185" t="s">
        <v>167</v>
      </c>
      <c r="B50" s="1185" t="s">
        <v>168</v>
      </c>
      <c r="C50" s="1185"/>
      <c r="D50" s="1185"/>
      <c r="E50" s="2669"/>
      <c r="F50" s="2668">
        <v>1</v>
      </c>
      <c r="G50" s="1185"/>
      <c r="H50" s="1185"/>
      <c r="I50" s="1185"/>
      <c r="J50" s="1185"/>
      <c r="K50" s="1185"/>
      <c r="L50" s="1185"/>
      <c r="M50" s="1228"/>
      <c r="N50" s="624"/>
      <c r="O50" s="624"/>
      <c r="P50" s="624"/>
      <c r="Q50" s="1250"/>
      <c r="R50" s="288"/>
      <c r="S50" s="445"/>
      <c r="T50" s="289"/>
      <c r="U50" s="1254" t="str">
        <f>INDEX(PT_DIFFERENTIATION_NUM_TER,MATCH(B50,PT_DIFFERENTIATION_TER_ID,0))</f>
        <v>.</v>
      </c>
      <c r="V50" s="245" t="s">
        <v>388</v>
      </c>
      <c r="W50" s="237"/>
      <c r="X50" s="2636"/>
      <c r="Y50" s="2637"/>
      <c r="Z50" s="2637"/>
      <c r="AA50" s="2637"/>
      <c r="AB50" s="2637"/>
      <c r="AC50" s="2637"/>
      <c r="AD50" s="2637"/>
      <c r="AE50" s="2637"/>
      <c r="AF50" s="2638"/>
      <c r="AG50" s="2636" t="str">
        <f>INDEX(PT_DIFFERENTIATION_TER,MATCH(B50,PT_DIFFERENTIATION_TER_ID,0))</f>
        <v/>
      </c>
      <c r="AH50" s="2637"/>
      <c r="AI50" s="2637"/>
      <c r="AJ50" s="2637"/>
      <c r="AK50" s="2637"/>
      <c r="AL50" s="2637"/>
      <c r="AM50" s="2637"/>
      <c r="AN50" s="2637"/>
      <c r="AO50" s="2637"/>
      <c r="AP50" s="2638"/>
      <c r="AQ50" s="1176" t="s">
        <v>389</v>
      </c>
      <c r="AS50" s="436"/>
      <c r="AT50" s="436" t="str">
        <f t="shared" si="2"/>
        <v>Территория действия тарифа</v>
      </c>
      <c r="AU50" s="436"/>
      <c r="AV50" s="436"/>
      <c r="AW50" s="1073">
        <v>21</v>
      </c>
    </row>
    <row r="51" spans="1:49" ht="24" customHeight="1">
      <c r="A51" s="1185" t="s">
        <v>167</v>
      </c>
      <c r="B51" s="1185" t="s">
        <v>168</v>
      </c>
      <c r="C51" s="1185" t="s">
        <v>169</v>
      </c>
      <c r="D51" s="1185"/>
      <c r="E51" s="2669"/>
      <c r="F51" s="2669"/>
      <c r="G51" s="2668">
        <v>1</v>
      </c>
      <c r="H51" s="1185"/>
      <c r="I51" s="1185"/>
      <c r="J51" s="1185"/>
      <c r="K51" s="1185"/>
      <c r="L51" s="1185"/>
      <c r="M51" s="1228"/>
      <c r="N51" s="624"/>
      <c r="O51" s="624"/>
      <c r="P51" s="624"/>
      <c r="Q51" s="290"/>
      <c r="R51" s="288"/>
      <c r="S51" s="445"/>
      <c r="T51" s="289"/>
      <c r="U51" s="1254" t="str">
        <f>INDEX(PT_DIFFERENTIATION_NUM_CS,MATCH(C51,PT_DIFFERENTIATION_CS_ID,0))</f>
        <v>..</v>
      </c>
      <c r="V51" s="246" t="s">
        <v>390</v>
      </c>
      <c r="W51" s="237"/>
      <c r="X51" s="2636"/>
      <c r="Y51" s="2637"/>
      <c r="Z51" s="2637"/>
      <c r="AA51" s="2637"/>
      <c r="AB51" s="2637"/>
      <c r="AC51" s="2637"/>
      <c r="AD51" s="2637"/>
      <c r="AE51" s="2637"/>
      <c r="AF51" s="2638"/>
      <c r="AG51" s="2636" t="str">
        <f>INDEX(PT_DIFFERENTIATION_CS,MATCH(C51,PT_DIFFERENTIATION_CS_ID,0))</f>
        <v/>
      </c>
      <c r="AH51" s="2637"/>
      <c r="AI51" s="2637"/>
      <c r="AJ51" s="2637"/>
      <c r="AK51" s="2637"/>
      <c r="AL51" s="2637"/>
      <c r="AM51" s="2637"/>
      <c r="AN51" s="2637"/>
      <c r="AO51" s="2637"/>
      <c r="AP51" s="2638"/>
      <c r="AQ51" s="1176" t="s">
        <v>391</v>
      </c>
      <c r="AS51" s="436"/>
      <c r="AT51" s="436" t="str">
        <f t="shared" si="2"/>
        <v xml:space="preserve">Наименование системы теплоснабжения </v>
      </c>
      <c r="AU51" s="436"/>
      <c r="AV51" s="436"/>
      <c r="AW51" s="1073">
        <v>23</v>
      </c>
    </row>
    <row r="52" spans="1:49" ht="21.95" customHeight="1">
      <c r="A52" s="1185" t="s">
        <v>167</v>
      </c>
      <c r="B52" s="1185" t="s">
        <v>168</v>
      </c>
      <c r="C52" s="1185" t="s">
        <v>169</v>
      </c>
      <c r="D52" s="1185" t="s">
        <v>170</v>
      </c>
      <c r="E52" s="2669"/>
      <c r="F52" s="2669"/>
      <c r="G52" s="2669"/>
      <c r="H52" s="2668">
        <v>1</v>
      </c>
      <c r="I52" s="1185"/>
      <c r="J52" s="1185"/>
      <c r="K52" s="1185"/>
      <c r="L52" s="1185"/>
      <c r="M52" s="1228"/>
      <c r="N52" s="624"/>
      <c r="O52" s="624"/>
      <c r="P52" s="624"/>
      <c r="Q52" s="290"/>
      <c r="R52" s="288"/>
      <c r="S52" s="445"/>
      <c r="T52" s="289"/>
      <c r="U52" s="1254" t="str">
        <f>INDEX(PT_DIFFERENTIATION_NUM_IST_TE,MATCH(D52,PT_DIFFERENTIATION_IST_TE_ID,0))</f>
        <v>...</v>
      </c>
      <c r="V52" s="247" t="s">
        <v>392</v>
      </c>
      <c r="W52" s="237"/>
      <c r="X52" s="2636"/>
      <c r="Y52" s="2637"/>
      <c r="Z52" s="2637"/>
      <c r="AA52" s="2637"/>
      <c r="AB52" s="2637"/>
      <c r="AC52" s="2637"/>
      <c r="AD52" s="2637"/>
      <c r="AE52" s="2637"/>
      <c r="AF52" s="2638"/>
      <c r="AG52" s="2636" t="str">
        <f>INDEX(PT_DIFFERENTIATION_IST_TE,MATCH(D52,PT_DIFFERENTIATION_IST_TE_ID,0))</f>
        <v/>
      </c>
      <c r="AH52" s="2637"/>
      <c r="AI52" s="2637"/>
      <c r="AJ52" s="2637"/>
      <c r="AK52" s="2637"/>
      <c r="AL52" s="2637"/>
      <c r="AM52" s="2637"/>
      <c r="AN52" s="2637"/>
      <c r="AO52" s="2637"/>
      <c r="AP52" s="2638"/>
      <c r="AQ52" s="1176" t="s">
        <v>393</v>
      </c>
      <c r="AS52" s="436"/>
      <c r="AT52" s="436" t="str">
        <f t="shared" si="2"/>
        <v xml:space="preserve">Источник тепловой энергии  </v>
      </c>
      <c r="AU52" s="436"/>
      <c r="AV52" s="436"/>
      <c r="AW52" s="1073">
        <v>21</v>
      </c>
    </row>
    <row r="53" spans="1:49" s="2407" customFormat="1" ht="0" hidden="1" customHeight="1">
      <c r="A53" s="1293" t="s">
        <v>167</v>
      </c>
      <c r="B53" s="1293" t="s">
        <v>168</v>
      </c>
      <c r="C53" s="1293" t="s">
        <v>169</v>
      </c>
      <c r="D53" s="1293" t="s">
        <v>170</v>
      </c>
      <c r="E53" s="2669"/>
      <c r="F53" s="2669"/>
      <c r="G53" s="2669"/>
      <c r="H53" s="2669"/>
      <c r="I53" s="2514" t="str">
        <f>U52&amp;".1"</f>
        <v>....1</v>
      </c>
      <c r="J53" s="1293"/>
      <c r="K53" s="1293"/>
      <c r="L53" s="1293"/>
      <c r="M53" s="1299" t="s">
        <v>394</v>
      </c>
      <c r="N53" s="1164"/>
      <c r="O53" s="1164"/>
      <c r="P53" s="1164"/>
      <c r="Q53" s="2646">
        <v>1</v>
      </c>
      <c r="R53" s="1249"/>
      <c r="S53" s="1249"/>
      <c r="T53" s="292"/>
      <c r="U53" s="965"/>
      <c r="V53" s="1301"/>
      <c r="W53" s="1302"/>
      <c r="X53" s="2673"/>
      <c r="Y53" s="2674"/>
      <c r="Z53" s="2674"/>
      <c r="AA53" s="2674"/>
      <c r="AB53" s="2674"/>
      <c r="AC53" s="2674"/>
      <c r="AD53" s="2674"/>
      <c r="AE53" s="2674"/>
      <c r="AF53" s="2675"/>
      <c r="AG53" s="2673"/>
      <c r="AH53" s="2674"/>
      <c r="AI53" s="2674"/>
      <c r="AJ53" s="2674"/>
      <c r="AK53" s="2674"/>
      <c r="AL53" s="2674"/>
      <c r="AM53" s="2674"/>
      <c r="AN53" s="2674"/>
      <c r="AO53" s="2674"/>
      <c r="AP53" s="2675"/>
      <c r="AQ53" s="1303"/>
      <c r="AS53" s="436"/>
      <c r="AT53" s="436" t="str">
        <f t="shared" si="2"/>
        <v/>
      </c>
      <c r="AU53" s="436"/>
      <c r="AV53" s="436"/>
      <c r="AW53" s="447">
        <v>0</v>
      </c>
    </row>
    <row r="54" spans="1:49" ht="21.95" customHeight="1">
      <c r="A54" s="1185" t="s">
        <v>167</v>
      </c>
      <c r="B54" s="1185" t="s">
        <v>168</v>
      </c>
      <c r="C54" s="1185" t="s">
        <v>169</v>
      </c>
      <c r="D54" s="1185" t="s">
        <v>170</v>
      </c>
      <c r="E54" s="2669"/>
      <c r="F54" s="2669"/>
      <c r="G54" s="2669"/>
      <c r="H54" s="2669"/>
      <c r="I54" s="2496"/>
      <c r="J54" s="2514" t="str">
        <f>I53&amp;".1"</f>
        <v>....1.1</v>
      </c>
      <c r="K54" s="1185"/>
      <c r="L54" s="1185"/>
      <c r="M54" s="1228" t="s">
        <v>397</v>
      </c>
      <c r="Q54" s="2646"/>
      <c r="R54" s="2646">
        <v>1</v>
      </c>
      <c r="S54" s="454"/>
      <c r="T54" s="293"/>
      <c r="U54" s="1254" t="str">
        <f>$J54</f>
        <v>....1.1</v>
      </c>
      <c r="V54" s="223" t="s">
        <v>398</v>
      </c>
      <c r="W54" s="237"/>
      <c r="X54" s="2630"/>
      <c r="Y54" s="2631"/>
      <c r="Z54" s="2631"/>
      <c r="AA54" s="2631"/>
      <c r="AB54" s="2631"/>
      <c r="AC54" s="2626"/>
      <c r="AD54" s="2626"/>
      <c r="AE54" s="2626"/>
      <c r="AF54" s="2686"/>
      <c r="AG54" s="2630"/>
      <c r="AH54" s="2631"/>
      <c r="AI54" s="2631"/>
      <c r="AJ54" s="2631"/>
      <c r="AK54" s="2631"/>
      <c r="AL54" s="2631"/>
      <c r="AM54" s="2631"/>
      <c r="AN54" s="2631"/>
      <c r="AO54" s="2631"/>
      <c r="AP54" s="2632"/>
      <c r="AQ54" s="1176" t="s">
        <v>399</v>
      </c>
      <c r="AS54" s="436"/>
      <c r="AT54" s="436" t="str">
        <f t="shared" si="2"/>
        <v>Группа потребителей</v>
      </c>
      <c r="AU54" s="436"/>
      <c r="AV54" s="436"/>
      <c r="AW54" s="1073">
        <v>21</v>
      </c>
    </row>
    <row r="55" spans="1:49" ht="21.95" customHeight="1">
      <c r="A55" s="1185" t="s">
        <v>167</v>
      </c>
      <c r="B55" s="1185" t="s">
        <v>168</v>
      </c>
      <c r="C55" s="1185" t="s">
        <v>169</v>
      </c>
      <c r="D55" s="1185" t="s">
        <v>170</v>
      </c>
      <c r="E55" s="2669"/>
      <c r="F55" s="2669"/>
      <c r="G55" s="2669"/>
      <c r="H55" s="2669"/>
      <c r="I55" s="2496"/>
      <c r="J55" s="2496"/>
      <c r="K55" s="2514" t="str">
        <f>J54&amp;".1"</f>
        <v>....1.1.1</v>
      </c>
      <c r="L55" s="78"/>
      <c r="M55" s="1228" t="s">
        <v>400</v>
      </c>
      <c r="Q55" s="2646"/>
      <c r="R55" s="2646"/>
      <c r="S55" s="454">
        <v>1</v>
      </c>
      <c r="T55" s="293"/>
      <c r="U55" s="1254" t="str">
        <f>$K55</f>
        <v>....1.1.1</v>
      </c>
      <c r="V55" s="1265"/>
      <c r="W55" s="237"/>
      <c r="X55" s="687"/>
      <c r="Y55" s="687"/>
      <c r="Z55" s="687"/>
      <c r="AA55" s="687"/>
      <c r="AB55" s="1323"/>
      <c r="AC55" s="2647"/>
      <c r="AD55" s="2524" t="s">
        <v>65</v>
      </c>
      <c r="AE55" s="2647"/>
      <c r="AF55" s="2524" t="s">
        <v>65</v>
      </c>
      <c r="AG55" s="1325"/>
      <c r="AH55" s="687"/>
      <c r="AI55" s="687"/>
      <c r="AJ55" s="687"/>
      <c r="AK55" s="1175"/>
      <c r="AL55" s="2647"/>
      <c r="AM55" s="2524" t="s">
        <v>65</v>
      </c>
      <c r="AN55" s="2647"/>
      <c r="AO55" s="2524" t="s">
        <v>65</v>
      </c>
      <c r="AP55" s="1266"/>
      <c r="AQ55" s="1225" t="s">
        <v>443</v>
      </c>
      <c r="AR55" s="447" t="e">
        <f ca="1">STRCHECKDATE(X57:AP57)</f>
        <v>#NAME?</v>
      </c>
      <c r="AS55" s="436"/>
      <c r="AT55" s="436" t="str">
        <f t="shared" si="2"/>
        <v/>
      </c>
      <c r="AU55" s="436"/>
      <c r="AV55" s="436"/>
      <c r="AW55" s="1073">
        <v>21</v>
      </c>
    </row>
    <row r="56" spans="1:49" ht="11.45" customHeight="1">
      <c r="A56" s="1185" t="s">
        <v>167</v>
      </c>
      <c r="B56" s="1185" t="s">
        <v>168</v>
      </c>
      <c r="C56" s="1185" t="s">
        <v>169</v>
      </c>
      <c r="D56" s="1185" t="s">
        <v>170</v>
      </c>
      <c r="E56" s="2669"/>
      <c r="F56" s="2669"/>
      <c r="G56" s="2669"/>
      <c r="H56" s="2669"/>
      <c r="I56" s="2496"/>
      <c r="J56" s="2496"/>
      <c r="K56" s="2496"/>
      <c r="L56" s="2514" t="str">
        <f>K55&amp;".1"</f>
        <v>....1.1.1.1</v>
      </c>
      <c r="M56" s="1228"/>
      <c r="Q56" s="2646"/>
      <c r="R56" s="2646"/>
      <c r="S56" s="454">
        <v>1</v>
      </c>
      <c r="T56" s="293"/>
      <c r="U56" s="1254" t="str">
        <f>$L56</f>
        <v>....1.1.1.1</v>
      </c>
      <c r="V56" s="1309"/>
      <c r="W56" s="237"/>
      <c r="X56" s="262"/>
      <c r="Y56" s="687"/>
      <c r="Z56" s="687"/>
      <c r="AA56" s="687"/>
      <c r="AB56" s="1323"/>
      <c r="AC56" s="2648"/>
      <c r="AD56" s="2524"/>
      <c r="AE56" s="2648"/>
      <c r="AF56" s="2524"/>
      <c r="AG56" s="1325"/>
      <c r="AH56" s="687"/>
      <c r="AI56" s="687"/>
      <c r="AJ56" s="687"/>
      <c r="AK56" s="1175"/>
      <c r="AL56" s="2648"/>
      <c r="AM56" s="2524"/>
      <c r="AN56" s="2648"/>
      <c r="AO56" s="2524"/>
      <c r="AP56" s="1266"/>
      <c r="AQ56" s="2665" t="s">
        <v>444</v>
      </c>
      <c r="AR56" s="447" t="e">
        <f ca="1">STRCHECKDATE(X58:AP58)</f>
        <v>#NAME?</v>
      </c>
      <c r="AS56" s="436"/>
      <c r="AT56" s="436" t="str">
        <f t="shared" si="2"/>
        <v/>
      </c>
      <c r="AU56" s="436"/>
      <c r="AV56" s="436"/>
      <c r="AW56" s="1073">
        <v>11</v>
      </c>
    </row>
    <row r="57" spans="1:49" ht="0" hidden="1" customHeight="1">
      <c r="A57" s="1185" t="s">
        <v>167</v>
      </c>
      <c r="B57" s="1185" t="s">
        <v>168</v>
      </c>
      <c r="C57" s="1185" t="s">
        <v>169</v>
      </c>
      <c r="D57" s="1185" t="s">
        <v>170</v>
      </c>
      <c r="E57" s="2669"/>
      <c r="F57" s="2669"/>
      <c r="G57" s="2669"/>
      <c r="H57" s="2669"/>
      <c r="I57" s="2496"/>
      <c r="J57" s="2496"/>
      <c r="K57" s="2496"/>
      <c r="L57" s="2514"/>
      <c r="M57" s="1228"/>
      <c r="Q57" s="2646"/>
      <c r="R57" s="2646"/>
      <c r="S57" s="454"/>
      <c r="T57" s="293"/>
      <c r="U57" s="1260"/>
      <c r="V57" s="237"/>
      <c r="W57" s="237"/>
      <c r="X57" s="262"/>
      <c r="Y57" s="262"/>
      <c r="Z57" s="262"/>
      <c r="AA57" s="262"/>
      <c r="AB57" s="1324" t="str">
        <f>AC55&amp;"-"&amp;AE55</f>
        <v>-</v>
      </c>
      <c r="AC57" s="2648"/>
      <c r="AD57" s="2524"/>
      <c r="AE57" s="2648"/>
      <c r="AF57" s="2524"/>
      <c r="AG57" s="1300"/>
      <c r="AH57" s="262"/>
      <c r="AI57" s="262"/>
      <c r="AJ57" s="262"/>
      <c r="AK57" s="265" t="str">
        <f>AL55&amp;"-"&amp;AN55</f>
        <v>-</v>
      </c>
      <c r="AL57" s="2648"/>
      <c r="AM57" s="2524"/>
      <c r="AN57" s="2648"/>
      <c r="AO57" s="2524"/>
      <c r="AP57" s="1267"/>
      <c r="AQ57" s="2666"/>
      <c r="AS57" s="436"/>
      <c r="AT57" s="436" t="str">
        <f t="shared" si="2"/>
        <v/>
      </c>
      <c r="AU57" s="436"/>
      <c r="AV57" s="436"/>
      <c r="AW57" s="1073">
        <v>0</v>
      </c>
    </row>
    <row r="58" spans="1:49" ht="11.45" customHeight="1">
      <c r="A58" s="1185" t="s">
        <v>167</v>
      </c>
      <c r="B58" s="1185" t="s">
        <v>168</v>
      </c>
      <c r="C58" s="1185" t="s">
        <v>169</v>
      </c>
      <c r="D58" s="1185" t="s">
        <v>170</v>
      </c>
      <c r="E58" s="2669"/>
      <c r="F58" s="2669"/>
      <c r="G58" s="2669"/>
      <c r="H58" s="2669"/>
      <c r="I58" s="2496"/>
      <c r="J58" s="2496"/>
      <c r="K58" s="2514"/>
      <c r="L58" s="1185"/>
      <c r="M58" s="1228"/>
      <c r="Q58" s="2646"/>
      <c r="R58" s="2646"/>
      <c r="S58" s="1249"/>
      <c r="T58" s="292"/>
      <c r="U58" s="1196"/>
      <c r="V58" s="225" t="s">
        <v>445</v>
      </c>
      <c r="W58" s="303"/>
      <c r="X58" s="303"/>
      <c r="Y58" s="303"/>
      <c r="Z58" s="303"/>
      <c r="AA58" s="303"/>
      <c r="AB58" s="303"/>
      <c r="AC58" s="2648"/>
      <c r="AD58" s="2524"/>
      <c r="AE58" s="2648"/>
      <c r="AF58" s="2524"/>
      <c r="AG58" s="303"/>
      <c r="AH58" s="303"/>
      <c r="AI58" s="303"/>
      <c r="AJ58" s="303"/>
      <c r="AK58" s="303"/>
      <c r="AL58" s="2648"/>
      <c r="AM58" s="2524"/>
      <c r="AN58" s="2648"/>
      <c r="AO58" s="2524"/>
      <c r="AP58" s="261"/>
      <c r="AQ58" s="2666"/>
      <c r="AS58" s="436"/>
      <c r="AT58" s="436" t="str">
        <f t="shared" si="2"/>
        <v>Добавить наименование поставщика</v>
      </c>
      <c r="AU58" s="436"/>
      <c r="AV58" s="436"/>
      <c r="AW58" s="1073">
        <v>11</v>
      </c>
    </row>
    <row r="59" spans="1:49" ht="11.45" customHeight="1">
      <c r="A59" s="1185" t="s">
        <v>167</v>
      </c>
      <c r="B59" s="1185" t="s">
        <v>168</v>
      </c>
      <c r="C59" s="1185" t="s">
        <v>169</v>
      </c>
      <c r="D59" s="1185" t="s">
        <v>170</v>
      </c>
      <c r="E59" s="2669"/>
      <c r="F59" s="2669"/>
      <c r="G59" s="2669"/>
      <c r="H59" s="2669"/>
      <c r="I59" s="2496"/>
      <c r="J59" s="2514"/>
      <c r="K59" s="1185"/>
      <c r="L59" s="1185"/>
      <c r="M59" s="1228"/>
      <c r="Q59" s="2646"/>
      <c r="R59" s="2646"/>
      <c r="S59" s="1249"/>
      <c r="T59" s="292"/>
      <c r="U59" s="1196"/>
      <c r="V59" s="224" t="s">
        <v>402</v>
      </c>
      <c r="W59" s="303"/>
      <c r="X59" s="303"/>
      <c r="Y59" s="303"/>
      <c r="Z59" s="303"/>
      <c r="AA59" s="303"/>
      <c r="AB59" s="303"/>
      <c r="AC59" s="1326"/>
      <c r="AD59" s="1326"/>
      <c r="AE59" s="1326"/>
      <c r="AF59" s="1326"/>
      <c r="AG59" s="303"/>
      <c r="AH59" s="303"/>
      <c r="AI59" s="303"/>
      <c r="AJ59" s="303"/>
      <c r="AK59" s="303"/>
      <c r="AL59" s="303"/>
      <c r="AM59" s="303"/>
      <c r="AN59" s="303"/>
      <c r="AO59" s="303"/>
      <c r="AP59" s="261"/>
      <c r="AQ59" s="2667"/>
      <c r="AS59" s="436"/>
      <c r="AT59" s="436" t="str">
        <f t="shared" si="2"/>
        <v>Добавить вид теплоносителя (параметры теплоносителя)</v>
      </c>
      <c r="AU59" s="436"/>
      <c r="AV59" s="436"/>
      <c r="AW59" s="1073">
        <v>11</v>
      </c>
    </row>
    <row r="60" spans="1:49" ht="11.45" customHeight="1">
      <c r="A60" s="1185" t="s">
        <v>167</v>
      </c>
      <c r="B60" s="1185" t="s">
        <v>168</v>
      </c>
      <c r="C60" s="1185" t="s">
        <v>169</v>
      </c>
      <c r="D60" s="1185" t="s">
        <v>170</v>
      </c>
      <c r="E60" s="2669"/>
      <c r="F60" s="2669"/>
      <c r="G60" s="2669"/>
      <c r="H60" s="2669"/>
      <c r="I60" s="2514"/>
      <c r="J60" s="1185"/>
      <c r="K60" s="1185"/>
      <c r="L60" s="1185"/>
      <c r="M60" s="1228"/>
      <c r="Q60" s="2646"/>
      <c r="R60" s="1249"/>
      <c r="S60" s="1249"/>
      <c r="T60" s="292"/>
      <c r="U60" s="1196"/>
      <c r="V60" s="301" t="s">
        <v>403</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3">
        <v>11</v>
      </c>
    </row>
    <row r="61" spans="1:49" ht="0" hidden="1" customHeight="1">
      <c r="A61" s="1185" t="s">
        <v>167</v>
      </c>
      <c r="B61" s="1185" t="s">
        <v>168</v>
      </c>
      <c r="C61" s="1185" t="s">
        <v>169</v>
      </c>
      <c r="D61" s="1185" t="s">
        <v>170</v>
      </c>
      <c r="E61" s="2669"/>
      <c r="F61" s="2669"/>
      <c r="G61" s="2669"/>
      <c r="H61" s="2668"/>
      <c r="I61" s="1185"/>
      <c r="J61" s="1185"/>
      <c r="K61" s="1185"/>
      <c r="L61" s="1185"/>
      <c r="M61" s="1228"/>
      <c r="N61" s="624"/>
      <c r="O61" s="624"/>
      <c r="P61" s="445"/>
      <c r="Q61" s="296"/>
      <c r="R61" s="311"/>
      <c r="S61" s="291"/>
      <c r="T61" s="296"/>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6"/>
      <c r="AT61" s="436" t="str">
        <f t="shared" si="2"/>
        <v/>
      </c>
      <c r="AU61" s="436"/>
      <c r="AV61" s="436"/>
      <c r="AW61" s="1073">
        <v>0</v>
      </c>
    </row>
    <row r="62" spans="1:49" s="2407" customFormat="1" ht="0" hidden="1" customHeight="1">
      <c r="A62" s="1293" t="s">
        <v>167</v>
      </c>
      <c r="B62" s="1293" t="s">
        <v>168</v>
      </c>
      <c r="C62" s="1293" t="s">
        <v>169</v>
      </c>
      <c r="D62" s="1292"/>
      <c r="E62" s="2669"/>
      <c r="F62" s="2669"/>
      <c r="G62" s="2668"/>
      <c r="H62" s="1292"/>
      <c r="I62" s="1292"/>
      <c r="J62" s="1292"/>
      <c r="K62" s="1292"/>
      <c r="L62" s="1292"/>
      <c r="M62" s="1295"/>
      <c r="N62" s="1296"/>
      <c r="O62" s="1296"/>
      <c r="P62" s="287"/>
      <c r="Q62" s="1234"/>
      <c r="R62" s="1235"/>
      <c r="S62" s="1234"/>
      <c r="T62" s="1234"/>
      <c r="U62" s="1240"/>
      <c r="V62" s="1243" t="s">
        <v>405</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9"/>
      <c r="AT62" s="719" t="str">
        <f t="shared" si="2"/>
        <v>Добавить источник для дифференциации</v>
      </c>
      <c r="AU62" s="719"/>
      <c r="AV62" s="719"/>
      <c r="AW62" s="454">
        <v>0</v>
      </c>
    </row>
    <row r="63" spans="1:49" s="2407" customFormat="1" ht="0" hidden="1" customHeight="1">
      <c r="A63" s="1293" t="s">
        <v>167</v>
      </c>
      <c r="B63" s="1293" t="s">
        <v>168</v>
      </c>
      <c r="C63" s="1292"/>
      <c r="D63" s="1292"/>
      <c r="E63" s="2669"/>
      <c r="F63" s="2668"/>
      <c r="G63" s="1292"/>
      <c r="H63" s="1292"/>
      <c r="I63" s="1292"/>
      <c r="J63" s="1292"/>
      <c r="K63" s="1292"/>
      <c r="L63" s="1292"/>
      <c r="M63" s="1295"/>
      <c r="N63" s="1297"/>
      <c r="O63" s="1297"/>
      <c r="P63" s="287"/>
      <c r="Q63" s="1234"/>
      <c r="R63" s="1235"/>
      <c r="S63" s="1234"/>
      <c r="T63" s="1234"/>
      <c r="U63" s="1240"/>
      <c r="V63" s="1243" t="s">
        <v>406</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9"/>
      <c r="AT63" s="719" t="str">
        <f t="shared" si="2"/>
        <v>Добавить централизованную систему для дифференциации</v>
      </c>
      <c r="AU63" s="719"/>
      <c r="AV63" s="719"/>
      <c r="AW63" s="454">
        <v>0</v>
      </c>
    </row>
    <row r="64" spans="1:49" s="2407" customFormat="1" ht="0" hidden="1" customHeight="1">
      <c r="A64" s="1293" t="s">
        <v>167</v>
      </c>
      <c r="B64" s="1293"/>
      <c r="C64" s="1293"/>
      <c r="D64" s="1293"/>
      <c r="E64" s="2668"/>
      <c r="F64" s="1293"/>
      <c r="G64" s="1293"/>
      <c r="H64" s="1293"/>
      <c r="I64" s="1293"/>
      <c r="J64" s="1293"/>
      <c r="K64" s="1293"/>
      <c r="L64" s="1293"/>
      <c r="M64" s="1299"/>
      <c r="N64" s="1297"/>
      <c r="O64" s="1297"/>
      <c r="P64" s="287"/>
      <c r="Q64" s="316"/>
      <c r="R64" s="1262"/>
      <c r="S64" s="316"/>
      <c r="T64" s="316"/>
      <c r="U64" s="1240"/>
      <c r="V64" s="1243" t="s">
        <v>407</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6"/>
      <c r="AT64" s="436" t="str">
        <f t="shared" si="2"/>
        <v>Добавить территорию для дифференциации</v>
      </c>
      <c r="AU64" s="436"/>
      <c r="AV64" s="436"/>
      <c r="AW64" s="447">
        <v>0</v>
      </c>
    </row>
    <row r="65" spans="1:49" s="2407" customFormat="1" ht="4.1500000000000004" customHeight="1">
      <c r="A65" s="1292"/>
      <c r="B65" s="1292"/>
      <c r="C65" s="1292"/>
      <c r="D65" s="1292"/>
      <c r="E65" s="1293"/>
      <c r="F65" s="1292"/>
      <c r="G65" s="1292"/>
      <c r="H65" s="1292"/>
      <c r="I65" s="1292"/>
      <c r="J65" s="1292"/>
      <c r="K65" s="1292"/>
      <c r="L65" s="1292"/>
      <c r="M65" s="1295"/>
      <c r="N65" s="1297"/>
      <c r="O65" s="1297"/>
      <c r="P65" s="287"/>
      <c r="Q65" s="1234"/>
      <c r="R65" s="1235"/>
      <c r="S65" s="1234"/>
      <c r="T65" s="1234"/>
      <c r="U65" s="1240"/>
      <c r="V65" s="1243" t="s">
        <v>439</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9"/>
      <c r="AT65" s="719" t="str">
        <f t="shared" si="2"/>
        <v>Добавить наименование тарифа</v>
      </c>
      <c r="AU65" s="719"/>
      <c r="AV65" s="719"/>
      <c r="AW65" s="454">
        <v>4</v>
      </c>
    </row>
    <row r="66" spans="1:49" ht="11.45" customHeight="1">
      <c r="N66" s="1073"/>
      <c r="O66" s="1073"/>
      <c r="P66" s="445"/>
      <c r="Q66" s="1073"/>
      <c r="R66" s="1073"/>
      <c r="S66" s="1073"/>
      <c r="T66" s="1073"/>
      <c r="U66" s="1073"/>
      <c r="AR66" s="1073"/>
      <c r="AS66" s="1073"/>
      <c r="AT66" s="1073"/>
      <c r="AU66" s="1073"/>
      <c r="AV66" s="1073"/>
      <c r="AW66" s="1073">
        <v>11</v>
      </c>
    </row>
    <row r="67" spans="1:49" ht="35.65" customHeight="1">
      <c r="P67" s="445"/>
      <c r="U67" s="1171"/>
      <c r="V67" s="2641"/>
      <c r="W67" s="2641"/>
      <c r="X67" s="2641"/>
      <c r="Y67" s="2641"/>
      <c r="Z67" s="2641"/>
      <c r="AA67" s="2641"/>
      <c r="AB67" s="2641"/>
      <c r="AC67" s="2641"/>
      <c r="AD67" s="2641"/>
      <c r="AE67" s="2641"/>
      <c r="AF67" s="2641"/>
      <c r="AG67" s="2641"/>
      <c r="AH67" s="2641"/>
      <c r="AI67" s="2641"/>
      <c r="AJ67" s="2641"/>
      <c r="AK67" s="2641"/>
      <c r="AL67" s="2641"/>
      <c r="AM67" s="2641"/>
      <c r="AN67" s="2641"/>
      <c r="AO67" s="2641"/>
      <c r="AP67" s="2641"/>
      <c r="AQ67" s="2641"/>
      <c r="AW67" s="1073">
        <v>34</v>
      </c>
    </row>
    <row r="68" spans="1:49" ht="21" customHeight="1">
      <c r="P68" s="445"/>
      <c r="V68" s="2641"/>
      <c r="W68" s="2641"/>
      <c r="X68" s="2641"/>
      <c r="Y68" s="2641"/>
      <c r="Z68" s="2641"/>
      <c r="AA68" s="2641"/>
      <c r="AB68" s="2641"/>
      <c r="AC68" s="2641"/>
      <c r="AD68" s="2641"/>
      <c r="AE68" s="2641"/>
      <c r="AF68" s="2641"/>
      <c r="AG68" s="2641"/>
      <c r="AH68" s="2641"/>
      <c r="AI68" s="2641"/>
      <c r="AJ68" s="2641"/>
      <c r="AK68" s="2641"/>
      <c r="AL68" s="2641"/>
      <c r="AM68" s="2641"/>
      <c r="AN68" s="2641"/>
      <c r="AO68" s="2641"/>
      <c r="AP68" s="2641"/>
      <c r="AQ68" s="2641"/>
      <c r="AW68" s="1073">
        <v>20</v>
      </c>
    </row>
    <row r="69" spans="1:49" ht="14.65" customHeight="1">
      <c r="P69" s="445"/>
      <c r="AW69" s="1073">
        <v>14</v>
      </c>
    </row>
    <row r="70" spans="1:49" ht="28.5" customHeight="1">
      <c r="P70" s="445"/>
      <c r="V70" s="2641"/>
      <c r="W70" s="2641"/>
      <c r="X70" s="2641"/>
      <c r="Y70" s="2641"/>
      <c r="Z70" s="2641"/>
      <c r="AA70" s="2641"/>
      <c r="AB70" s="2641"/>
      <c r="AC70" s="2641"/>
      <c r="AD70" s="2641"/>
      <c r="AE70" s="2641"/>
      <c r="AF70" s="2641"/>
      <c r="AG70" s="2641"/>
      <c r="AH70" s="2641"/>
      <c r="AI70" s="2641"/>
      <c r="AJ70" s="2641"/>
      <c r="AK70" s="2641"/>
      <c r="AL70" s="2641"/>
      <c r="AM70" s="2641"/>
      <c r="AN70" s="2641"/>
      <c r="AO70" s="2641"/>
      <c r="AP70" s="2641"/>
      <c r="AQ70" s="2641"/>
      <c r="AW70" s="1073">
        <v>27</v>
      </c>
    </row>
    <row r="71" spans="1:49" ht="18.75" customHeight="1">
      <c r="P71" s="445"/>
      <c r="V71" s="2641"/>
      <c r="W71" s="2641"/>
      <c r="X71" s="2641"/>
      <c r="Y71" s="2641"/>
      <c r="Z71" s="2641"/>
      <c r="AA71" s="2641"/>
      <c r="AB71" s="2641"/>
      <c r="AC71" s="2641"/>
      <c r="AD71" s="2641"/>
      <c r="AE71" s="2641"/>
      <c r="AF71" s="2641"/>
      <c r="AG71" s="2641"/>
      <c r="AH71" s="2641"/>
      <c r="AI71" s="2641"/>
      <c r="AJ71" s="2641"/>
      <c r="AK71" s="2641"/>
      <c r="AL71" s="2641"/>
      <c r="AM71" s="2641"/>
      <c r="AN71" s="2641"/>
      <c r="AO71" s="2641"/>
      <c r="AP71" s="2641"/>
      <c r="AQ71" s="2641"/>
      <c r="AW71" s="1073">
        <v>18</v>
      </c>
    </row>
    <row r="72" spans="1:49" ht="22.5" hidden="1" customHeight="1">
      <c r="A72" s="1073" t="s">
        <v>78</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1">
        <v>3</v>
      </c>
      <c r="S72" s="281">
        <v>3</v>
      </c>
      <c r="T72" s="281">
        <v>3</v>
      </c>
      <c r="U72" s="517">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7">
        <v>10</v>
      </c>
      <c r="AS72" s="447">
        <v>10</v>
      </c>
      <c r="AT72" s="447">
        <v>10</v>
      </c>
      <c r="AU72" s="447">
        <v>10</v>
      </c>
      <c r="AV72" s="447">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39" zoomScale="90" workbookViewId="0">
      <selection activeCell="E76" sqref="E76"/>
    </sheetView>
  </sheetViews>
  <sheetFormatPr defaultColWidth="9.140625" defaultRowHeight="11.25" customHeight="1"/>
  <cols>
    <col min="1" max="1" width="10.7109375" style="2401" hidden="1" customWidth="1"/>
    <col min="2" max="2" width="10.7109375" style="2402" hidden="1" customWidth="1"/>
    <col min="3" max="3" width="3" style="2403" customWidth="1"/>
    <col min="4" max="4" width="1" style="2400" customWidth="1"/>
    <col min="5" max="6" width="55" style="2400" customWidth="1"/>
    <col min="7" max="7" width="1" style="2404" customWidth="1"/>
    <col min="8" max="8" width="18" style="2400" hidden="1" customWidth="1"/>
    <col min="9" max="9" width="59" style="2405" customWidth="1"/>
    <col min="10" max="10" width="52.140625" style="2406" hidden="1" customWidth="1"/>
    <col min="11" max="11" width="8" style="2400" customWidth="1"/>
    <col min="12" max="12" width="77" style="2400" customWidth="1"/>
    <col min="13" max="16" width="8" style="2400" customWidth="1"/>
    <col min="17" max="17" width="12" style="2400" hidden="1" customWidth="1"/>
  </cols>
  <sheetData>
    <row r="1" spans="1:17" s="2397" customFormat="1" ht="3" customHeight="1">
      <c r="A1" s="713"/>
      <c r="B1" s="178"/>
      <c r="F1" s="179" t="s">
        <v>13</v>
      </c>
      <c r="G1" s="347"/>
      <c r="H1" s="11"/>
      <c r="I1" s="347"/>
      <c r="J1" s="797"/>
      <c r="Q1" s="179" t="s">
        <v>14</v>
      </c>
    </row>
    <row r="2" spans="1:17" s="2398" customFormat="1" ht="14.25" customHeight="1">
      <c r="A2" s="713"/>
      <c r="B2" s="38"/>
      <c r="E2" s="1657" t="str">
        <f>code</f>
        <v>Код отчёта: PP110.OPEN.INFO.INVEST.HEAT.EIAS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399" customFormat="1" ht="6.4" customHeight="1">
      <c r="A4" s="714"/>
      <c r="B4" s="169"/>
      <c r="C4" s="170"/>
      <c r="D4" s="171"/>
      <c r="E4" s="180"/>
      <c r="F4" s="181"/>
      <c r="G4" s="702"/>
      <c r="H4" s="345"/>
      <c r="I4" s="347"/>
      <c r="J4" s="800"/>
      <c r="Q4" s="173">
        <v>6</v>
      </c>
    </row>
    <row r="5" spans="1:17" ht="39.75" customHeight="1">
      <c r="D5" s="15"/>
      <c r="E5" s="2495" t="str">
        <f>NameTemplatesInTitle</f>
        <v>Информация об инвестиционных программах регулируемой организации в области теплоснабжения</v>
      </c>
      <c r="F5" s="2496"/>
      <c r="G5" s="703"/>
      <c r="J5" s="801"/>
      <c r="Q5" s="14">
        <v>38</v>
      </c>
    </row>
    <row r="6" spans="1:17" s="2399"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399" customFormat="1" ht="6.4" customHeight="1">
      <c r="A8" s="715"/>
      <c r="B8" s="169"/>
      <c r="C8" s="170"/>
      <c r="D8" s="176"/>
      <c r="E8" s="174"/>
      <c r="F8" s="177"/>
      <c r="G8" s="17"/>
      <c r="H8" s="345"/>
      <c r="I8" s="347"/>
      <c r="J8" s="803"/>
      <c r="Q8" s="173">
        <v>6</v>
      </c>
    </row>
    <row r="9" spans="1:17" s="2400" customFormat="1" ht="19.5" hidden="1" customHeight="1">
      <c r="A9" s="714"/>
      <c r="B9" s="38"/>
      <c r="C9" s="344"/>
      <c r="D9" s="346"/>
      <c r="E9" s="1083" t="s">
        <v>17</v>
      </c>
      <c r="F9" s="1836"/>
      <c r="G9" s="703"/>
      <c r="I9" s="1815" t="str">
        <f>IF(TITLE_STRUCTURE_INFO_ROIV="","","раскрывается "&amp;INDEX(ROIV_INFO_COMMENT,MATCH(TITLE_STRUCTURE_INFO_ROIV,ROIV_INFO_LIST,0)))</f>
        <v/>
      </c>
      <c r="J9" s="802"/>
      <c r="Q9" s="345">
        <v>0</v>
      </c>
    </row>
    <row r="10" spans="1:17" s="2399" customFormat="1" ht="24" hidden="1" customHeight="1">
      <c r="A10" s="715"/>
      <c r="B10" s="362"/>
      <c r="C10" s="363"/>
      <c r="D10" s="176"/>
      <c r="E10" s="1083" t="s">
        <v>18</v>
      </c>
      <c r="F10" s="1978" t="s">
        <v>19</v>
      </c>
      <c r="G10" s="17"/>
      <c r="H10" s="345"/>
      <c r="I10" s="347"/>
      <c r="J10" s="803"/>
      <c r="Q10" s="366">
        <v>24</v>
      </c>
    </row>
    <row r="11" spans="1:17" ht="22.5" hidden="1" customHeight="1">
      <c r="A11" s="2498" t="s">
        <v>20</v>
      </c>
      <c r="D11" s="15"/>
      <c r="E11" s="1083" t="s">
        <v>21</v>
      </c>
      <c r="F11" s="1649" t="s">
        <v>22</v>
      </c>
      <c r="G11" s="17"/>
      <c r="H11" s="704" t="s">
        <v>23</v>
      </c>
      <c r="J11" s="802" t="s">
        <v>24</v>
      </c>
      <c r="Q11" s="14">
        <v>0</v>
      </c>
    </row>
    <row r="12" spans="1:17" ht="22.5" hidden="1" customHeight="1">
      <c r="A12" s="2498"/>
      <c r="D12" s="15"/>
      <c r="E12" s="1083" t="s">
        <v>25</v>
      </c>
      <c r="F12" s="1649"/>
      <c r="G12" s="13"/>
      <c r="J12" s="802" t="s">
        <v>26</v>
      </c>
      <c r="Q12" s="14">
        <v>0</v>
      </c>
    </row>
    <row r="13" spans="1:17" s="2400" customFormat="1" ht="22.5" hidden="1" customHeight="1">
      <c r="A13" s="718" t="s">
        <v>27</v>
      </c>
      <c r="B13" s="38"/>
      <c r="C13" s="344"/>
      <c r="D13" s="346"/>
      <c r="E13" s="1692" t="s">
        <v>28</v>
      </c>
      <c r="F13" s="1649" t="s">
        <v>22</v>
      </c>
      <c r="G13" s="17"/>
      <c r="H13" s="701"/>
      <c r="I13" s="347"/>
      <c r="J13" s="1693" t="s">
        <v>29</v>
      </c>
      <c r="Q13" s="345">
        <v>0</v>
      </c>
    </row>
    <row r="14" spans="1:17" s="2400" customFormat="1" ht="27" customHeight="1">
      <c r="A14" s="718" t="s">
        <v>30</v>
      </c>
      <c r="B14" s="38"/>
      <c r="C14" s="344"/>
      <c r="D14" s="346"/>
      <c r="E14" s="1083" t="s">
        <v>31</v>
      </c>
      <c r="F14" s="2001">
        <v>2024</v>
      </c>
      <c r="G14" s="17"/>
      <c r="H14" s="701"/>
      <c r="I14" s="347"/>
      <c r="J14" s="802" t="s">
        <v>32</v>
      </c>
      <c r="Q14" s="345">
        <v>0</v>
      </c>
    </row>
    <row r="15" spans="1:17" s="2400" customFormat="1" ht="19.5" hidden="1" customHeight="1">
      <c r="A15" s="718" t="s">
        <v>33</v>
      </c>
      <c r="B15" s="38"/>
      <c r="C15" s="344"/>
      <c r="D15" s="346"/>
      <c r="E15" s="1083" t="s">
        <v>34</v>
      </c>
      <c r="F15" s="1684"/>
      <c r="G15" s="17"/>
      <c r="H15" s="701"/>
      <c r="I15" s="347"/>
      <c r="J15" s="802" t="s">
        <v>35</v>
      </c>
      <c r="Q15" s="345">
        <v>0</v>
      </c>
    </row>
    <row r="16" spans="1:17" s="2399" customFormat="1" ht="6.4" customHeight="1">
      <c r="A16" s="715"/>
      <c r="B16" s="169"/>
      <c r="C16" s="170"/>
      <c r="D16" s="176"/>
      <c r="E16" s="174"/>
      <c r="F16" s="177"/>
      <c r="G16" s="17"/>
      <c r="H16" s="345"/>
      <c r="I16" s="347"/>
      <c r="J16" s="800"/>
      <c r="Q16" s="173">
        <v>6</v>
      </c>
    </row>
    <row r="17" spans="1:17" ht="21" customHeight="1">
      <c r="D17" s="15"/>
      <c r="E17" s="327" t="s">
        <v>36</v>
      </c>
      <c r="F17" s="2002" t="s">
        <v>37</v>
      </c>
      <c r="G17" s="13"/>
      <c r="H17" s="704" t="s">
        <v>23</v>
      </c>
      <c r="Q17" s="14">
        <v>20</v>
      </c>
    </row>
    <row r="18" spans="1:17" ht="25.5" customHeight="1">
      <c r="D18" s="15"/>
      <c r="E18" s="1692" t="s">
        <v>38</v>
      </c>
      <c r="F18" s="2003">
        <v>45580.353773148148</v>
      </c>
      <c r="G18" s="13"/>
      <c r="I18" s="705"/>
      <c r="J18" s="2497" t="s">
        <v>39</v>
      </c>
      <c r="Q18" s="14">
        <v>0</v>
      </c>
    </row>
    <row r="19" spans="1:17" ht="25.5" hidden="1" customHeight="1">
      <c r="D19" s="15"/>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3"/>
      <c r="I19" s="705"/>
      <c r="J19" s="2497"/>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9"/>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0"/>
      <c r="G26" s="13"/>
      <c r="Q26" s="14">
        <v>0</v>
      </c>
    </row>
    <row r="27" spans="1:17" ht="19.5" hidden="1" customHeight="1">
      <c r="D27" s="15"/>
      <c r="E27" s="1083"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399"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399" customFormat="1" ht="11.45" customHeight="1">
      <c r="A35" s="715"/>
      <c r="B35" s="169"/>
      <c r="C35" s="170"/>
      <c r="D35" s="176"/>
      <c r="E35" s="174"/>
      <c r="F35" s="177"/>
      <c r="G35" s="17"/>
      <c r="H35" s="345"/>
      <c r="I35" s="347"/>
      <c r="J35" s="800"/>
      <c r="Q35" s="173">
        <v>11</v>
      </c>
    </row>
    <row r="36" spans="1:17" ht="19.5" customHeight="1">
      <c r="A36" s="805"/>
      <c r="D36" s="19"/>
      <c r="E36" s="327" t="s">
        <v>51</v>
      </c>
      <c r="F36" s="2004" t="s">
        <v>52</v>
      </c>
      <c r="G36" s="17"/>
      <c r="Q36" s="14">
        <v>0</v>
      </c>
    </row>
    <row r="37" spans="1:17" ht="21" customHeight="1">
      <c r="A37" s="805"/>
      <c r="D37" s="19"/>
      <c r="E37" s="327" t="s">
        <v>53</v>
      </c>
      <c r="F37" s="2004" t="s">
        <v>54</v>
      </c>
      <c r="G37" s="17"/>
      <c r="Q37" s="14">
        <v>20</v>
      </c>
    </row>
    <row r="38" spans="1:17" s="2399" customFormat="1" ht="6.4" customHeight="1">
      <c r="A38" s="715"/>
      <c r="B38" s="169"/>
      <c r="C38" s="170"/>
      <c r="D38" s="171"/>
      <c r="E38" s="172"/>
      <c r="F38" s="976"/>
      <c r="G38" s="13"/>
      <c r="H38" s="345"/>
      <c r="I38" s="347"/>
      <c r="J38" s="802"/>
      <c r="Q38" s="173">
        <v>6</v>
      </c>
    </row>
    <row r="39" spans="1:17" ht="36.75" customHeight="1">
      <c r="A39" s="715"/>
      <c r="D39" s="15"/>
      <c r="E39" s="327" t="s">
        <v>55</v>
      </c>
      <c r="F39" s="646" t="s">
        <v>19</v>
      </c>
      <c r="G39" s="13"/>
      <c r="H39" s="704" t="s">
        <v>23</v>
      </c>
      <c r="Q39" s="14">
        <v>35</v>
      </c>
    </row>
    <row r="40" spans="1:17" s="2399" customFormat="1" ht="6" hidden="1" customHeight="1">
      <c r="A40" s="714"/>
      <c r="B40" s="362"/>
      <c r="C40" s="363"/>
      <c r="D40" s="364"/>
      <c r="E40" s="365"/>
      <c r="F40" s="976"/>
      <c r="G40" s="13"/>
      <c r="H40" s="345"/>
      <c r="I40" s="347"/>
      <c r="J40" s="802"/>
      <c r="Q40" s="366">
        <v>6</v>
      </c>
    </row>
    <row r="41" spans="1:17" s="2400"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399" customFormat="1" ht="6" hidden="1" customHeight="1">
      <c r="A42" s="714"/>
      <c r="B42" s="362"/>
      <c r="C42" s="363"/>
      <c r="D42" s="364"/>
      <c r="E42" s="365"/>
      <c r="F42" s="976"/>
      <c r="G42" s="13"/>
      <c r="H42" s="345"/>
      <c r="I42" s="347"/>
      <c r="J42" s="800"/>
      <c r="Q42" s="366">
        <v>0</v>
      </c>
    </row>
    <row r="43" spans="1:17" s="2400" customFormat="1" ht="27" hidden="1" customHeight="1">
      <c r="A43" s="714"/>
      <c r="B43" s="349"/>
      <c r="C43" s="344"/>
      <c r="D43" s="346"/>
      <c r="E43" s="327" t="s">
        <v>56</v>
      </c>
      <c r="F43" s="646" t="s">
        <v>19</v>
      </c>
      <c r="G43" s="13"/>
      <c r="I43" s="347"/>
      <c r="J43" s="802"/>
      <c r="Q43" s="345">
        <v>0</v>
      </c>
    </row>
    <row r="44" spans="1:17" s="2400" customFormat="1" ht="27" hidden="1" customHeight="1">
      <c r="A44" s="714"/>
      <c r="B44" s="349"/>
      <c r="C44" s="344"/>
      <c r="D44" s="346"/>
      <c r="E44" s="1083" t="s">
        <v>57</v>
      </c>
      <c r="F44" s="1803"/>
      <c r="G44" s="13"/>
      <c r="I44" s="347"/>
      <c r="J44" s="802"/>
      <c r="Q44" s="345">
        <v>0</v>
      </c>
    </row>
    <row r="45" spans="1:17" s="2399" customFormat="1" ht="6" hidden="1" customHeight="1">
      <c r="A45" s="714"/>
      <c r="B45" s="362"/>
      <c r="C45" s="363"/>
      <c r="D45" s="364"/>
      <c r="E45" s="365"/>
      <c r="F45" s="976"/>
      <c r="G45" s="13"/>
      <c r="H45" s="345"/>
      <c r="I45" s="347"/>
      <c r="J45" s="802"/>
      <c r="Q45" s="366">
        <v>0</v>
      </c>
    </row>
    <row r="46" spans="1:17" s="2399" customFormat="1" ht="24.75" hidden="1" customHeight="1">
      <c r="A46" s="714"/>
      <c r="B46" s="362"/>
      <c r="C46" s="363"/>
      <c r="D46" s="364"/>
      <c r="E46" s="1083" t="s">
        <v>58</v>
      </c>
      <c r="F46" s="646" t="s">
        <v>19</v>
      </c>
      <c r="G46" s="13"/>
      <c r="H46" s="345"/>
      <c r="I46" s="347"/>
      <c r="J46" s="802"/>
      <c r="Q46" s="366">
        <v>0</v>
      </c>
    </row>
    <row r="47" spans="1:17" s="2400" customFormat="1" ht="24.75" hidden="1" customHeight="1">
      <c r="A47" s="714"/>
      <c r="B47" s="349"/>
      <c r="C47" s="344"/>
      <c r="D47" s="346"/>
      <c r="E47" s="1083" t="s">
        <v>59</v>
      </c>
      <c r="F47" s="646" t="s">
        <v>19</v>
      </c>
      <c r="G47" s="13"/>
      <c r="I47" s="347"/>
      <c r="J47" s="802"/>
      <c r="Q47" s="345">
        <v>0</v>
      </c>
    </row>
    <row r="48" spans="1:17" s="2399"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399" customFormat="1" ht="6" hidden="1" customHeight="1">
      <c r="A50" s="715"/>
      <c r="B50" s="362"/>
      <c r="C50" s="363"/>
      <c r="D50" s="176"/>
      <c r="E50" s="174"/>
      <c r="F50" s="177"/>
      <c r="G50" s="17"/>
      <c r="H50" s="345"/>
      <c r="I50" s="347"/>
      <c r="J50" s="802"/>
      <c r="Q50" s="366">
        <v>0</v>
      </c>
    </row>
    <row r="51" spans="1:17" s="2400" customFormat="1" ht="28.5" hidden="1" customHeight="1">
      <c r="A51" s="716"/>
      <c r="B51" s="349"/>
      <c r="C51" s="466"/>
      <c r="D51" s="467"/>
      <c r="E51" s="327" t="s">
        <v>60</v>
      </c>
      <c r="F51" s="646" t="s">
        <v>19</v>
      </c>
      <c r="G51" s="468"/>
      <c r="I51" s="470"/>
      <c r="J51" s="804"/>
      <c r="P51" s="471"/>
      <c r="Q51" s="469">
        <v>0</v>
      </c>
    </row>
    <row r="52" spans="1:17" s="2399" customFormat="1" ht="6" hidden="1" customHeight="1">
      <c r="A52" s="715"/>
      <c r="B52" s="362"/>
      <c r="C52" s="363"/>
      <c r="D52" s="176"/>
      <c r="E52" s="174"/>
      <c r="F52" s="177"/>
      <c r="G52" s="17"/>
      <c r="H52" s="345"/>
      <c r="I52" s="347"/>
      <c r="J52" s="800"/>
      <c r="Q52" s="366">
        <v>0</v>
      </c>
    </row>
    <row r="53" spans="1:17" s="2400" customFormat="1" ht="27" hidden="1" customHeight="1">
      <c r="A53" s="716"/>
      <c r="B53" s="349"/>
      <c r="C53" s="466"/>
      <c r="D53" s="467"/>
      <c r="E53" s="327" t="s">
        <v>61</v>
      </c>
      <c r="F53" s="971" t="s">
        <v>19</v>
      </c>
      <c r="G53" s="468"/>
      <c r="I53" s="470"/>
      <c r="J53" s="804"/>
      <c r="P53" s="471"/>
      <c r="Q53" s="469">
        <v>0</v>
      </c>
    </row>
    <row r="54" spans="1:17" s="2400" customFormat="1" ht="27" hidden="1" customHeight="1">
      <c r="A54" s="716"/>
      <c r="B54" s="349"/>
      <c r="C54" s="466"/>
      <c r="D54" s="467"/>
      <c r="E54" s="327" t="s">
        <v>62</v>
      </c>
      <c r="F54" s="1691"/>
      <c r="G54" s="468"/>
      <c r="I54" s="470"/>
      <c r="J54" s="804"/>
      <c r="P54" s="471"/>
      <c r="Q54" s="469">
        <v>0</v>
      </c>
    </row>
    <row r="55" spans="1:17" s="2399" customFormat="1" ht="6" hidden="1" customHeight="1">
      <c r="A55" s="715"/>
      <c r="B55" s="362"/>
      <c r="C55" s="363"/>
      <c r="D55" s="176"/>
      <c r="E55" s="174"/>
      <c r="F55" s="177"/>
      <c r="G55" s="17"/>
      <c r="H55" s="345"/>
      <c r="I55" s="347"/>
      <c r="J55" s="800"/>
      <c r="Q55" s="366">
        <v>0</v>
      </c>
    </row>
    <row r="56" spans="1:17" s="2400" customFormat="1" ht="25.5" hidden="1" customHeight="1">
      <c r="A56" s="716"/>
      <c r="B56" s="349"/>
      <c r="C56" s="466"/>
      <c r="D56" s="467"/>
      <c r="E56" s="327" t="s">
        <v>63</v>
      </c>
      <c r="F56" s="971" t="s">
        <v>19</v>
      </c>
      <c r="G56" s="468"/>
      <c r="I56" s="470"/>
      <c r="J56" s="804"/>
      <c r="P56" s="471"/>
      <c r="Q56" s="469">
        <v>0</v>
      </c>
    </row>
    <row r="57" spans="1:17" s="2399" customFormat="1" ht="6" hidden="1" customHeight="1">
      <c r="A57" s="715"/>
      <c r="B57" s="362"/>
      <c r="C57" s="363"/>
      <c r="D57" s="176"/>
      <c r="E57" s="174"/>
      <c r="F57" s="177"/>
      <c r="G57" s="17"/>
      <c r="H57" s="345"/>
      <c r="I57" s="347"/>
      <c r="J57" s="800"/>
      <c r="Q57" s="366">
        <v>0</v>
      </c>
    </row>
    <row r="58" spans="1:17" s="2400" customFormat="1" ht="15" hidden="1" customHeight="1">
      <c r="A58" s="716"/>
      <c r="B58" s="349"/>
      <c r="C58" s="466"/>
      <c r="D58" s="467"/>
      <c r="E58" s="327" t="s">
        <v>64</v>
      </c>
      <c r="F58" s="971" t="s">
        <v>65</v>
      </c>
      <c r="G58" s="468"/>
      <c r="I58" s="470"/>
      <c r="J58" s="804"/>
      <c r="P58" s="471"/>
      <c r="Q58" s="469">
        <v>0</v>
      </c>
    </row>
    <row r="59" spans="1:17" s="2400"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t="s">
        <v>65</v>
      </c>
      <c r="G59" s="468"/>
      <c r="I59" s="470"/>
      <c r="J59" s="804"/>
      <c r="P59" s="471"/>
      <c r="Q59" s="469">
        <v>0</v>
      </c>
    </row>
    <row r="60" spans="1:17" s="2400" customFormat="1" ht="15" customHeight="1">
      <c r="A60" s="716"/>
      <c r="B60" s="349"/>
      <c r="C60" s="466"/>
      <c r="D60" s="467"/>
      <c r="E60" s="1083" t="s">
        <v>66</v>
      </c>
      <c r="F60" s="2004" t="s">
        <v>67</v>
      </c>
      <c r="G60" s="468"/>
      <c r="I60" s="470"/>
      <c r="J60" s="804"/>
      <c r="P60" s="471"/>
      <c r="Q60" s="469">
        <v>0</v>
      </c>
    </row>
    <row r="61" spans="1:17" s="2399" customFormat="1" ht="6" hidden="1" customHeight="1">
      <c r="A61" s="715"/>
      <c r="B61" s="362"/>
      <c r="C61" s="363"/>
      <c r="D61" s="364"/>
      <c r="E61" s="365"/>
      <c r="F61" s="976"/>
      <c r="G61" s="13"/>
      <c r="H61" s="345"/>
      <c r="I61" s="347"/>
      <c r="J61" s="802"/>
      <c r="Q61" s="366">
        <v>0</v>
      </c>
    </row>
    <row r="62" spans="1:17" s="2400" customFormat="1" ht="33.75" hidden="1" customHeight="1">
      <c r="A62" s="715"/>
      <c r="B62" s="38"/>
      <c r="C62" s="344"/>
      <c r="D62" s="346"/>
      <c r="E62" s="1083" t="s">
        <v>68</v>
      </c>
      <c r="F62" s="1589" t="s">
        <v>65</v>
      </c>
      <c r="G62" s="13"/>
      <c r="H62" s="704" t="s">
        <v>23</v>
      </c>
      <c r="I62" s="347"/>
      <c r="J62" s="802"/>
      <c r="Q62" s="345">
        <v>0</v>
      </c>
    </row>
    <row r="63" spans="1:17" s="2399"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c r="G67" s="17"/>
      <c r="Q67" s="14">
        <v>20</v>
      </c>
    </row>
    <row r="68" spans="1:17" ht="21" customHeight="1">
      <c r="A68" s="717"/>
      <c r="B68" s="39"/>
      <c r="D68" s="22"/>
      <c r="E68" s="327" t="s">
        <v>75</v>
      </c>
      <c r="F68" s="208"/>
      <c r="G68" s="17"/>
      <c r="Q68" s="14">
        <v>20</v>
      </c>
    </row>
    <row r="69" spans="1:17" ht="21" customHeight="1">
      <c r="A69" s="717"/>
      <c r="B69" s="39"/>
      <c r="D69" s="22"/>
      <c r="E69" s="327" t="s">
        <v>76</v>
      </c>
      <c r="F69" s="208"/>
      <c r="G69" s="17"/>
      <c r="Q69" s="14">
        <v>20</v>
      </c>
    </row>
    <row r="70" spans="1:17" ht="21" customHeight="1">
      <c r="D70" s="346"/>
      <c r="E70" s="327" t="s">
        <v>77</v>
      </c>
      <c r="F70" s="2005"/>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78</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2" style="2406" hidden="1" customWidth="1"/>
    <col min="10" max="10" width="9.85546875" style="2406" hidden="1" customWidth="1"/>
    <col min="11" max="11" width="11.42578125" style="2406" hidden="1" customWidth="1"/>
    <col min="12" max="12" width="19.140625" style="2432" hidden="1" customWidth="1"/>
    <col min="13" max="14" width="12.28515625" style="2433" hidden="1" customWidth="1"/>
    <col min="15" max="15" width="23.42578125" style="2433" hidden="1" customWidth="1"/>
    <col min="16" max="16" width="3" style="2433" customWidth="1"/>
    <col min="17" max="17" width="3" style="2438" customWidth="1"/>
    <col min="18" max="18" width="3" style="2435" customWidth="1"/>
    <col min="19" max="19" width="12" style="2436" customWidth="1"/>
    <col min="20" max="20" width="31" style="2400" customWidth="1"/>
    <col min="21" max="21" width="0.140625" style="2400" customWidth="1"/>
    <col min="22" max="23" width="21.7109375" style="2400" hidden="1" customWidth="1"/>
    <col min="24" max="24" width="11.7109375" style="2400" hidden="1" customWidth="1"/>
    <col min="25" max="25" width="3.7109375" style="2400" hidden="1" customWidth="1"/>
    <col min="26" max="26" width="11.7109375" style="2400" hidden="1" customWidth="1"/>
    <col min="27" max="27" width="8.5703125" style="2400" hidden="1" customWidth="1"/>
    <col min="28" max="28" width="5.42578125" style="2400" customWidth="1"/>
    <col min="29" max="30" width="3" style="2400" customWidth="1"/>
    <col min="31" max="31" width="24" style="2400" customWidth="1"/>
    <col min="32" max="32" width="3.7109375" style="2400" customWidth="1"/>
    <col min="33" max="34" width="3" style="2400" customWidth="1"/>
    <col min="35" max="35" width="24" style="2400" customWidth="1"/>
    <col min="36" max="36" width="3.7109375" style="2400" customWidth="1"/>
    <col min="37" max="38" width="3" style="2400" customWidth="1"/>
    <col min="39" max="39" width="18" style="2400" customWidth="1"/>
    <col min="40" max="41" width="21" style="2400" customWidth="1"/>
    <col min="42" max="42" width="11" style="2400" customWidth="1"/>
    <col min="43" max="43" width="3.7109375" style="2400" customWidth="1"/>
    <col min="44" max="44" width="11" style="2400" customWidth="1"/>
    <col min="45" max="45" width="8.5703125" style="2400" hidden="1" customWidth="1"/>
    <col min="46" max="46" width="4" style="2400" customWidth="1"/>
    <col min="47" max="47" width="115" style="2400" customWidth="1"/>
    <col min="48" max="52" width="10" style="2407" customWidth="1"/>
    <col min="53" max="53" width="10.5703125" style="2400" hidden="1"/>
  </cols>
  <sheetData>
    <row r="1" spans="1:53" ht="22.5" hidden="1" customHeight="1">
      <c r="W1" s="264"/>
      <c r="X1" s="264"/>
      <c r="AO1" s="264"/>
      <c r="AP1" s="264"/>
      <c r="BA1" s="1073" t="s">
        <v>14</v>
      </c>
    </row>
    <row r="2" spans="1:53" ht="21" hidden="1" customHeight="1">
      <c r="A2" s="1281"/>
      <c r="B2" s="1281"/>
      <c r="C2" s="1281"/>
      <c r="D2" s="1281"/>
      <c r="E2" s="2642">
        <v>1</v>
      </c>
      <c r="F2" s="1281"/>
      <c r="G2" s="1281"/>
      <c r="H2" s="1281"/>
      <c r="I2" s="1281"/>
      <c r="J2" s="1281"/>
      <c r="K2" s="1281"/>
      <c r="L2" s="1282"/>
      <c r="M2" s="1283"/>
      <c r="N2" s="1283"/>
      <c r="O2" s="1283"/>
      <c r="P2" s="1327"/>
      <c r="Q2" s="799"/>
      <c r="R2" s="291"/>
      <c r="S2" s="1254" t="e">
        <f>INDEX(PT_DIFFERENTIATION_NUM_NTAR,MATCH(A2,PT_DIFFERENTIATION_NTAR_ID,0))</f>
        <v>#N/A</v>
      </c>
      <c r="T2" s="235" t="s">
        <v>116</v>
      </c>
      <c r="U2" s="237"/>
      <c r="V2" s="2637"/>
      <c r="W2" s="2637"/>
      <c r="X2" s="2637"/>
      <c r="Y2" s="2637"/>
      <c r="Z2" s="2637"/>
      <c r="AA2" s="2638"/>
      <c r="AB2" s="2636" t="e">
        <f>INDEX(PT_DIFFERENTIATION_NTAR,MATCH(A2,PT_DIFFERENTIATION_NTAR_ID,0))</f>
        <v>#N/A</v>
      </c>
      <c r="AC2" s="2637"/>
      <c r="AD2" s="2637"/>
      <c r="AE2" s="2637"/>
      <c r="AF2" s="2637"/>
      <c r="AG2" s="2637"/>
      <c r="AH2" s="2637"/>
      <c r="AI2" s="2637"/>
      <c r="AJ2" s="2637"/>
      <c r="AK2" s="2637"/>
      <c r="AL2" s="2637"/>
      <c r="AM2" s="2637"/>
      <c r="AN2" s="2637"/>
      <c r="AO2" s="2637"/>
      <c r="AP2" s="2637"/>
      <c r="AQ2" s="2637"/>
      <c r="AR2" s="2637"/>
      <c r="AS2" s="2637"/>
      <c r="AT2" s="2638"/>
      <c r="AU2" s="1176" t="s">
        <v>387</v>
      </c>
      <c r="AW2" s="436"/>
      <c r="AX2" s="436" t="str">
        <f t="shared" ref="AX2:AX8" si="0">IF(T2="","",T2)</f>
        <v>Наименование тарифа</v>
      </c>
      <c r="AY2" s="436"/>
      <c r="AZ2" s="436"/>
      <c r="BA2" s="1073">
        <v>0</v>
      </c>
    </row>
    <row r="3" spans="1:53" ht="21" hidden="1" customHeight="1">
      <c r="A3" s="1281"/>
      <c r="B3" s="1281"/>
      <c r="C3" s="1281"/>
      <c r="D3" s="1281"/>
      <c r="E3" s="2643"/>
      <c r="F3" s="2642">
        <v>1</v>
      </c>
      <c r="G3" s="1281"/>
      <c r="H3" s="1281"/>
      <c r="I3" s="1281"/>
      <c r="J3" s="1281"/>
      <c r="K3" s="1281"/>
      <c r="L3" s="1282"/>
      <c r="M3" s="1283"/>
      <c r="N3" s="1283"/>
      <c r="O3" s="1283"/>
      <c r="P3" s="1328"/>
      <c r="Q3" s="1329"/>
      <c r="R3" s="289"/>
      <c r="S3" s="1254" t="e">
        <f>INDEX(PT_DIFFERENTIATION_NUM_TER,MATCH(B3,PT_DIFFERENTIATION_TER_ID,0))</f>
        <v>#N/A</v>
      </c>
      <c r="T3" s="245" t="s">
        <v>388</v>
      </c>
      <c r="U3" s="237"/>
      <c r="V3" s="2637"/>
      <c r="W3" s="2637"/>
      <c r="X3" s="2637"/>
      <c r="Y3" s="2637"/>
      <c r="Z3" s="2637"/>
      <c r="AA3" s="2638"/>
      <c r="AB3" s="2636" t="e">
        <f>INDEX(PT_DIFFERENTIATION_TER,MATCH(B3,PT_DIFFERENTIATION_TER_ID,0))</f>
        <v>#N/A</v>
      </c>
      <c r="AC3" s="2637"/>
      <c r="AD3" s="2637"/>
      <c r="AE3" s="2637"/>
      <c r="AF3" s="2637"/>
      <c r="AG3" s="2637"/>
      <c r="AH3" s="2637"/>
      <c r="AI3" s="2637"/>
      <c r="AJ3" s="2637"/>
      <c r="AK3" s="2637"/>
      <c r="AL3" s="2637"/>
      <c r="AM3" s="2637"/>
      <c r="AN3" s="2637"/>
      <c r="AO3" s="2637"/>
      <c r="AP3" s="2637"/>
      <c r="AQ3" s="2637"/>
      <c r="AR3" s="2637"/>
      <c r="AS3" s="2637"/>
      <c r="AT3" s="2638"/>
      <c r="AU3" s="1176" t="s">
        <v>389</v>
      </c>
      <c r="AW3" s="436"/>
      <c r="AX3" s="436" t="str">
        <f t="shared" si="0"/>
        <v>Территория действия тарифа</v>
      </c>
      <c r="AY3" s="436"/>
      <c r="AZ3" s="436"/>
      <c r="BA3" s="1073">
        <v>0</v>
      </c>
    </row>
    <row r="4" spans="1:53" ht="22.5" hidden="1" customHeight="1">
      <c r="A4" s="1281"/>
      <c r="B4" s="1281"/>
      <c r="C4" s="1281"/>
      <c r="D4" s="1281"/>
      <c r="E4" s="2643"/>
      <c r="F4" s="2643"/>
      <c r="G4" s="2642">
        <v>1</v>
      </c>
      <c r="H4" s="1281"/>
      <c r="I4" s="1281"/>
      <c r="J4" s="1281"/>
      <c r="K4" s="1281"/>
      <c r="L4" s="1282"/>
      <c r="M4" s="1283"/>
      <c r="N4" s="1283"/>
      <c r="O4" s="1283"/>
      <c r="P4" s="1330"/>
      <c r="Q4" s="1329"/>
      <c r="R4" s="289"/>
      <c r="S4" s="1254" t="e">
        <f>INDEX(PT_DIFFERENTIATION_NUM_CS,MATCH(C4,PT_DIFFERENTIATION_CS_ID,0))</f>
        <v>#N/A</v>
      </c>
      <c r="T4" s="246" t="s">
        <v>390</v>
      </c>
      <c r="U4" s="237"/>
      <c r="V4" s="2637"/>
      <c r="W4" s="2637"/>
      <c r="X4" s="2637"/>
      <c r="Y4" s="2637"/>
      <c r="Z4" s="2637"/>
      <c r="AA4" s="2638"/>
      <c r="AB4" s="2636" t="e">
        <f>INDEX(PT_DIFFERENTIATION_CS,MATCH(C4,PT_DIFFERENTIATION_CS_ID,0))</f>
        <v>#N/A</v>
      </c>
      <c r="AC4" s="2637"/>
      <c r="AD4" s="2637"/>
      <c r="AE4" s="2637"/>
      <c r="AF4" s="2637"/>
      <c r="AG4" s="2637"/>
      <c r="AH4" s="2637"/>
      <c r="AI4" s="2637"/>
      <c r="AJ4" s="2637"/>
      <c r="AK4" s="2637"/>
      <c r="AL4" s="2637"/>
      <c r="AM4" s="2637"/>
      <c r="AN4" s="2637"/>
      <c r="AO4" s="2637"/>
      <c r="AP4" s="2637"/>
      <c r="AQ4" s="2637"/>
      <c r="AR4" s="2637"/>
      <c r="AS4" s="2637"/>
      <c r="AT4" s="2638"/>
      <c r="AU4" s="1176" t="s">
        <v>391</v>
      </c>
      <c r="AW4" s="436"/>
      <c r="AX4" s="436" t="str">
        <f t="shared" si="0"/>
        <v xml:space="preserve">Наименование системы теплоснабжения </v>
      </c>
      <c r="AY4" s="436"/>
      <c r="AZ4" s="436"/>
      <c r="BA4" s="1073">
        <v>0</v>
      </c>
    </row>
    <row r="5" spans="1:53" ht="21" hidden="1" customHeight="1">
      <c r="A5" s="1281"/>
      <c r="B5" s="1281"/>
      <c r="C5" s="1281"/>
      <c r="D5" s="1281"/>
      <c r="E5" s="2643"/>
      <c r="F5" s="2643"/>
      <c r="G5" s="2643"/>
      <c r="H5" s="2642">
        <v>1</v>
      </c>
      <c r="I5" s="1281"/>
      <c r="J5" s="1281"/>
      <c r="K5" s="1281"/>
      <c r="L5" s="1282"/>
      <c r="M5" s="1283"/>
      <c r="N5" s="1283"/>
      <c r="O5" s="1283"/>
      <c r="P5" s="1330"/>
      <c r="Q5" s="1329"/>
      <c r="R5" s="289"/>
      <c r="S5" s="1254" t="e">
        <f>INDEX(PT_DIFFERENTIATION_NUM_IST_TE,MATCH(D5,PT_DIFFERENTIATION_IST_TE_ID,0))</f>
        <v>#N/A</v>
      </c>
      <c r="T5" s="247" t="s">
        <v>392</v>
      </c>
      <c r="U5" s="237"/>
      <c r="V5" s="2637"/>
      <c r="W5" s="2637"/>
      <c r="X5" s="2637"/>
      <c r="Y5" s="2637"/>
      <c r="Z5" s="2637"/>
      <c r="AA5" s="2638"/>
      <c r="AB5" s="2636" t="e">
        <f>INDEX(PT_DIFFERENTIATION_IST_TE,MATCH(D5,PT_DIFFERENTIATION_IST_TE_ID,0))</f>
        <v>#N/A</v>
      </c>
      <c r="AC5" s="2637"/>
      <c r="AD5" s="2637"/>
      <c r="AE5" s="2637"/>
      <c r="AF5" s="2637"/>
      <c r="AG5" s="2637"/>
      <c r="AH5" s="2637"/>
      <c r="AI5" s="2637"/>
      <c r="AJ5" s="2637"/>
      <c r="AK5" s="2637"/>
      <c r="AL5" s="2637"/>
      <c r="AM5" s="2637"/>
      <c r="AN5" s="2637"/>
      <c r="AO5" s="2637"/>
      <c r="AP5" s="2637"/>
      <c r="AQ5" s="2637"/>
      <c r="AR5" s="2637"/>
      <c r="AS5" s="2637"/>
      <c r="AT5" s="2638"/>
      <c r="AU5" s="1176" t="s">
        <v>393</v>
      </c>
      <c r="AW5" s="436"/>
      <c r="AX5" s="436" t="str">
        <f t="shared" si="0"/>
        <v xml:space="preserve">Источник тепловой энергии  </v>
      </c>
      <c r="AY5" s="436"/>
      <c r="AZ5" s="436"/>
      <c r="BA5" s="1073">
        <v>0</v>
      </c>
    </row>
    <row r="6" spans="1:53" s="2407" customFormat="1" ht="0.75" hidden="1" customHeight="1">
      <c r="A6" s="1261"/>
      <c r="B6" s="1261"/>
      <c r="C6" s="1261"/>
      <c r="D6" s="1261"/>
      <c r="E6" s="2643"/>
      <c r="F6" s="2643"/>
      <c r="G6" s="2643"/>
      <c r="H6" s="2643"/>
      <c r="I6" s="2644" t="e">
        <f>S5&amp;".1"</f>
        <v>#N/A</v>
      </c>
      <c r="J6" s="1261"/>
      <c r="K6" s="1261"/>
      <c r="L6" s="1264" t="s">
        <v>394</v>
      </c>
      <c r="M6" s="446"/>
      <c r="N6" s="446"/>
      <c r="O6" s="446"/>
      <c r="P6" s="2646">
        <v>1</v>
      </c>
      <c r="Q6" s="1249"/>
      <c r="R6" s="292"/>
      <c r="S6" s="965"/>
      <c r="T6" s="1301"/>
      <c r="U6" s="1302"/>
      <c r="V6" s="2674"/>
      <c r="W6" s="2674"/>
      <c r="X6" s="2674"/>
      <c r="Y6" s="2674"/>
      <c r="Z6" s="2674"/>
      <c r="AA6" s="2675"/>
      <c r="AB6" s="2673"/>
      <c r="AC6" s="2674"/>
      <c r="AD6" s="2674"/>
      <c r="AE6" s="2674"/>
      <c r="AF6" s="2674"/>
      <c r="AG6" s="2674"/>
      <c r="AH6" s="2674"/>
      <c r="AI6" s="2674"/>
      <c r="AJ6" s="2674"/>
      <c r="AK6" s="2674"/>
      <c r="AL6" s="2674"/>
      <c r="AM6" s="2674"/>
      <c r="AN6" s="2674"/>
      <c r="AO6" s="2674"/>
      <c r="AP6" s="2674"/>
      <c r="AQ6" s="2674"/>
      <c r="AR6" s="2674"/>
      <c r="AS6" s="2674"/>
      <c r="AT6" s="2675"/>
      <c r="AU6" s="1303"/>
      <c r="AW6" s="436"/>
      <c r="AX6" s="436" t="str">
        <f t="shared" si="0"/>
        <v/>
      </c>
      <c r="AY6" s="436"/>
      <c r="AZ6" s="436"/>
      <c r="BA6" s="447">
        <v>0</v>
      </c>
    </row>
    <row r="7" spans="1:53" s="2407" customFormat="1" ht="0.75" hidden="1" customHeight="1">
      <c r="A7" s="1261"/>
      <c r="B7" s="1261"/>
      <c r="C7" s="1261"/>
      <c r="D7" s="1261"/>
      <c r="E7" s="2643"/>
      <c r="F7" s="2643"/>
      <c r="G7" s="2643"/>
      <c r="H7" s="2643"/>
      <c r="I7" s="2645"/>
      <c r="J7" s="2644" t="e">
        <f>S5&amp;".1"</f>
        <v>#N/A</v>
      </c>
      <c r="K7" s="1261"/>
      <c r="L7" s="1264"/>
      <c r="M7" s="446"/>
      <c r="N7" s="446"/>
      <c r="O7" s="446"/>
      <c r="P7" s="2646"/>
      <c r="Q7" s="2646">
        <v>1</v>
      </c>
      <c r="R7" s="293"/>
      <c r="S7" s="965"/>
      <c r="T7" s="1317"/>
      <c r="U7" s="1302"/>
      <c r="V7" s="2674"/>
      <c r="W7" s="2674"/>
      <c r="X7" s="2674"/>
      <c r="Y7" s="2674"/>
      <c r="Z7" s="2674"/>
      <c r="AA7" s="2675"/>
      <c r="AB7" s="2673"/>
      <c r="AC7" s="2674"/>
      <c r="AD7" s="2674"/>
      <c r="AE7" s="2674"/>
      <c r="AF7" s="2674"/>
      <c r="AG7" s="2674"/>
      <c r="AH7" s="2674"/>
      <c r="AI7" s="2674"/>
      <c r="AJ7" s="2674"/>
      <c r="AK7" s="2674"/>
      <c r="AL7" s="2674"/>
      <c r="AM7" s="2674"/>
      <c r="AN7" s="2674"/>
      <c r="AO7" s="2674"/>
      <c r="AP7" s="2674"/>
      <c r="AQ7" s="2674"/>
      <c r="AR7" s="2674"/>
      <c r="AS7" s="2674"/>
      <c r="AT7" s="2675"/>
      <c r="AU7" s="1303"/>
      <c r="AW7" s="436"/>
      <c r="AX7" s="436" t="str">
        <f t="shared" si="0"/>
        <v/>
      </c>
      <c r="AY7" s="436"/>
      <c r="AZ7" s="436"/>
      <c r="BA7" s="447">
        <v>0</v>
      </c>
    </row>
    <row r="8" spans="1:53" ht="21" hidden="1" customHeight="1">
      <c r="A8" s="1281"/>
      <c r="B8" s="1281"/>
      <c r="C8" s="1281"/>
      <c r="D8" s="1281"/>
      <c r="E8" s="2643"/>
      <c r="F8" s="2643"/>
      <c r="G8" s="2643"/>
      <c r="H8" s="2643"/>
      <c r="I8" s="2645"/>
      <c r="J8" s="2645"/>
      <c r="K8" s="2644" t="e">
        <f>S5&amp;".1"</f>
        <v>#N/A</v>
      </c>
      <c r="L8" s="1282"/>
      <c r="P8" s="2646"/>
      <c r="Q8" s="2646"/>
      <c r="R8" s="2702">
        <v>1</v>
      </c>
      <c r="S8" s="2699" t="e">
        <f>$K8</f>
        <v>#N/A</v>
      </c>
      <c r="T8" s="2696"/>
      <c r="U8" s="237"/>
      <c r="V8" s="687"/>
      <c r="W8" s="1175"/>
      <c r="X8" s="2647"/>
      <c r="Y8" s="2524" t="s">
        <v>65</v>
      </c>
      <c r="Z8" s="2647"/>
      <c r="AA8" s="2524" t="s">
        <v>65</v>
      </c>
      <c r="AB8" s="2524" t="s">
        <v>19</v>
      </c>
      <c r="AC8" s="2695"/>
      <c r="AD8" s="2599">
        <v>1</v>
      </c>
      <c r="AE8" s="2709"/>
      <c r="AF8" s="2524" t="s">
        <v>19</v>
      </c>
      <c r="AG8" s="2695"/>
      <c r="AH8" s="2599">
        <v>1</v>
      </c>
      <c r="AI8" s="2709"/>
      <c r="AJ8" s="2524" t="s">
        <v>19</v>
      </c>
      <c r="AK8" s="248"/>
      <c r="AL8" s="1255">
        <v>1</v>
      </c>
      <c r="AM8" s="1316"/>
      <c r="AN8" s="687"/>
      <c r="AO8" s="1175"/>
      <c r="AP8" s="1651"/>
      <c r="AQ8" s="1377" t="s">
        <v>65</v>
      </c>
      <c r="AR8" s="1651"/>
      <c r="AS8" s="1377" t="s">
        <v>65</v>
      </c>
      <c r="AT8" s="1266"/>
      <c r="AU8" s="2665" t="s">
        <v>455</v>
      </c>
      <c r="AV8" s="447" t="e">
        <f ca="1">STRCHECKDATE(V11:AT11)</f>
        <v>#NAME?</v>
      </c>
      <c r="AW8" s="436"/>
      <c r="AX8" s="436" t="str">
        <f t="shared" si="0"/>
        <v/>
      </c>
      <c r="AY8" s="436"/>
      <c r="AZ8" s="436"/>
      <c r="BA8" s="1073">
        <v>0</v>
      </c>
    </row>
    <row r="9" spans="1:53" ht="11.25" hidden="1" customHeight="1">
      <c r="A9" s="1281"/>
      <c r="B9" s="1281"/>
      <c r="C9" s="1281"/>
      <c r="D9" s="1281"/>
      <c r="E9" s="2643"/>
      <c r="F9" s="2643"/>
      <c r="G9" s="2643"/>
      <c r="H9" s="2643"/>
      <c r="I9" s="2645"/>
      <c r="J9" s="2645"/>
      <c r="K9" s="2644"/>
      <c r="L9" s="1282"/>
      <c r="P9" s="2646"/>
      <c r="Q9" s="2646"/>
      <c r="R9" s="2702"/>
      <c r="S9" s="2700"/>
      <c r="T9" s="2697"/>
      <c r="U9" s="237"/>
      <c r="V9" s="1311"/>
      <c r="W9" s="1315"/>
      <c r="X9" s="2647"/>
      <c r="Y9" s="2524"/>
      <c r="Z9" s="2647"/>
      <c r="AA9" s="2524"/>
      <c r="AB9" s="2524"/>
      <c r="AC9" s="2695"/>
      <c r="AD9" s="2599"/>
      <c r="AE9" s="2709"/>
      <c r="AF9" s="2524"/>
      <c r="AG9" s="2695"/>
      <c r="AH9" s="2599"/>
      <c r="AI9" s="2709"/>
      <c r="AJ9" s="2524"/>
      <c r="AK9" s="253"/>
      <c r="AL9" s="352"/>
      <c r="AM9" s="351" t="s">
        <v>456</v>
      </c>
      <c r="AN9" s="1311"/>
      <c r="AO9" s="1414"/>
      <c r="AP9" s="1311"/>
      <c r="AQ9" s="1311"/>
      <c r="AR9" s="1311"/>
      <c r="AS9" s="1311"/>
      <c r="AT9" s="1308"/>
      <c r="AU9" s="2666"/>
      <c r="AW9" s="436"/>
      <c r="AX9" s="436"/>
      <c r="AY9" s="436"/>
      <c r="AZ9" s="436"/>
      <c r="BA9" s="1073">
        <v>0</v>
      </c>
    </row>
    <row r="10" spans="1:53" ht="11.25" hidden="1" customHeight="1">
      <c r="A10" s="1281"/>
      <c r="B10" s="1281"/>
      <c r="C10" s="1281"/>
      <c r="D10" s="1281"/>
      <c r="E10" s="2643"/>
      <c r="F10" s="2643"/>
      <c r="G10" s="2643"/>
      <c r="H10" s="2643"/>
      <c r="I10" s="2645"/>
      <c r="J10" s="2645"/>
      <c r="K10" s="2644"/>
      <c r="L10" s="1282"/>
      <c r="P10" s="2646"/>
      <c r="Q10" s="2646"/>
      <c r="R10" s="2702"/>
      <c r="S10" s="2700"/>
      <c r="T10" s="2697"/>
      <c r="U10" s="237"/>
      <c r="V10" s="1311"/>
      <c r="W10" s="1315"/>
      <c r="X10" s="2647"/>
      <c r="Y10" s="2524"/>
      <c r="Z10" s="2647"/>
      <c r="AA10" s="2524"/>
      <c r="AB10" s="2524"/>
      <c r="AC10" s="2695"/>
      <c r="AD10" s="2599"/>
      <c r="AE10" s="2709"/>
      <c r="AF10" s="2524"/>
      <c r="AG10" s="231"/>
      <c r="AH10" s="351"/>
      <c r="AI10" s="351" t="s">
        <v>457</v>
      </c>
      <c r="AJ10" s="1311"/>
      <c r="AK10" s="1311"/>
      <c r="AL10" s="1311"/>
      <c r="AM10" s="1311"/>
      <c r="AN10" s="1311"/>
      <c r="AO10" s="1414"/>
      <c r="AP10" s="1311"/>
      <c r="AQ10" s="1311"/>
      <c r="AR10" s="1311"/>
      <c r="AS10" s="1311"/>
      <c r="AT10" s="1308"/>
      <c r="AU10" s="2666"/>
      <c r="AW10" s="436"/>
      <c r="AX10" s="436"/>
      <c r="AY10" s="436"/>
      <c r="AZ10" s="436"/>
      <c r="BA10" s="1073">
        <v>0</v>
      </c>
    </row>
    <row r="11" spans="1:53" ht="11.25" hidden="1" customHeight="1">
      <c r="A11" s="1281"/>
      <c r="B11" s="1281"/>
      <c r="C11" s="1281"/>
      <c r="D11" s="1281"/>
      <c r="E11" s="2643"/>
      <c r="F11" s="2643"/>
      <c r="G11" s="2643"/>
      <c r="H11" s="2643"/>
      <c r="I11" s="2645"/>
      <c r="J11" s="2645"/>
      <c r="K11" s="2644"/>
      <c r="L11" s="1282"/>
      <c r="P11" s="2646"/>
      <c r="Q11" s="2646"/>
      <c r="R11" s="2702"/>
      <c r="S11" s="2701"/>
      <c r="T11" s="2698"/>
      <c r="U11" s="237"/>
      <c r="V11" s="1311"/>
      <c r="W11" s="1314" t="str">
        <f>X8&amp;"-"&amp;Z8</f>
        <v>-</v>
      </c>
      <c r="X11" s="2648"/>
      <c r="Y11" s="2524"/>
      <c r="Z11" s="2648"/>
      <c r="AA11" s="2524"/>
      <c r="AB11" s="2524"/>
      <c r="AC11" s="249"/>
      <c r="AD11" s="251"/>
      <c r="AE11" s="351" t="s">
        <v>458</v>
      </c>
      <c r="AF11" s="1311"/>
      <c r="AG11" s="1311"/>
      <c r="AH11" s="1311"/>
      <c r="AI11" s="1311"/>
      <c r="AJ11" s="1311"/>
      <c r="AK11" s="1311"/>
      <c r="AL11" s="1311"/>
      <c r="AM11" s="1311"/>
      <c r="AN11" s="1311"/>
      <c r="AO11" s="1312" t="str">
        <f>AP8&amp;"-"&amp;AR8</f>
        <v>-</v>
      </c>
      <c r="AP11" s="1311"/>
      <c r="AQ11" s="1311"/>
      <c r="AR11" s="1311"/>
      <c r="AS11" s="1311"/>
      <c r="AT11" s="1267"/>
      <c r="AU11" s="2666"/>
      <c r="AW11" s="436"/>
      <c r="AX11" s="436" t="str">
        <f t="shared" ref="AX11:AX17" si="1">IF(T11="","",T11)</f>
        <v/>
      </c>
      <c r="AY11" s="436"/>
      <c r="AZ11" s="436"/>
      <c r="BA11" s="1073">
        <v>0</v>
      </c>
    </row>
    <row r="12" spans="1:53" ht="11.25" hidden="1" customHeight="1">
      <c r="A12" s="1281"/>
      <c r="B12" s="1281"/>
      <c r="C12" s="1281"/>
      <c r="D12" s="1281"/>
      <c r="E12" s="2643"/>
      <c r="F12" s="2643"/>
      <c r="G12" s="2643"/>
      <c r="H12" s="2643"/>
      <c r="I12" s="2645"/>
      <c r="J12" s="2644"/>
      <c r="K12" s="1281"/>
      <c r="L12" s="1282"/>
      <c r="P12" s="2646"/>
      <c r="Q12" s="2646"/>
      <c r="R12" s="292"/>
      <c r="S12" s="1196"/>
      <c r="T12" s="224" t="s">
        <v>459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667"/>
      <c r="AW12" s="436"/>
      <c r="AX12" s="436" t="str">
        <f t="shared" si="1"/>
        <v>Добавить строку</v>
      </c>
      <c r="AY12" s="436"/>
      <c r="AZ12" s="436"/>
      <c r="BA12" s="1073">
        <v>0</v>
      </c>
    </row>
    <row r="13" spans="1:53" s="2407" customFormat="1" ht="0.75" hidden="1" customHeight="1">
      <c r="A13" s="1261"/>
      <c r="B13" s="1261"/>
      <c r="C13" s="1261"/>
      <c r="D13" s="1261"/>
      <c r="E13" s="2643"/>
      <c r="F13" s="2643"/>
      <c r="G13" s="2643"/>
      <c r="H13" s="2643"/>
      <c r="I13" s="2644"/>
      <c r="J13" s="1261"/>
      <c r="K13" s="1261"/>
      <c r="L13" s="1264"/>
      <c r="M13" s="446"/>
      <c r="N13" s="446"/>
      <c r="O13" s="446"/>
      <c r="P13" s="2646"/>
      <c r="Q13" s="1249"/>
      <c r="R13" s="292"/>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6"/>
      <c r="AX13" s="436" t="str">
        <f t="shared" si="1"/>
        <v/>
      </c>
      <c r="AY13" s="436"/>
      <c r="AZ13" s="436"/>
      <c r="BA13" s="447">
        <v>0</v>
      </c>
    </row>
    <row r="14" spans="1:53" s="2407" customFormat="1" ht="0.75" hidden="1" customHeight="1">
      <c r="A14" s="1261"/>
      <c r="B14" s="1261"/>
      <c r="C14" s="1261"/>
      <c r="D14" s="1261"/>
      <c r="E14" s="2643"/>
      <c r="F14" s="2643"/>
      <c r="G14" s="2643"/>
      <c r="H14" s="2642"/>
      <c r="I14" s="1261"/>
      <c r="J14" s="1261"/>
      <c r="K14" s="1261"/>
      <c r="L14" s="1264"/>
      <c r="M14" s="1233"/>
      <c r="N14" s="1233"/>
      <c r="O14" s="454"/>
      <c r="P14" s="316"/>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6"/>
      <c r="AX14" s="436" t="str">
        <f t="shared" si="1"/>
        <v/>
      </c>
      <c r="AY14" s="436"/>
      <c r="AZ14" s="436"/>
      <c r="BA14" s="447">
        <v>0</v>
      </c>
    </row>
    <row r="15" spans="1:53" s="2407" customFormat="1" ht="0.75" hidden="1" customHeight="1">
      <c r="A15" s="1261"/>
      <c r="B15" s="1261"/>
      <c r="C15" s="1261"/>
      <c r="D15" s="1232"/>
      <c r="E15" s="2643"/>
      <c r="F15" s="2643"/>
      <c r="G15" s="2642"/>
      <c r="H15" s="1232"/>
      <c r="I15" s="1232"/>
      <c r="J15" s="1232"/>
      <c r="K15" s="1232"/>
      <c r="L15" s="1257"/>
      <c r="M15" s="1233"/>
      <c r="N15" s="1233"/>
      <c r="P15" s="1234"/>
      <c r="Q15" s="1235"/>
      <c r="R15" s="1234"/>
      <c r="S15" s="1240"/>
      <c r="T15" s="1243" t="s">
        <v>405</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9"/>
      <c r="AX15" s="719" t="str">
        <f t="shared" si="1"/>
        <v>Добавить источник для дифференциации</v>
      </c>
      <c r="AY15" s="719"/>
      <c r="AZ15" s="719"/>
      <c r="BA15" s="454">
        <v>0</v>
      </c>
    </row>
    <row r="16" spans="1:53" s="2407" customFormat="1" ht="0.75" hidden="1" customHeight="1">
      <c r="A16" s="1261"/>
      <c r="B16" s="1261"/>
      <c r="C16" s="1232"/>
      <c r="D16" s="1232"/>
      <c r="E16" s="2643"/>
      <c r="F16" s="2642"/>
      <c r="G16" s="1232"/>
      <c r="H16" s="1232"/>
      <c r="I16" s="1232"/>
      <c r="J16" s="1232"/>
      <c r="K16" s="1232"/>
      <c r="L16" s="1257"/>
      <c r="M16" s="1239"/>
      <c r="N16" s="1239"/>
      <c r="P16" s="1234"/>
      <c r="Q16" s="1235"/>
      <c r="R16" s="1234"/>
      <c r="S16" s="1240"/>
      <c r="T16" s="1243" t="s">
        <v>406</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9"/>
      <c r="AX16" s="719" t="str">
        <f t="shared" si="1"/>
        <v>Добавить централизованную систему для дифференциации</v>
      </c>
      <c r="AY16" s="719"/>
      <c r="AZ16" s="719"/>
      <c r="BA16" s="454">
        <v>0</v>
      </c>
    </row>
    <row r="17" spans="1:53" s="2407" customFormat="1" ht="0.75" hidden="1" customHeight="1">
      <c r="A17" s="1261"/>
      <c r="B17" s="1261"/>
      <c r="C17" s="1261"/>
      <c r="D17" s="1261"/>
      <c r="E17" s="2642"/>
      <c r="F17" s="1261"/>
      <c r="G17" s="1261"/>
      <c r="H17" s="1261"/>
      <c r="I17" s="1261"/>
      <c r="J17" s="1261"/>
      <c r="K17" s="1261"/>
      <c r="L17" s="1264"/>
      <c r="M17" s="1239"/>
      <c r="N17" s="1239"/>
      <c r="O17" s="454"/>
      <c r="P17" s="316"/>
      <c r="Q17" s="1262"/>
      <c r="R17" s="316"/>
      <c r="S17" s="1240"/>
      <c r="T17" s="1243" t="s">
        <v>407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6"/>
      <c r="AX17" s="436" t="str">
        <f t="shared" si="1"/>
        <v>Добавить территорию для дифференциации</v>
      </c>
      <c r="AY17" s="436"/>
      <c r="AZ17" s="436"/>
      <c r="BA17" s="447">
        <v>0</v>
      </c>
    </row>
    <row r="18" spans="1:53" ht="14.25" hidden="1" customHeight="1">
      <c r="AA18" s="264"/>
      <c r="AS18" s="264"/>
      <c r="BA18" s="1073">
        <v>0</v>
      </c>
    </row>
    <row r="19" spans="1:53" ht="14.25" hidden="1" customHeight="1">
      <c r="AB19" s="1242" t="s">
        <v>19</v>
      </c>
      <c r="AC19" s="1419"/>
      <c r="AD19" s="484">
        <v>1</v>
      </c>
      <c r="AE19" s="1420"/>
      <c r="AF19" s="1242" t="s">
        <v>19</v>
      </c>
      <c r="AG19" s="1419"/>
      <c r="AH19" s="484">
        <v>1</v>
      </c>
      <c r="AI19" s="1420"/>
      <c r="AJ19" s="1242" t="s">
        <v>19</v>
      </c>
      <c r="AK19" s="1421"/>
      <c r="AL19" s="484">
        <v>1</v>
      </c>
      <c r="AM19" s="1424"/>
      <c r="AN19" s="1321"/>
      <c r="AO19" s="1322"/>
      <c r="AP19" s="1653"/>
      <c r="AQ19" s="1378" t="s">
        <v>65</v>
      </c>
      <c r="AR19" s="1653"/>
      <c r="AS19" s="1378" t="s">
        <v>65</v>
      </c>
      <c r="BA19" s="1073">
        <v>0</v>
      </c>
    </row>
    <row r="20" spans="1:53" ht="14.25" hidden="1" customHeight="1">
      <c r="AV20" s="432"/>
      <c r="AW20" s="432"/>
      <c r="AX20" s="432"/>
      <c r="AY20" s="432"/>
      <c r="AZ20" s="432"/>
      <c r="BA20" s="1073">
        <v>0</v>
      </c>
    </row>
    <row r="21" spans="1:53" ht="14.25" hidden="1" customHeight="1">
      <c r="O21" s="1285" t="s">
        <v>408</v>
      </c>
      <c r="X21" s="1263"/>
      <c r="Z21" s="1263"/>
      <c r="AA21" s="264"/>
      <c r="AP21" s="1263"/>
      <c r="AR21" s="1263"/>
      <c r="AS21" s="264"/>
      <c r="AV21" s="432"/>
      <c r="AW21" s="432"/>
      <c r="AX21" s="432"/>
      <c r="AY21" s="432"/>
      <c r="AZ21" s="432"/>
      <c r="BA21" s="1073">
        <v>0</v>
      </c>
    </row>
    <row r="22" spans="1:53" ht="14.25" hidden="1" customHeight="1">
      <c r="AA22" s="264"/>
      <c r="AS22" s="264"/>
      <c r="AV22" s="432"/>
      <c r="AW22" s="432"/>
      <c r="AX22" s="432"/>
      <c r="AY22" s="432"/>
      <c r="AZ22" s="432"/>
      <c r="BA22" s="1073">
        <v>0</v>
      </c>
    </row>
    <row r="23" spans="1:53" s="2437" customFormat="1" ht="14.25" hidden="1" customHeight="1">
      <c r="M23" s="1426"/>
      <c r="N23" s="1426"/>
      <c r="O23" s="1427" t="s">
        <v>409</v>
      </c>
      <c r="P23" s="1426"/>
      <c r="Q23" s="1428"/>
      <c r="R23" s="1428"/>
      <c r="Y23" s="1425" t="s">
        <v>411</v>
      </c>
      <c r="AA23" s="1425" t="s">
        <v>412</v>
      </c>
      <c r="AB23" s="1425" t="s">
        <v>460</v>
      </c>
      <c r="AE23" s="1425" t="s">
        <v>461</v>
      </c>
      <c r="AF23" s="1425" t="s">
        <v>460</v>
      </c>
      <c r="AI23" s="1425" t="s">
        <v>462</v>
      </c>
      <c r="AJ23" s="1425" t="s">
        <v>460</v>
      </c>
      <c r="AM23" s="1425" t="s">
        <v>463</v>
      </c>
      <c r="AQ23" s="1425" t="s">
        <v>411</v>
      </c>
      <c r="AS23" s="1425" t="s">
        <v>412</v>
      </c>
      <c r="AV23" s="1429"/>
      <c r="AW23" s="1429"/>
      <c r="AX23" s="1429"/>
      <c r="AY23" s="1429"/>
      <c r="AZ23" s="1429"/>
      <c r="BA23" s="1425">
        <v>0</v>
      </c>
    </row>
    <row r="24" spans="1:53" ht="14.25" hidden="1" customHeight="1">
      <c r="O24" s="1282"/>
      <c r="AV24" s="432"/>
      <c r="AW24" s="432"/>
      <c r="AX24" s="432"/>
      <c r="AY24" s="432"/>
      <c r="AZ24" s="432"/>
      <c r="BA24" s="1073">
        <v>0</v>
      </c>
    </row>
    <row r="25" spans="1:53" ht="14.25" hidden="1" customHeight="1">
      <c r="O25" s="1282"/>
      <c r="AV25" s="432"/>
      <c r="AW25" s="432"/>
      <c r="AX25" s="432"/>
      <c r="AY25" s="432"/>
      <c r="AZ25" s="432"/>
      <c r="BA25" s="1073">
        <v>0</v>
      </c>
    </row>
    <row r="26" spans="1:53" ht="14.65" customHeight="1">
      <c r="Q26" s="228"/>
      <c r="R26" s="312"/>
      <c r="S26" s="1193"/>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3">
        <v>14</v>
      </c>
    </row>
    <row r="27" spans="1:53" ht="27.4" customHeight="1">
      <c r="Q27" s="228"/>
      <c r="R27" s="312"/>
      <c r="S27" s="262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23"/>
      <c r="U27" s="2623"/>
      <c r="V27" s="2623"/>
      <c r="W27" s="2623"/>
      <c r="X27" s="2623"/>
      <c r="Y27" s="2623"/>
      <c r="Z27" s="2623"/>
      <c r="AA27" s="2623"/>
      <c r="AB27" s="2623"/>
      <c r="AC27" s="2623"/>
      <c r="AD27" s="2623"/>
      <c r="AE27" s="2623"/>
      <c r="AF27" s="2623"/>
      <c r="AG27" s="2623"/>
      <c r="AH27" s="2623"/>
      <c r="AI27" s="2623"/>
      <c r="AJ27" s="2623"/>
      <c r="AK27" s="2623"/>
      <c r="AL27" s="2623"/>
      <c r="AM27" s="2623"/>
      <c r="AN27" s="2623"/>
      <c r="AO27" s="2623"/>
      <c r="AP27" s="2623"/>
      <c r="AQ27" s="2623"/>
      <c r="AR27" s="2623"/>
      <c r="AS27" s="1161"/>
      <c r="BA27" s="1073">
        <v>26</v>
      </c>
    </row>
    <row r="28" spans="1:53" ht="14.65" customHeight="1">
      <c r="Q28" s="228"/>
      <c r="R28" s="312"/>
      <c r="S28" s="2595" t="str">
        <f>IF(org=0,"Не определено",org)</f>
        <v>ПАО "ТГК-1" (филиал "Кольский")</v>
      </c>
      <c r="T28" s="2595"/>
      <c r="U28" s="2595"/>
      <c r="V28" s="2595"/>
      <c r="W28" s="2595"/>
      <c r="X28" s="2595"/>
      <c r="Y28" s="2595"/>
      <c r="Z28" s="2595"/>
      <c r="AA28" s="2595"/>
      <c r="AB28" s="2595"/>
      <c r="AC28" s="2595"/>
      <c r="AD28" s="2595"/>
      <c r="AE28" s="2595"/>
      <c r="AF28" s="2595"/>
      <c r="AG28" s="2595"/>
      <c r="AH28" s="2595"/>
      <c r="AI28" s="2595"/>
      <c r="AJ28" s="2595"/>
      <c r="AK28" s="2595"/>
      <c r="AL28" s="2595"/>
      <c r="AM28" s="2595"/>
      <c r="AN28" s="2595"/>
      <c r="AO28" s="2595"/>
      <c r="AP28" s="2595"/>
      <c r="AQ28" s="2595"/>
      <c r="AR28" s="2595"/>
      <c r="AS28" s="1161"/>
      <c r="BA28" s="1073">
        <v>14</v>
      </c>
    </row>
    <row r="29" spans="1:53" ht="14.25" hidden="1" customHeight="1">
      <c r="Q29" s="228"/>
      <c r="R29" s="312"/>
      <c r="S29" s="1193"/>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3">
        <v>0</v>
      </c>
    </row>
    <row r="30" spans="1:53" s="2416" customFormat="1" ht="25.5" hidden="1" customHeight="1">
      <c r="A30" s="1286"/>
      <c r="B30" s="1286"/>
      <c r="C30" s="1286"/>
      <c r="D30" s="1286"/>
      <c r="E30" s="1286"/>
      <c r="F30" s="1286"/>
      <c r="G30" s="1286"/>
      <c r="H30" s="1286"/>
      <c r="I30" s="1286"/>
      <c r="J30" s="1286"/>
      <c r="K30" s="1286"/>
      <c r="L30" s="1287"/>
      <c r="M30" s="1286"/>
      <c r="N30" s="1286"/>
      <c r="O30" s="1286"/>
      <c r="P30" s="1286"/>
      <c r="Q30" s="1286"/>
      <c r="S30" s="2633" t="s">
        <v>41</v>
      </c>
      <c r="T30" s="2633"/>
      <c r="U30" s="1290"/>
      <c r="V30" s="2635" t="str">
        <f>IF(TITLE_NAME_OR_PR_CHANGE="",IF(TITLE_NAME_OR_PR="","",TITLE_NAME_OR_PR),TITLE_NAME_OR_PR_CHANGE)</f>
        <v/>
      </c>
      <c r="W30" s="2635"/>
      <c r="X30" s="2635"/>
      <c r="Y30" s="2635"/>
      <c r="Z30" s="2635"/>
      <c r="AA30" s="263"/>
      <c r="AB30" s="2635" t="str">
        <f>IF(TITLE_NAME_OR_PR_CHANGE="",IF(TITLE_NAME_OR_PR="","",TITLE_NAME_OR_PR),TITLE_NAME_OR_PR_CHANGE)</f>
        <v/>
      </c>
      <c r="AC30" s="2635"/>
      <c r="AD30" s="2635"/>
      <c r="AE30" s="2635"/>
      <c r="AF30" s="2635"/>
      <c r="AG30" s="2635"/>
      <c r="AH30" s="2635"/>
      <c r="AI30" s="2635"/>
      <c r="AJ30" s="2635"/>
      <c r="AK30" s="2635"/>
      <c r="AL30" s="2635"/>
      <c r="AM30" s="2635"/>
      <c r="AN30" s="2635"/>
      <c r="AO30" s="2635"/>
      <c r="AP30" s="2635"/>
      <c r="AQ30" s="2635"/>
      <c r="AR30" s="2635"/>
      <c r="AS30" s="263"/>
      <c r="AT30" s="263"/>
      <c r="AU30" s="217"/>
      <c r="AV30" s="304"/>
      <c r="AW30" s="304"/>
      <c r="AX30" s="304"/>
      <c r="AY30" s="304"/>
      <c r="AZ30" s="304"/>
      <c r="BA30" s="354">
        <v>0</v>
      </c>
    </row>
    <row r="31" spans="1:53" s="2416" customFormat="1" ht="18.75" hidden="1" customHeight="1">
      <c r="A31" s="1286"/>
      <c r="B31" s="1286"/>
      <c r="C31" s="1286"/>
      <c r="D31" s="1286"/>
      <c r="E31" s="1286"/>
      <c r="F31" s="1286"/>
      <c r="G31" s="1286"/>
      <c r="H31" s="1286"/>
      <c r="I31" s="1286"/>
      <c r="J31" s="1286"/>
      <c r="K31" s="1286"/>
      <c r="L31" s="1287"/>
      <c r="M31" s="1286"/>
      <c r="N31" s="1286"/>
      <c r="O31" s="1286"/>
      <c r="P31" s="1286"/>
      <c r="Q31" s="1286"/>
      <c r="S31" s="2633" t="s">
        <v>414</v>
      </c>
      <c r="T31" s="2633"/>
      <c r="U31" s="1290"/>
      <c r="V31" s="2634" t="str">
        <f>IF(TITLE_DATE_PR_CHANGE="",IF(TITLE_DATE_PR="","",TITLE_DATE_PR),TITLE_DATE_PR_CHANGE)</f>
        <v/>
      </c>
      <c r="W31" s="2634"/>
      <c r="X31" s="2634"/>
      <c r="Y31" s="2634"/>
      <c r="Z31" s="2634"/>
      <c r="AA31" s="263"/>
      <c r="AB31" s="2634" t="str">
        <f>IF(TITLE_DATE_PR_CHANGE="",IF(TITLE_DATE_PR="","",TITLE_DATE_PR),TITLE_DATE_PR_CHANGE)</f>
        <v/>
      </c>
      <c r="AC31" s="2634"/>
      <c r="AD31" s="2634"/>
      <c r="AE31" s="2634"/>
      <c r="AF31" s="2634"/>
      <c r="AG31" s="2634"/>
      <c r="AH31" s="2634"/>
      <c r="AI31" s="2634"/>
      <c r="AJ31" s="2634"/>
      <c r="AK31" s="2634"/>
      <c r="AL31" s="2634"/>
      <c r="AM31" s="2634"/>
      <c r="AN31" s="2634"/>
      <c r="AO31" s="2634"/>
      <c r="AP31" s="2634"/>
      <c r="AQ31" s="2634"/>
      <c r="AR31" s="2634"/>
      <c r="AS31" s="263"/>
      <c r="AT31" s="263"/>
      <c r="AU31" s="217"/>
      <c r="AV31" s="304"/>
      <c r="AW31" s="304"/>
      <c r="AX31" s="304"/>
      <c r="AY31" s="304"/>
      <c r="AZ31" s="304"/>
      <c r="BA31" s="354">
        <v>0</v>
      </c>
    </row>
    <row r="32" spans="1:53" s="2416" customFormat="1" ht="18.75" hidden="1" customHeight="1">
      <c r="A32" s="1286"/>
      <c r="B32" s="1286"/>
      <c r="C32" s="1286"/>
      <c r="D32" s="1286"/>
      <c r="E32" s="1286"/>
      <c r="F32" s="1286"/>
      <c r="G32" s="1286"/>
      <c r="H32" s="1286"/>
      <c r="I32" s="1286"/>
      <c r="J32" s="1286"/>
      <c r="K32" s="1286"/>
      <c r="L32" s="1287"/>
      <c r="M32" s="1286"/>
      <c r="N32" s="1286"/>
      <c r="O32" s="1286"/>
      <c r="P32" s="1286"/>
      <c r="Q32" s="1286"/>
      <c r="S32" s="2633" t="s">
        <v>415</v>
      </c>
      <c r="T32" s="2633"/>
      <c r="U32" s="1290"/>
      <c r="V32" s="2635" t="str">
        <f>IF(TITLE_NUMBER_PR_CHANGE="",IF(TITLE_NUMBER_PR="","",TITLE_NUMBER_PR),TITLE_NUMBER_PR_CHANGE)</f>
        <v/>
      </c>
      <c r="W32" s="2635"/>
      <c r="X32" s="2635"/>
      <c r="Y32" s="2635"/>
      <c r="Z32" s="2635"/>
      <c r="AA32" s="263"/>
      <c r="AB32" s="2635" t="str">
        <f>IF(TITLE_NUMBER_PR_CHANGE="",IF(TITLE_NUMBER_PR="","",TITLE_NUMBER_PR),TITLE_NUMBER_PR_CHANGE)</f>
        <v/>
      </c>
      <c r="AC32" s="2635"/>
      <c r="AD32" s="2635"/>
      <c r="AE32" s="2635"/>
      <c r="AF32" s="2635"/>
      <c r="AG32" s="2635"/>
      <c r="AH32" s="2635"/>
      <c r="AI32" s="2635"/>
      <c r="AJ32" s="2635"/>
      <c r="AK32" s="2635"/>
      <c r="AL32" s="2635"/>
      <c r="AM32" s="2635"/>
      <c r="AN32" s="2635"/>
      <c r="AO32" s="2635"/>
      <c r="AP32" s="2635"/>
      <c r="AQ32" s="2635"/>
      <c r="AR32" s="2635"/>
      <c r="AS32" s="263"/>
      <c r="AT32" s="263"/>
      <c r="AU32" s="217"/>
      <c r="AV32" s="304"/>
      <c r="AW32" s="304"/>
      <c r="AX32" s="304"/>
      <c r="AY32" s="304"/>
      <c r="AZ32" s="304"/>
      <c r="BA32" s="354">
        <v>0</v>
      </c>
    </row>
    <row r="33" spans="1:53" s="2416" customFormat="1" ht="18.75" hidden="1" customHeight="1">
      <c r="A33" s="1286"/>
      <c r="B33" s="1286"/>
      <c r="C33" s="1286"/>
      <c r="D33" s="1286"/>
      <c r="E33" s="1286"/>
      <c r="F33" s="1286"/>
      <c r="G33" s="1286"/>
      <c r="H33" s="1286"/>
      <c r="I33" s="1286"/>
      <c r="J33" s="1286"/>
      <c r="K33" s="1286"/>
      <c r="L33" s="1287"/>
      <c r="M33" s="1286"/>
      <c r="N33" s="1286"/>
      <c r="O33" s="1286"/>
      <c r="P33" s="1286"/>
      <c r="Q33" s="1286"/>
      <c r="S33" s="2633" t="s">
        <v>42</v>
      </c>
      <c r="T33" s="2633"/>
      <c r="U33" s="1290"/>
      <c r="V33" s="2635" t="str">
        <f>IF(TITLE_IST_PUB_CHANGE="",IF(TITLE_IST_PUB="","",TITLE_IST_PUB),TITLE_IST_PUB_CHANGE)</f>
        <v/>
      </c>
      <c r="W33" s="2635"/>
      <c r="X33" s="2635"/>
      <c r="Y33" s="2635"/>
      <c r="Z33" s="2635"/>
      <c r="AA33" s="263"/>
      <c r="AB33" s="2635" t="str">
        <f>IF(TITLE_IST_PUB_CHANGE="",IF(TITLE_IST_PUB="","",TITLE_IST_PUB),TITLE_IST_PUB_CHANGE)</f>
        <v/>
      </c>
      <c r="AC33" s="2635"/>
      <c r="AD33" s="2635"/>
      <c r="AE33" s="2635"/>
      <c r="AF33" s="2635"/>
      <c r="AG33" s="2635"/>
      <c r="AH33" s="2635"/>
      <c r="AI33" s="2635"/>
      <c r="AJ33" s="2635"/>
      <c r="AK33" s="2635"/>
      <c r="AL33" s="2635"/>
      <c r="AM33" s="2635"/>
      <c r="AN33" s="2635"/>
      <c r="AO33" s="2635"/>
      <c r="AP33" s="2635"/>
      <c r="AQ33" s="2635"/>
      <c r="AR33" s="2635"/>
      <c r="AS33" s="263"/>
      <c r="AT33" s="263"/>
      <c r="AU33" s="217"/>
      <c r="AV33" s="304"/>
      <c r="AW33" s="304"/>
      <c r="AX33" s="304"/>
      <c r="AY33" s="304"/>
      <c r="AZ33" s="304"/>
      <c r="BA33" s="354">
        <v>0</v>
      </c>
    </row>
    <row r="34" spans="1:53" ht="14.25" hidden="1" customHeight="1">
      <c r="Q34" s="228"/>
      <c r="R34" s="312"/>
      <c r="S34" s="1193"/>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3">
        <v>0</v>
      </c>
    </row>
    <row r="35" spans="1:53" s="2416" customFormat="1" ht="18.75" hidden="1" customHeight="1">
      <c r="A35" s="1286"/>
      <c r="B35" s="1286"/>
      <c r="C35" s="1286"/>
      <c r="D35" s="1286"/>
      <c r="E35" s="1286"/>
      <c r="F35" s="1286"/>
      <c r="G35" s="1286"/>
      <c r="H35" s="1286"/>
      <c r="I35" s="1286"/>
      <c r="J35" s="1286"/>
      <c r="K35" s="1286"/>
      <c r="L35" s="1287"/>
      <c r="M35" s="1286"/>
      <c r="N35" s="1286"/>
      <c r="O35" s="1286"/>
      <c r="P35" s="1286"/>
      <c r="Q35" s="1286"/>
      <c r="S35" s="2633" t="s">
        <v>414</v>
      </c>
      <c r="T35" s="2633"/>
      <c r="U35" s="1290"/>
      <c r="V35" s="2634" t="str">
        <f>IF(TITLE_DATE_PR_CHANGE="",IF(TITLE_DATE_PR="","",TITLE_DATE_PR),TITLE_DATE_PR_CHANGE)</f>
        <v/>
      </c>
      <c r="W35" s="2634"/>
      <c r="X35" s="2634"/>
      <c r="Y35" s="2634"/>
      <c r="Z35" s="2634"/>
      <c r="AA35" s="263"/>
      <c r="AB35" s="2634" t="str">
        <f>IF(TITLE_DATE_PR_CHANGE="",IF(TITLE_DATE_PR="","",TITLE_DATE_PR),TITLE_DATE_PR_CHANGE)</f>
        <v/>
      </c>
      <c r="AC35" s="2634"/>
      <c r="AD35" s="2634"/>
      <c r="AE35" s="2634"/>
      <c r="AF35" s="2634"/>
      <c r="AG35" s="2634"/>
      <c r="AH35" s="2634"/>
      <c r="AI35" s="2634"/>
      <c r="AJ35" s="2634"/>
      <c r="AK35" s="2634"/>
      <c r="AL35" s="2634"/>
      <c r="AM35" s="2634"/>
      <c r="AN35" s="2634"/>
      <c r="AO35" s="2634"/>
      <c r="AP35" s="2634"/>
      <c r="AQ35" s="2634"/>
      <c r="AR35" s="2634"/>
      <c r="AS35" s="263"/>
      <c r="AT35" s="263"/>
      <c r="AU35" s="217"/>
      <c r="AV35" s="304"/>
      <c r="AW35" s="304"/>
      <c r="AX35" s="304"/>
      <c r="AY35" s="304"/>
      <c r="AZ35" s="304"/>
      <c r="BA35" s="354">
        <v>0</v>
      </c>
    </row>
    <row r="36" spans="1:53" s="2416" customFormat="1" ht="18" hidden="1" customHeight="1">
      <c r="A36" s="1286"/>
      <c r="B36" s="1286"/>
      <c r="C36" s="1286"/>
      <c r="D36" s="1286"/>
      <c r="E36" s="1286"/>
      <c r="F36" s="1286"/>
      <c r="G36" s="1286"/>
      <c r="H36" s="1286"/>
      <c r="I36" s="1286"/>
      <c r="J36" s="1286"/>
      <c r="K36" s="1286"/>
      <c r="L36" s="1287"/>
      <c r="M36" s="1286"/>
      <c r="N36" s="1286"/>
      <c r="O36" s="1286"/>
      <c r="P36" s="1286"/>
      <c r="Q36" s="1286"/>
      <c r="S36" s="2633" t="s">
        <v>415</v>
      </c>
      <c r="T36" s="2633"/>
      <c r="U36" s="1290"/>
      <c r="V36" s="2635" t="str">
        <f>IF(TITLE_NUMBER_PR_CHANGE="",IF(TITLE_NUMBER_PR="","",TITLE_NUMBER_PR),TITLE_NUMBER_PR_CHANGE)</f>
        <v/>
      </c>
      <c r="W36" s="2635"/>
      <c r="X36" s="2635"/>
      <c r="Y36" s="2635"/>
      <c r="Z36" s="2635"/>
      <c r="AA36" s="263"/>
      <c r="AB36" s="2635" t="str">
        <f>IF(TITLE_NUMBER_PR_CHANGE="",IF(TITLE_NUMBER_PR="","",TITLE_NUMBER_PR),TITLE_NUMBER_PR_CHANGE)</f>
        <v/>
      </c>
      <c r="AC36" s="2635"/>
      <c r="AD36" s="2635"/>
      <c r="AE36" s="2635"/>
      <c r="AF36" s="2635"/>
      <c r="AG36" s="2635"/>
      <c r="AH36" s="2635"/>
      <c r="AI36" s="2635"/>
      <c r="AJ36" s="2635"/>
      <c r="AK36" s="2635"/>
      <c r="AL36" s="2635"/>
      <c r="AM36" s="2635"/>
      <c r="AN36" s="2635"/>
      <c r="AO36" s="2635"/>
      <c r="AP36" s="2635"/>
      <c r="AQ36" s="2635"/>
      <c r="AR36" s="2635"/>
      <c r="AS36" s="263"/>
      <c r="AT36" s="263"/>
      <c r="AU36" s="217"/>
      <c r="AV36" s="304"/>
      <c r="AW36" s="304"/>
      <c r="AX36" s="304"/>
      <c r="AY36" s="304"/>
      <c r="AZ36" s="304"/>
      <c r="BA36" s="354">
        <v>0</v>
      </c>
    </row>
    <row r="37" spans="1:53" s="2416" customFormat="1" ht="1.1499999999999999" customHeight="1">
      <c r="A37" s="1286"/>
      <c r="B37" s="1286"/>
      <c r="C37" s="1286"/>
      <c r="D37" s="1286"/>
      <c r="E37" s="1286"/>
      <c r="F37" s="1286"/>
      <c r="G37" s="1286"/>
      <c r="H37" s="1286"/>
      <c r="I37" s="1286"/>
      <c r="J37" s="1286"/>
      <c r="K37" s="1286"/>
      <c r="L37" s="1287"/>
      <c r="M37" s="1286"/>
      <c r="N37" s="1286"/>
      <c r="O37" s="1286"/>
      <c r="P37" s="1286"/>
      <c r="Q37" s="1286"/>
      <c r="S37" s="260"/>
      <c r="T37" s="260"/>
      <c r="U37" s="1258"/>
      <c r="V37" s="263"/>
      <c r="W37" s="263"/>
      <c r="X37" s="263"/>
      <c r="Y37" s="263"/>
      <c r="Z37" s="263"/>
      <c r="AA37" s="215" t="s">
        <v>418</v>
      </c>
      <c r="AB37" s="263"/>
      <c r="AC37" s="263"/>
      <c r="AD37" s="263"/>
      <c r="AE37" s="263"/>
      <c r="AF37" s="263"/>
      <c r="AG37" s="263"/>
      <c r="AH37" s="263"/>
      <c r="AI37" s="263"/>
      <c r="AJ37" s="263"/>
      <c r="AK37" s="263"/>
      <c r="AL37" s="263"/>
      <c r="AM37" s="263"/>
      <c r="AN37" s="263"/>
      <c r="AO37" s="263"/>
      <c r="AP37" s="263"/>
      <c r="AQ37" s="263"/>
      <c r="AR37" s="263"/>
      <c r="AS37" s="215" t="s">
        <v>418</v>
      </c>
      <c r="AV37" s="304"/>
      <c r="AW37" s="304"/>
      <c r="AX37" s="304"/>
      <c r="AY37" s="304"/>
      <c r="AZ37" s="304"/>
      <c r="BA37" s="354">
        <v>1</v>
      </c>
    </row>
    <row r="38" spans="1:53" ht="14.65" customHeight="1">
      <c r="Q38" s="228"/>
      <c r="R38" s="312"/>
      <c r="S38" s="1193"/>
      <c r="T38" s="299"/>
      <c r="U38" s="1162"/>
      <c r="V38" s="2654"/>
      <c r="W38" s="2654"/>
      <c r="X38" s="2654"/>
      <c r="Y38" s="2654"/>
      <c r="Z38" s="2654"/>
      <c r="AA38" s="2654"/>
      <c r="AB38" s="2654"/>
      <c r="AC38" s="2654"/>
      <c r="AD38" s="2654"/>
      <c r="AE38" s="2654"/>
      <c r="AF38" s="2654"/>
      <c r="AG38" s="2654"/>
      <c r="AH38" s="2654"/>
      <c r="AI38" s="2654"/>
      <c r="AJ38" s="2654"/>
      <c r="AK38" s="2654"/>
      <c r="AL38" s="2654"/>
      <c r="AM38" s="2654"/>
      <c r="AN38" s="2654"/>
      <c r="AO38" s="2654"/>
      <c r="AP38" s="2654"/>
      <c r="AQ38" s="2654"/>
      <c r="AR38" s="2654"/>
      <c r="AS38" s="2654"/>
      <c r="BA38" s="1073">
        <v>14</v>
      </c>
    </row>
    <row r="39" spans="1:53" ht="14.65" customHeight="1">
      <c r="Q39" s="228"/>
      <c r="R39" s="312"/>
      <c r="S39" s="2514" t="s">
        <v>291</v>
      </c>
      <c r="T39" s="2514"/>
      <c r="U39" s="2514"/>
      <c r="V39" s="2514"/>
      <c r="W39" s="2514"/>
      <c r="X39" s="2514"/>
      <c r="Y39" s="2514"/>
      <c r="Z39" s="2514"/>
      <c r="AA39" s="2514"/>
      <c r="AB39" s="2573"/>
      <c r="AC39" s="2573"/>
      <c r="AD39" s="2573"/>
      <c r="AE39" s="2573"/>
      <c r="AF39" s="2514"/>
      <c r="AG39" s="2514"/>
      <c r="AH39" s="2514"/>
      <c r="AI39" s="2514"/>
      <c r="AJ39" s="2514"/>
      <c r="AK39" s="2514"/>
      <c r="AL39" s="2514"/>
      <c r="AM39" s="2514"/>
      <c r="AN39" s="2514"/>
      <c r="AO39" s="2514"/>
      <c r="AP39" s="2514"/>
      <c r="AQ39" s="2514"/>
      <c r="AR39" s="2514"/>
      <c r="AS39" s="2514"/>
      <c r="AT39" s="2514"/>
      <c r="AU39" s="2514" t="s">
        <v>292</v>
      </c>
      <c r="BA39" s="1073">
        <v>14</v>
      </c>
    </row>
    <row r="40" spans="1:53" ht="14.65" customHeight="1">
      <c r="Q40" s="228"/>
      <c r="R40" s="312"/>
      <c r="S40" s="2655" t="s">
        <v>84</v>
      </c>
      <c r="T40" s="2603" t="s">
        <v>464</v>
      </c>
      <c r="U40" s="238"/>
      <c r="V40" s="2657"/>
      <c r="W40" s="2657"/>
      <c r="X40" s="2657"/>
      <c r="Y40" s="2657"/>
      <c r="Z40" s="2658"/>
      <c r="AA40" s="2704" t="s">
        <v>421</v>
      </c>
      <c r="AB40" s="2688" t="s">
        <v>465</v>
      </c>
      <c r="AC40" s="2672"/>
      <c r="AD40" s="2672"/>
      <c r="AE40" s="2689"/>
      <c r="AF40" s="2672" t="s">
        <v>466</v>
      </c>
      <c r="AG40" s="2672"/>
      <c r="AH40" s="2672"/>
      <c r="AI40" s="2689"/>
      <c r="AJ40" s="2688" t="s">
        <v>467</v>
      </c>
      <c r="AK40" s="2672"/>
      <c r="AL40" s="2672"/>
      <c r="AM40" s="2689"/>
      <c r="AN40" s="2688" t="s">
        <v>420</v>
      </c>
      <c r="AO40" s="2672"/>
      <c r="AP40" s="2657"/>
      <c r="AQ40" s="2657"/>
      <c r="AR40" s="2658"/>
      <c r="AS40" s="2659" t="s">
        <v>421</v>
      </c>
      <c r="AT40" s="2662" t="s">
        <v>423</v>
      </c>
      <c r="AU40" s="2514"/>
      <c r="BA40" s="1073">
        <v>14</v>
      </c>
    </row>
    <row r="41" spans="1:53" ht="35.65" customHeight="1">
      <c r="Q41" s="228"/>
      <c r="R41" s="312"/>
      <c r="S41" s="2655"/>
      <c r="T41" s="2603"/>
      <c r="U41" s="954"/>
      <c r="V41" s="2514" t="s">
        <v>468</v>
      </c>
      <c r="W41" s="2514"/>
      <c r="X41" s="2574" t="s">
        <v>427</v>
      </c>
      <c r="Y41" s="2684"/>
      <c r="Z41" s="2575"/>
      <c r="AA41" s="2705"/>
      <c r="AB41" s="2690"/>
      <c r="AC41" s="2691"/>
      <c r="AD41" s="2691"/>
      <c r="AE41" s="2703"/>
      <c r="AF41" s="2691"/>
      <c r="AG41" s="2691"/>
      <c r="AH41" s="2691"/>
      <c r="AI41" s="2703"/>
      <c r="AJ41" s="2690"/>
      <c r="AK41" s="2691"/>
      <c r="AL41" s="2691"/>
      <c r="AM41" s="2691"/>
      <c r="AN41" s="2514" t="s">
        <v>468</v>
      </c>
      <c r="AO41" s="2514"/>
      <c r="AP41" s="2684" t="s">
        <v>427</v>
      </c>
      <c r="AQ41" s="2684"/>
      <c r="AR41" s="2575"/>
      <c r="AS41" s="2660"/>
      <c r="AT41" s="2663"/>
      <c r="AU41" s="2514"/>
      <c r="BA41" s="1073">
        <v>34</v>
      </c>
    </row>
    <row r="42" spans="1:53" ht="14.65" customHeight="1">
      <c r="Q42" s="228"/>
      <c r="R42" s="312"/>
      <c r="S42" s="2655"/>
      <c r="T42" s="2603"/>
      <c r="U42" s="954"/>
      <c r="V42" s="2708" t="str">
        <f>IF($AN$42&lt;&gt;"",$AN$42,"")</f>
        <v/>
      </c>
      <c r="W42" s="2708"/>
      <c r="X42" s="2579"/>
      <c r="Y42" s="2685"/>
      <c r="Z42" s="2580"/>
      <c r="AA42" s="2705"/>
      <c r="AB42" s="2690"/>
      <c r="AC42" s="2691"/>
      <c r="AD42" s="2691"/>
      <c r="AE42" s="2703"/>
      <c r="AF42" s="2691"/>
      <c r="AG42" s="2691"/>
      <c r="AH42" s="2691"/>
      <c r="AI42" s="2703"/>
      <c r="AJ42" s="2690"/>
      <c r="AK42" s="2691"/>
      <c r="AL42" s="2691"/>
      <c r="AM42" s="2691"/>
      <c r="AN42" s="2707"/>
      <c r="AO42" s="2707"/>
      <c r="AP42" s="2685"/>
      <c r="AQ42" s="2685"/>
      <c r="AR42" s="2580"/>
      <c r="AS42" s="2660"/>
      <c r="AT42" s="2663"/>
      <c r="AU42" s="2514"/>
      <c r="BA42" s="1073">
        <v>14</v>
      </c>
    </row>
    <row r="43" spans="1:53" ht="14.65" customHeight="1">
      <c r="A43" s="1288"/>
      <c r="B43" s="1288" t="s">
        <v>128</v>
      </c>
      <c r="C43" s="1288" t="s">
        <v>129</v>
      </c>
      <c r="D43" s="1288" t="s">
        <v>130</v>
      </c>
      <c r="E43" s="1282" t="s">
        <v>428</v>
      </c>
      <c r="F43" s="1282" t="s">
        <v>429</v>
      </c>
      <c r="G43" s="1282" t="s">
        <v>430</v>
      </c>
      <c r="H43" s="1282" t="s">
        <v>431</v>
      </c>
      <c r="I43" s="1282" t="s">
        <v>432</v>
      </c>
      <c r="J43" s="1282" t="s">
        <v>433</v>
      </c>
      <c r="K43" s="1282" t="s">
        <v>434</v>
      </c>
      <c r="L43" s="1282" t="s">
        <v>409</v>
      </c>
      <c r="Q43" s="228"/>
      <c r="R43" s="312"/>
      <c r="S43" s="2655"/>
      <c r="T43" s="2603"/>
      <c r="U43" s="239"/>
      <c r="V43" s="1248" t="s">
        <v>469</v>
      </c>
      <c r="W43" s="1248" t="s">
        <v>470</v>
      </c>
      <c r="X43" s="1256" t="s">
        <v>437</v>
      </c>
      <c r="Y43" s="2608" t="s">
        <v>438</v>
      </c>
      <c r="Z43" s="2622"/>
      <c r="AA43" s="2706"/>
      <c r="AB43" s="2692"/>
      <c r="AC43" s="2693"/>
      <c r="AD43" s="2693"/>
      <c r="AE43" s="2694"/>
      <c r="AF43" s="2693"/>
      <c r="AG43" s="2693"/>
      <c r="AH43" s="2693"/>
      <c r="AI43" s="2694"/>
      <c r="AJ43" s="2692"/>
      <c r="AK43" s="2693"/>
      <c r="AL43" s="2693"/>
      <c r="AM43" s="2694"/>
      <c r="AN43" s="1775" t="s">
        <v>469</v>
      </c>
      <c r="AO43" s="1775" t="s">
        <v>470</v>
      </c>
      <c r="AP43" s="1256" t="s">
        <v>437</v>
      </c>
      <c r="AQ43" s="2608" t="s">
        <v>438</v>
      </c>
      <c r="AR43" s="2622"/>
      <c r="AS43" s="2661"/>
      <c r="AT43" s="2664"/>
      <c r="AU43" s="2514"/>
      <c r="BA43" s="1073">
        <v>14</v>
      </c>
    </row>
    <row r="44" spans="1:53" s="2431" customFormat="1" ht="11.25" hidden="1" customHeight="1">
      <c r="A44" s="1288"/>
      <c r="B44" s="1288"/>
      <c r="C44" s="1288"/>
      <c r="D44" s="1288"/>
      <c r="E44" s="1288"/>
      <c r="F44" s="1288"/>
      <c r="G44" s="1288"/>
      <c r="H44" s="1288"/>
      <c r="I44" s="1288"/>
      <c r="J44" s="1288"/>
      <c r="K44" s="1288"/>
      <c r="L44" s="1282"/>
      <c r="M44" s="1280"/>
      <c r="N44" s="1280"/>
      <c r="O44" s="1280"/>
      <c r="P44" s="446"/>
      <c r="Q44" s="1172"/>
      <c r="R44" s="1172">
        <v>1</v>
      </c>
      <c r="S44" s="1195" t="s">
        <v>102</v>
      </c>
      <c r="T44" s="1173" t="s">
        <v>103</v>
      </c>
      <c r="U44" s="1163" t="str">
        <f ca="1">OFFSET(U44,0,-1)</f>
        <v>2</v>
      </c>
      <c r="V44" s="1253">
        <f ca="1">OFFSET(V44,0,-1)+1</f>
        <v>3</v>
      </c>
      <c r="W44" s="1253">
        <f ca="1">OFFSET(W44,0,-1)+1</f>
        <v>4</v>
      </c>
      <c r="X44" s="1253">
        <f ca="1">OFFSET(X44,0,-1)+1</f>
        <v>5</v>
      </c>
      <c r="Y44" s="2653">
        <f ca="1">OFFSET(Y44,0,-1)+1</f>
        <v>6</v>
      </c>
      <c r="Z44" s="2653"/>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653">
        <f ca="1">OFFSET(AQ44,0,-1)+1</f>
        <v>4</v>
      </c>
      <c r="AR44" s="2653"/>
      <c r="AS44" s="1253">
        <f ca="1">OFFSET(AS44,0,-2)+1</f>
        <v>5</v>
      </c>
      <c r="AT44" s="1163">
        <f ca="1">OFFSET(AT44,0,-1)</f>
        <v>5</v>
      </c>
      <c r="AU44" s="1253">
        <f ca="1">OFFSET(AU44,0,-1)+1</f>
        <v>6</v>
      </c>
      <c r="AV44" s="447"/>
      <c r="AW44" s="447"/>
      <c r="AX44" s="447"/>
      <c r="AY44" s="447"/>
      <c r="AZ44" s="447"/>
      <c r="BA44" s="432">
        <v>0</v>
      </c>
    </row>
    <row r="45" spans="1:53" ht="107.25" customHeight="1">
      <c r="A45" s="1281" t="s">
        <v>191</v>
      </c>
      <c r="B45" s="1281"/>
      <c r="C45" s="1281"/>
      <c r="D45" s="1281"/>
      <c r="E45" s="2642">
        <v>1</v>
      </c>
      <c r="F45" s="1281"/>
      <c r="G45" s="1281"/>
      <c r="H45" s="1281"/>
      <c r="I45" s="1281"/>
      <c r="J45" s="1281"/>
      <c r="K45" s="1281"/>
      <c r="L45" s="1282"/>
      <c r="M45" s="1283"/>
      <c r="N45" s="1283"/>
      <c r="O45" s="1283"/>
      <c r="P45" s="1327"/>
      <c r="Q45" s="799"/>
      <c r="R45" s="291"/>
      <c r="S45" s="1254">
        <f>INDEX(PT_DIFFERENTIATION_NUM_NTAR,MATCH(A45,PT_DIFFERENTIATION_NTAR_ID,0))</f>
        <v>0</v>
      </c>
      <c r="T45" s="235" t="s">
        <v>116</v>
      </c>
      <c r="U45" s="237"/>
      <c r="V45" s="2637"/>
      <c r="W45" s="2637"/>
      <c r="X45" s="2637"/>
      <c r="Y45" s="2637"/>
      <c r="Z45" s="2637"/>
      <c r="AA45" s="2638"/>
      <c r="AB45" s="2636" t="str">
        <f>INDEX(PT_DIFFERENTIATION_NTAR,MATCH(A45,PT_DIFFERENTIATION_NTAR_ID,0))</f>
        <v/>
      </c>
      <c r="AC45" s="2637"/>
      <c r="AD45" s="2637"/>
      <c r="AE45" s="2637"/>
      <c r="AF45" s="2637"/>
      <c r="AG45" s="2637"/>
      <c r="AH45" s="2637"/>
      <c r="AI45" s="2637"/>
      <c r="AJ45" s="2637"/>
      <c r="AK45" s="2637"/>
      <c r="AL45" s="2637"/>
      <c r="AM45" s="2637"/>
      <c r="AN45" s="2637"/>
      <c r="AO45" s="2637"/>
      <c r="AP45" s="2637"/>
      <c r="AQ45" s="2637"/>
      <c r="AR45" s="2637"/>
      <c r="AS45" s="2637"/>
      <c r="AT45" s="2638"/>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3">
        <v>102</v>
      </c>
    </row>
    <row r="46" spans="1:53" ht="21.95" customHeight="1">
      <c r="A46" s="1281" t="s">
        <v>191</v>
      </c>
      <c r="B46" s="1281" t="s">
        <v>192</v>
      </c>
      <c r="C46" s="1281"/>
      <c r="D46" s="1281"/>
      <c r="E46" s="2643"/>
      <c r="F46" s="2642">
        <v>1</v>
      </c>
      <c r="G46" s="1281"/>
      <c r="H46" s="1281"/>
      <c r="I46" s="1281"/>
      <c r="J46" s="1281"/>
      <c r="K46" s="1281"/>
      <c r="L46" s="1282"/>
      <c r="M46" s="1283"/>
      <c r="N46" s="1283"/>
      <c r="O46" s="1283"/>
      <c r="P46" s="1328"/>
      <c r="Q46" s="1329"/>
      <c r="R46" s="289"/>
      <c r="S46" s="1254" t="str">
        <f>INDEX(PT_DIFFERENTIATION_NUM_TER,MATCH(B46,PT_DIFFERENTIATION_TER_ID,0))</f>
        <v>.</v>
      </c>
      <c r="T46" s="245" t="s">
        <v>388</v>
      </c>
      <c r="U46" s="237"/>
      <c r="V46" s="2637"/>
      <c r="W46" s="2637"/>
      <c r="X46" s="2637"/>
      <c r="Y46" s="2637"/>
      <c r="Z46" s="2637"/>
      <c r="AA46" s="2638"/>
      <c r="AB46" s="2636" t="str">
        <f>INDEX(PT_DIFFERENTIATION_TER,MATCH(B46,PT_DIFFERENTIATION_TER_ID,0))</f>
        <v/>
      </c>
      <c r="AC46" s="2637"/>
      <c r="AD46" s="2637"/>
      <c r="AE46" s="2637"/>
      <c r="AF46" s="2637"/>
      <c r="AG46" s="2637"/>
      <c r="AH46" s="2637"/>
      <c r="AI46" s="2637"/>
      <c r="AJ46" s="2637"/>
      <c r="AK46" s="2637"/>
      <c r="AL46" s="2637"/>
      <c r="AM46" s="2637"/>
      <c r="AN46" s="2637"/>
      <c r="AO46" s="2637"/>
      <c r="AP46" s="2637"/>
      <c r="AQ46" s="2637"/>
      <c r="AR46" s="2637"/>
      <c r="AS46" s="2637"/>
      <c r="AT46" s="2638"/>
      <c r="AU46" s="1176" t="s">
        <v>389</v>
      </c>
      <c r="AW46" s="436"/>
      <c r="AX46" s="436" t="str">
        <f t="shared" si="2"/>
        <v>Территория действия тарифа</v>
      </c>
      <c r="AY46" s="436"/>
      <c r="AZ46" s="436"/>
      <c r="BA46" s="1073">
        <v>21</v>
      </c>
    </row>
    <row r="47" spans="1:53" ht="24" customHeight="1">
      <c r="A47" s="1281" t="s">
        <v>191</v>
      </c>
      <c r="B47" s="1281" t="s">
        <v>192</v>
      </c>
      <c r="C47" s="1281" t="s">
        <v>193</v>
      </c>
      <c r="D47" s="1281"/>
      <c r="E47" s="2643"/>
      <c r="F47" s="2643"/>
      <c r="G47" s="2642">
        <v>1</v>
      </c>
      <c r="H47" s="1281"/>
      <c r="I47" s="1281"/>
      <c r="J47" s="1281"/>
      <c r="K47" s="1281"/>
      <c r="L47" s="1282"/>
      <c r="M47" s="1283"/>
      <c r="N47" s="1283"/>
      <c r="O47" s="1283"/>
      <c r="P47" s="1330"/>
      <c r="Q47" s="1329"/>
      <c r="R47" s="289"/>
      <c r="S47" s="1254" t="str">
        <f>INDEX(PT_DIFFERENTIATION_NUM_CS,MATCH(C47,PT_DIFFERENTIATION_CS_ID,0))</f>
        <v>..</v>
      </c>
      <c r="T47" s="246" t="s">
        <v>390</v>
      </c>
      <c r="U47" s="237"/>
      <c r="V47" s="2637"/>
      <c r="W47" s="2637"/>
      <c r="X47" s="2637"/>
      <c r="Y47" s="2637"/>
      <c r="Z47" s="2637"/>
      <c r="AA47" s="2638"/>
      <c r="AB47" s="2636" t="str">
        <f>INDEX(PT_DIFFERENTIATION_CS,MATCH(C47,PT_DIFFERENTIATION_CS_ID,0))</f>
        <v/>
      </c>
      <c r="AC47" s="2637"/>
      <c r="AD47" s="2637"/>
      <c r="AE47" s="2637"/>
      <c r="AF47" s="2637"/>
      <c r="AG47" s="2637"/>
      <c r="AH47" s="2637"/>
      <c r="AI47" s="2637"/>
      <c r="AJ47" s="2637"/>
      <c r="AK47" s="2637"/>
      <c r="AL47" s="2637"/>
      <c r="AM47" s="2637"/>
      <c r="AN47" s="2637"/>
      <c r="AO47" s="2637"/>
      <c r="AP47" s="2637"/>
      <c r="AQ47" s="2637"/>
      <c r="AR47" s="2637"/>
      <c r="AS47" s="2637"/>
      <c r="AT47" s="2638"/>
      <c r="AU47" s="1176" t="s">
        <v>391</v>
      </c>
      <c r="AW47" s="436"/>
      <c r="AX47" s="436" t="str">
        <f t="shared" si="2"/>
        <v xml:space="preserve">Наименование системы теплоснабжения </v>
      </c>
      <c r="AY47" s="436"/>
      <c r="AZ47" s="436"/>
      <c r="BA47" s="1073">
        <v>23</v>
      </c>
    </row>
    <row r="48" spans="1:53" ht="21" customHeight="1">
      <c r="A48" s="1281" t="s">
        <v>191</v>
      </c>
      <c r="B48" s="1281" t="s">
        <v>192</v>
      </c>
      <c r="C48" s="1281" t="s">
        <v>193</v>
      </c>
      <c r="D48" s="1281" t="s">
        <v>194</v>
      </c>
      <c r="E48" s="2643"/>
      <c r="F48" s="2643"/>
      <c r="G48" s="2643"/>
      <c r="H48" s="2642">
        <v>1</v>
      </c>
      <c r="I48" s="1281"/>
      <c r="J48" s="1281"/>
      <c r="K48" s="1281"/>
      <c r="L48" s="1282"/>
      <c r="M48" s="1283"/>
      <c r="N48" s="1283"/>
      <c r="O48" s="1283"/>
      <c r="P48" s="1330"/>
      <c r="Q48" s="1329"/>
      <c r="R48" s="289"/>
      <c r="S48" s="1254" t="str">
        <f>INDEX(PT_DIFFERENTIATION_NUM_IST_TE,MATCH(D48,PT_DIFFERENTIATION_IST_TE_ID,0))</f>
        <v>...</v>
      </c>
      <c r="T48" s="247" t="s">
        <v>392</v>
      </c>
      <c r="U48" s="237"/>
      <c r="V48" s="2637"/>
      <c r="W48" s="2637"/>
      <c r="X48" s="2637"/>
      <c r="Y48" s="2637"/>
      <c r="Z48" s="2637"/>
      <c r="AA48" s="2638"/>
      <c r="AB48" s="2636" t="str">
        <f>INDEX(PT_DIFFERENTIATION_IST_TE,MATCH(D48,PT_DIFFERENTIATION_IST_TE_ID,0))</f>
        <v/>
      </c>
      <c r="AC48" s="2637"/>
      <c r="AD48" s="2637"/>
      <c r="AE48" s="2637"/>
      <c r="AF48" s="2637"/>
      <c r="AG48" s="2637"/>
      <c r="AH48" s="2637"/>
      <c r="AI48" s="2637"/>
      <c r="AJ48" s="2637"/>
      <c r="AK48" s="2637"/>
      <c r="AL48" s="2637"/>
      <c r="AM48" s="2637"/>
      <c r="AN48" s="2637"/>
      <c r="AO48" s="2637"/>
      <c r="AP48" s="2637"/>
      <c r="AQ48" s="2637"/>
      <c r="AR48" s="2637"/>
      <c r="AS48" s="2637"/>
      <c r="AT48" s="2638"/>
      <c r="AU48" s="1176" t="s">
        <v>393</v>
      </c>
      <c r="AW48" s="436"/>
      <c r="AX48" s="436" t="str">
        <f t="shared" si="2"/>
        <v xml:space="preserve">Источник тепловой энергии  </v>
      </c>
      <c r="AY48" s="436"/>
      <c r="AZ48" s="436"/>
      <c r="BA48" s="1073">
        <v>20</v>
      </c>
    </row>
    <row r="49" spans="1:53" s="2407" customFormat="1" ht="1.1499999999999999" customHeight="1">
      <c r="A49" s="1261" t="s">
        <v>191</v>
      </c>
      <c r="B49" s="1261" t="s">
        <v>192</v>
      </c>
      <c r="C49" s="1261" t="s">
        <v>193</v>
      </c>
      <c r="D49" s="1261" t="s">
        <v>194</v>
      </c>
      <c r="E49" s="2643"/>
      <c r="F49" s="2643"/>
      <c r="G49" s="2643"/>
      <c r="H49" s="2643"/>
      <c r="I49" s="2644" t="str">
        <f>S48&amp;".1"</f>
        <v>....1</v>
      </c>
      <c r="J49" s="1261"/>
      <c r="K49" s="1261"/>
      <c r="L49" s="1264" t="s">
        <v>394</v>
      </c>
      <c r="M49" s="446"/>
      <c r="N49" s="446"/>
      <c r="O49" s="446"/>
      <c r="P49" s="2646">
        <v>1</v>
      </c>
      <c r="Q49" s="1249"/>
      <c r="R49" s="292"/>
      <c r="S49" s="965"/>
      <c r="T49" s="1301"/>
      <c r="U49" s="1302"/>
      <c r="V49" s="2674"/>
      <c r="W49" s="2674"/>
      <c r="X49" s="2674"/>
      <c r="Y49" s="2674"/>
      <c r="Z49" s="2674"/>
      <c r="AA49" s="2675"/>
      <c r="AB49" s="2673"/>
      <c r="AC49" s="2674"/>
      <c r="AD49" s="2674"/>
      <c r="AE49" s="2674"/>
      <c r="AF49" s="2674"/>
      <c r="AG49" s="2674"/>
      <c r="AH49" s="2674"/>
      <c r="AI49" s="2674"/>
      <c r="AJ49" s="2674"/>
      <c r="AK49" s="2674"/>
      <c r="AL49" s="2674"/>
      <c r="AM49" s="2674"/>
      <c r="AN49" s="2674"/>
      <c r="AO49" s="2674"/>
      <c r="AP49" s="2674"/>
      <c r="AQ49" s="2674"/>
      <c r="AR49" s="2674"/>
      <c r="AS49" s="2674"/>
      <c r="AT49" s="2675"/>
      <c r="AU49" s="1303"/>
      <c r="AW49" s="436"/>
      <c r="AX49" s="436" t="str">
        <f t="shared" si="2"/>
        <v/>
      </c>
      <c r="AY49" s="436"/>
      <c r="AZ49" s="436"/>
      <c r="BA49" s="447">
        <v>1</v>
      </c>
    </row>
    <row r="50" spans="1:53" s="2407" customFormat="1" ht="1.1499999999999999" customHeight="1">
      <c r="A50" s="1261" t="s">
        <v>191</v>
      </c>
      <c r="B50" s="1261" t="s">
        <v>192</v>
      </c>
      <c r="C50" s="1261" t="s">
        <v>193</v>
      </c>
      <c r="D50" s="1261" t="s">
        <v>194</v>
      </c>
      <c r="E50" s="2643"/>
      <c r="F50" s="2643"/>
      <c r="G50" s="2643"/>
      <c r="H50" s="2643"/>
      <c r="I50" s="2645"/>
      <c r="J50" s="2644" t="str">
        <f>S48&amp;".1"</f>
        <v>....1</v>
      </c>
      <c r="K50" s="1261"/>
      <c r="L50" s="1264"/>
      <c r="M50" s="446"/>
      <c r="N50" s="446"/>
      <c r="O50" s="446"/>
      <c r="P50" s="2646"/>
      <c r="Q50" s="2646">
        <v>1</v>
      </c>
      <c r="R50" s="293"/>
      <c r="S50" s="965"/>
      <c r="T50" s="1317"/>
      <c r="U50" s="1302"/>
      <c r="V50" s="2674"/>
      <c r="W50" s="2674"/>
      <c r="X50" s="2674"/>
      <c r="Y50" s="2674"/>
      <c r="Z50" s="2674"/>
      <c r="AA50" s="2675"/>
      <c r="AB50" s="2673"/>
      <c r="AC50" s="2674"/>
      <c r="AD50" s="2674"/>
      <c r="AE50" s="2674"/>
      <c r="AF50" s="2674"/>
      <c r="AG50" s="2674"/>
      <c r="AH50" s="2674"/>
      <c r="AI50" s="2674"/>
      <c r="AJ50" s="2674"/>
      <c r="AK50" s="2674"/>
      <c r="AL50" s="2674"/>
      <c r="AM50" s="2674"/>
      <c r="AN50" s="2674"/>
      <c r="AO50" s="2674"/>
      <c r="AP50" s="2674"/>
      <c r="AQ50" s="2674"/>
      <c r="AR50" s="2674"/>
      <c r="AS50" s="2674"/>
      <c r="AT50" s="2675"/>
      <c r="AU50" s="1303"/>
      <c r="AW50" s="436"/>
      <c r="AX50" s="436" t="str">
        <f t="shared" si="2"/>
        <v/>
      </c>
      <c r="AY50" s="436"/>
      <c r="AZ50" s="436"/>
      <c r="BA50" s="447">
        <v>1</v>
      </c>
    </row>
    <row r="51" spans="1:53" ht="21.95" customHeight="1">
      <c r="A51" s="1281" t="s">
        <v>191</v>
      </c>
      <c r="B51" s="1281" t="s">
        <v>192</v>
      </c>
      <c r="C51" s="1281" t="s">
        <v>193</v>
      </c>
      <c r="D51" s="1281" t="s">
        <v>194</v>
      </c>
      <c r="E51" s="2643"/>
      <c r="F51" s="2643"/>
      <c r="G51" s="2643"/>
      <c r="H51" s="2643"/>
      <c r="I51" s="2645"/>
      <c r="J51" s="2645"/>
      <c r="K51" s="2644" t="str">
        <f>S48&amp;".1"</f>
        <v>....1</v>
      </c>
      <c r="L51" s="1282"/>
      <c r="P51" s="2646"/>
      <c r="Q51" s="2646"/>
      <c r="R51" s="293">
        <v>1</v>
      </c>
      <c r="S51" s="2699" t="str">
        <f>$K51</f>
        <v>....1</v>
      </c>
      <c r="T51" s="2696"/>
      <c r="U51" s="237"/>
      <c r="V51" s="687"/>
      <c r="W51" s="1175"/>
      <c r="X51" s="1651"/>
      <c r="Y51" s="1377" t="s">
        <v>65</v>
      </c>
      <c r="Z51" s="1651"/>
      <c r="AA51" s="1377" t="s">
        <v>65</v>
      </c>
      <c r="AB51" s="2524" t="s">
        <v>19</v>
      </c>
      <c r="AC51" s="2695"/>
      <c r="AD51" s="2599">
        <v>1</v>
      </c>
      <c r="AE51" s="2687" t="s">
        <v>22</v>
      </c>
      <c r="AF51" s="2524" t="s">
        <v>19</v>
      </c>
      <c r="AG51" s="2695"/>
      <c r="AH51" s="2599">
        <v>1</v>
      </c>
      <c r="AI51" s="2687" t="s">
        <v>22</v>
      </c>
      <c r="AJ51" s="2524" t="s">
        <v>19</v>
      </c>
      <c r="AK51" s="248"/>
      <c r="AL51" s="1255">
        <v>1</v>
      </c>
      <c r="AM51" s="1320"/>
      <c r="AN51" s="687"/>
      <c r="AO51" s="1175"/>
      <c r="AP51" s="1651"/>
      <c r="AQ51" s="1377" t="s">
        <v>65</v>
      </c>
      <c r="AR51" s="1651"/>
      <c r="AS51" s="1377" t="s">
        <v>65</v>
      </c>
      <c r="AT51" s="1266"/>
      <c r="AU51" s="2665" t="s">
        <v>471</v>
      </c>
      <c r="AV51" s="447" t="e">
        <f ca="1">STRCHECKDATE(V54:AT54)</f>
        <v>#NAME?</v>
      </c>
      <c r="AW51" s="436"/>
      <c r="AX51" s="436" t="str">
        <f t="shared" si="2"/>
        <v/>
      </c>
      <c r="AY51" s="436"/>
      <c r="AZ51" s="436"/>
      <c r="BA51" s="1073">
        <v>21</v>
      </c>
    </row>
    <row r="52" spans="1:53" ht="11.45" customHeight="1">
      <c r="A52" s="1281" t="s">
        <v>191</v>
      </c>
      <c r="B52" s="1281"/>
      <c r="C52" s="1281"/>
      <c r="D52" s="1281"/>
      <c r="E52" s="2643"/>
      <c r="F52" s="2643"/>
      <c r="G52" s="2643"/>
      <c r="H52" s="2643"/>
      <c r="I52" s="2645"/>
      <c r="J52" s="2645"/>
      <c r="K52" s="2644"/>
      <c r="L52" s="1282"/>
      <c r="P52" s="2646"/>
      <c r="Q52" s="2646"/>
      <c r="R52" s="293"/>
      <c r="S52" s="2700"/>
      <c r="T52" s="2697"/>
      <c r="U52" s="237"/>
      <c r="V52" s="1311"/>
      <c r="W52" s="1414"/>
      <c r="X52" s="1311"/>
      <c r="Y52" s="1311"/>
      <c r="Z52" s="1311"/>
      <c r="AA52" s="1311"/>
      <c r="AB52" s="2524"/>
      <c r="AC52" s="2695"/>
      <c r="AD52" s="2599"/>
      <c r="AE52" s="2687"/>
      <c r="AF52" s="2524"/>
      <c r="AG52" s="2695"/>
      <c r="AH52" s="2599"/>
      <c r="AI52" s="2687"/>
      <c r="AJ52" s="2524"/>
      <c r="AK52" s="253"/>
      <c r="AL52" s="352"/>
      <c r="AM52" s="351" t="s">
        <v>456</v>
      </c>
      <c r="AN52" s="1311"/>
      <c r="AO52" s="1414"/>
      <c r="AP52" s="1311"/>
      <c r="AQ52" s="1311"/>
      <c r="AR52" s="1311"/>
      <c r="AS52" s="1311"/>
      <c r="AT52" s="1308"/>
      <c r="AU52" s="2666"/>
      <c r="AW52" s="436"/>
      <c r="AX52" s="436"/>
      <c r="AY52" s="436"/>
      <c r="AZ52" s="436"/>
      <c r="BA52" s="1073">
        <v>11</v>
      </c>
    </row>
    <row r="53" spans="1:53" ht="11.45" customHeight="1">
      <c r="A53" s="1281" t="s">
        <v>191</v>
      </c>
      <c r="B53" s="1281"/>
      <c r="C53" s="1281"/>
      <c r="D53" s="1281"/>
      <c r="E53" s="2643"/>
      <c r="F53" s="2643"/>
      <c r="G53" s="2643"/>
      <c r="H53" s="2643"/>
      <c r="I53" s="2645"/>
      <c r="J53" s="2645"/>
      <c r="K53" s="2644"/>
      <c r="L53" s="1282"/>
      <c r="P53" s="2646"/>
      <c r="Q53" s="2646"/>
      <c r="R53" s="293"/>
      <c r="S53" s="2700"/>
      <c r="T53" s="2697"/>
      <c r="U53" s="237"/>
      <c r="V53" s="1311"/>
      <c r="W53" s="1414"/>
      <c r="X53" s="1311"/>
      <c r="Y53" s="1311"/>
      <c r="Z53" s="1311"/>
      <c r="AA53" s="1311"/>
      <c r="AB53" s="2524"/>
      <c r="AC53" s="2695"/>
      <c r="AD53" s="2599"/>
      <c r="AE53" s="2687"/>
      <c r="AF53" s="2524"/>
      <c r="AG53" s="231"/>
      <c r="AH53" s="351"/>
      <c r="AI53" s="351" t="s">
        <v>457</v>
      </c>
      <c r="AJ53" s="1311"/>
      <c r="AK53" s="1311"/>
      <c r="AL53" s="1311"/>
      <c r="AM53" s="1311"/>
      <c r="AN53" s="1311"/>
      <c r="AO53" s="1414"/>
      <c r="AP53" s="1311"/>
      <c r="AQ53" s="1311"/>
      <c r="AR53" s="1311"/>
      <c r="AS53" s="1311"/>
      <c r="AT53" s="1308"/>
      <c r="AU53" s="2666"/>
      <c r="AW53" s="436"/>
      <c r="AX53" s="436"/>
      <c r="AY53" s="436"/>
      <c r="AZ53" s="436"/>
      <c r="BA53" s="1073">
        <v>11</v>
      </c>
    </row>
    <row r="54" spans="1:53" ht="11.45" customHeight="1">
      <c r="A54" s="1281" t="s">
        <v>191</v>
      </c>
      <c r="B54" s="1281" t="s">
        <v>192</v>
      </c>
      <c r="C54" s="1281" t="s">
        <v>193</v>
      </c>
      <c r="D54" s="1281" t="s">
        <v>194</v>
      </c>
      <c r="E54" s="2643"/>
      <c r="F54" s="2643"/>
      <c r="G54" s="2643"/>
      <c r="H54" s="2643"/>
      <c r="I54" s="2645"/>
      <c r="J54" s="2645"/>
      <c r="K54" s="2644"/>
      <c r="L54" s="1282"/>
      <c r="P54" s="2646"/>
      <c r="Q54" s="2646"/>
      <c r="R54" s="293"/>
      <c r="S54" s="2701"/>
      <c r="T54" s="2698"/>
      <c r="U54" s="237"/>
      <c r="V54" s="1311"/>
      <c r="W54" s="1312" t="str">
        <f>X51&amp;"-"&amp;Z51</f>
        <v>-</v>
      </c>
      <c r="X54" s="1311"/>
      <c r="Y54" s="1311"/>
      <c r="Z54" s="1311"/>
      <c r="AA54" s="1311"/>
      <c r="AB54" s="2524"/>
      <c r="AC54" s="249"/>
      <c r="AD54" s="251"/>
      <c r="AE54" s="351" t="s">
        <v>458</v>
      </c>
      <c r="AF54" s="1311"/>
      <c r="AG54" s="1311"/>
      <c r="AH54" s="1311"/>
      <c r="AI54" s="1311"/>
      <c r="AJ54" s="1311"/>
      <c r="AK54" s="1311"/>
      <c r="AL54" s="1311"/>
      <c r="AM54" s="1311"/>
      <c r="AN54" s="1311"/>
      <c r="AO54" s="1312" t="str">
        <f>AP51&amp;"-"&amp;AR51</f>
        <v>-</v>
      </c>
      <c r="AP54" s="1311"/>
      <c r="AQ54" s="1311"/>
      <c r="AR54" s="1311"/>
      <c r="AS54" s="1311"/>
      <c r="AT54" s="1267"/>
      <c r="AU54" s="2666"/>
      <c r="AW54" s="436"/>
      <c r="AX54" s="436" t="str">
        <f t="shared" ref="AX54:AX62" si="3">IF(T54="","",T54)</f>
        <v/>
      </c>
      <c r="AY54" s="436"/>
      <c r="AZ54" s="436"/>
      <c r="BA54" s="1073">
        <v>11</v>
      </c>
    </row>
    <row r="55" spans="1:53" ht="11.45" customHeight="1">
      <c r="A55" s="1281" t="s">
        <v>191</v>
      </c>
      <c r="B55" s="1281" t="s">
        <v>192</v>
      </c>
      <c r="C55" s="1281" t="s">
        <v>193</v>
      </c>
      <c r="D55" s="1281" t="s">
        <v>194</v>
      </c>
      <c r="E55" s="2643"/>
      <c r="F55" s="2643"/>
      <c r="G55" s="2643"/>
      <c r="H55" s="2643"/>
      <c r="I55" s="2645"/>
      <c r="J55" s="2644"/>
      <c r="K55" s="1281"/>
      <c r="L55" s="1282"/>
      <c r="P55" s="2646"/>
      <c r="Q55" s="2646"/>
      <c r="R55" s="292"/>
      <c r="S55" s="1196"/>
      <c r="T55" s="224" t="s">
        <v>459</v>
      </c>
      <c r="U55" s="303"/>
      <c r="V55" s="303"/>
      <c r="W55" s="303"/>
      <c r="X55" s="303"/>
      <c r="Y55" s="303"/>
      <c r="Z55" s="303"/>
      <c r="AA55" s="261"/>
      <c r="AB55" s="1423"/>
      <c r="AC55" s="303"/>
      <c r="AD55" s="303"/>
      <c r="AE55" s="303"/>
      <c r="AF55" s="303"/>
      <c r="AG55" s="303"/>
      <c r="AH55" s="303"/>
      <c r="AI55" s="303"/>
      <c r="AJ55" s="303"/>
      <c r="AK55" s="303"/>
      <c r="AL55" s="303"/>
      <c r="AM55" s="303"/>
      <c r="AN55" s="303"/>
      <c r="AO55" s="303"/>
      <c r="AP55" s="303"/>
      <c r="AQ55" s="303"/>
      <c r="AR55" s="303"/>
      <c r="AS55" s="303"/>
      <c r="AT55" s="261"/>
      <c r="AU55" s="2667"/>
      <c r="AW55" s="436"/>
      <c r="AX55" s="436" t="str">
        <f t="shared" si="3"/>
        <v>Добавить строку</v>
      </c>
      <c r="AY55" s="436"/>
      <c r="AZ55" s="436"/>
      <c r="BA55" s="1073">
        <v>11</v>
      </c>
    </row>
    <row r="56" spans="1:53" s="2407" customFormat="1" ht="1.1499999999999999" customHeight="1">
      <c r="A56" s="1261" t="s">
        <v>191</v>
      </c>
      <c r="B56" s="1261" t="s">
        <v>192</v>
      </c>
      <c r="C56" s="1261" t="s">
        <v>193</v>
      </c>
      <c r="D56" s="1261" t="s">
        <v>194</v>
      </c>
      <c r="E56" s="2643"/>
      <c r="F56" s="2643"/>
      <c r="G56" s="2643"/>
      <c r="H56" s="2643"/>
      <c r="I56" s="2644"/>
      <c r="J56" s="1261"/>
      <c r="K56" s="1261"/>
      <c r="L56" s="1264"/>
      <c r="M56" s="446"/>
      <c r="N56" s="446"/>
      <c r="O56" s="446"/>
      <c r="P56" s="2646"/>
      <c r="Q56" s="1249"/>
      <c r="R56" s="292"/>
      <c r="S56" s="1304"/>
      <c r="T56" s="1305" t="s">
        <v>403</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6"/>
      <c r="AX56" s="436" t="str">
        <f t="shared" si="3"/>
        <v>Добавить группу потребителей</v>
      </c>
      <c r="AY56" s="436"/>
      <c r="AZ56" s="436"/>
      <c r="BA56" s="447">
        <v>1</v>
      </c>
    </row>
    <row r="57" spans="1:53" s="2431" customFormat="1" ht="1.1499999999999999" customHeight="1">
      <c r="A57" s="1261" t="s">
        <v>191</v>
      </c>
      <c r="B57" s="1261" t="s">
        <v>192</v>
      </c>
      <c r="C57" s="1261" t="s">
        <v>193</v>
      </c>
      <c r="D57" s="1261" t="s">
        <v>194</v>
      </c>
      <c r="E57" s="2643"/>
      <c r="F57" s="2643"/>
      <c r="G57" s="2643"/>
      <c r="H57" s="2642"/>
      <c r="I57" s="1261"/>
      <c r="J57" s="1261"/>
      <c r="K57" s="1261"/>
      <c r="L57" s="1264"/>
      <c r="M57" s="1233"/>
      <c r="N57" s="1233"/>
      <c r="O57" s="454"/>
      <c r="P57" s="316"/>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7"/>
      <c r="AW57" s="436"/>
      <c r="AX57" s="436" t="str">
        <f t="shared" si="3"/>
        <v/>
      </c>
      <c r="AY57" s="436"/>
      <c r="AZ57" s="436"/>
      <c r="BA57" s="432">
        <v>1</v>
      </c>
    </row>
    <row r="58" spans="1:53" s="2407" customFormat="1" ht="1.1499999999999999" customHeight="1">
      <c r="A58" s="1261" t="s">
        <v>191</v>
      </c>
      <c r="B58" s="1261" t="s">
        <v>192</v>
      </c>
      <c r="C58" s="1261" t="s">
        <v>193</v>
      </c>
      <c r="D58" s="1232"/>
      <c r="E58" s="2643"/>
      <c r="F58" s="2643"/>
      <c r="G58" s="2642"/>
      <c r="H58" s="1232"/>
      <c r="I58" s="1232"/>
      <c r="J58" s="1232"/>
      <c r="K58" s="1232"/>
      <c r="L58" s="1257"/>
      <c r="M58" s="1233"/>
      <c r="N58" s="1233"/>
      <c r="P58" s="1234"/>
      <c r="Q58" s="1235"/>
      <c r="R58" s="1234"/>
      <c r="S58" s="1240"/>
      <c r="T58" s="1243" t="s">
        <v>405</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9"/>
      <c r="AX58" s="719" t="str">
        <f t="shared" si="3"/>
        <v>Добавить источник для дифференциации</v>
      </c>
      <c r="AY58" s="719"/>
      <c r="AZ58" s="719"/>
      <c r="BA58" s="454">
        <v>1</v>
      </c>
    </row>
    <row r="59" spans="1:53" s="2407" customFormat="1" ht="1.1499999999999999" customHeight="1">
      <c r="A59" s="1261" t="s">
        <v>191</v>
      </c>
      <c r="B59" s="1261" t="s">
        <v>192</v>
      </c>
      <c r="C59" s="1232"/>
      <c r="D59" s="1232"/>
      <c r="E59" s="2643"/>
      <c r="F59" s="2642"/>
      <c r="G59" s="1232"/>
      <c r="H59" s="1232"/>
      <c r="I59" s="1232"/>
      <c r="J59" s="1232"/>
      <c r="K59" s="1232"/>
      <c r="L59" s="1257"/>
      <c r="M59" s="1239"/>
      <c r="N59" s="1239"/>
      <c r="P59" s="1234"/>
      <c r="Q59" s="1235"/>
      <c r="R59" s="1234"/>
      <c r="S59" s="1240"/>
      <c r="T59" s="1243" t="s">
        <v>406</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9"/>
      <c r="AX59" s="719" t="str">
        <f t="shared" si="3"/>
        <v>Добавить централизованную систему для дифференциации</v>
      </c>
      <c r="AY59" s="719"/>
      <c r="AZ59" s="719"/>
      <c r="BA59" s="454">
        <v>1</v>
      </c>
    </row>
    <row r="60" spans="1:53" s="2407" customFormat="1" ht="1.1499999999999999" customHeight="1">
      <c r="A60" s="1261" t="s">
        <v>191</v>
      </c>
      <c r="B60" s="1261"/>
      <c r="C60" s="1261"/>
      <c r="D60" s="1261"/>
      <c r="E60" s="2643"/>
      <c r="F60" s="1261"/>
      <c r="G60" s="1261"/>
      <c r="H60" s="1261"/>
      <c r="I60" s="1261"/>
      <c r="J60" s="1261"/>
      <c r="K60" s="1261"/>
      <c r="L60" s="1264"/>
      <c r="M60" s="1239"/>
      <c r="N60" s="1239"/>
      <c r="O60" s="454"/>
      <c r="P60" s="316"/>
      <c r="Q60" s="1262"/>
      <c r="R60" s="316"/>
      <c r="S60" s="1240"/>
      <c r="T60" s="1243" t="s">
        <v>407</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6"/>
      <c r="AX60" s="436" t="str">
        <f t="shared" si="3"/>
        <v>Добавить территорию для дифференциации</v>
      </c>
      <c r="AY60" s="436"/>
      <c r="AZ60" s="436"/>
      <c r="BA60" s="447">
        <v>1</v>
      </c>
    </row>
    <row r="61" spans="1:53" s="2407" customFormat="1" ht="1.1499999999999999" customHeight="1">
      <c r="A61" s="1261" t="s">
        <v>191</v>
      </c>
      <c r="B61" s="1261"/>
      <c r="C61" s="1261"/>
      <c r="D61" s="1261"/>
      <c r="E61" s="2642"/>
      <c r="F61" s="1261"/>
      <c r="G61" s="1261"/>
      <c r="H61" s="1261"/>
      <c r="I61" s="1261"/>
      <c r="J61" s="1261"/>
      <c r="K61" s="1261"/>
      <c r="L61" s="1264"/>
      <c r="M61" s="1239"/>
      <c r="N61" s="1239"/>
      <c r="O61" s="454"/>
      <c r="P61" s="316"/>
      <c r="Q61" s="1262"/>
      <c r="R61" s="316"/>
      <c r="S61" s="1240"/>
      <c r="T61" s="1243" t="s">
        <v>407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6"/>
      <c r="AX61" s="436" t="str">
        <f t="shared" si="3"/>
        <v>Добавить территорию для дифференциации</v>
      </c>
      <c r="AY61" s="436"/>
      <c r="AZ61" s="436"/>
      <c r="BA61" s="447">
        <v>1</v>
      </c>
    </row>
    <row r="62" spans="1:53" s="2407"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439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9"/>
      <c r="AX62" s="719" t="str">
        <f t="shared" si="3"/>
        <v>Добавить наименование тарифа</v>
      </c>
      <c r="AY62" s="719"/>
      <c r="AZ62" s="719"/>
      <c r="BA62" s="454">
        <v>1</v>
      </c>
    </row>
    <row r="63" spans="1:53" ht="11.45" customHeight="1">
      <c r="M63" s="1078"/>
      <c r="N63" s="1078"/>
      <c r="O63" s="473"/>
      <c r="P63" s="1078"/>
      <c r="Q63" s="1078"/>
      <c r="R63" s="1073"/>
      <c r="S63" s="1073"/>
      <c r="AV63" s="1073"/>
      <c r="AW63" s="1073"/>
      <c r="AX63" s="1073"/>
      <c r="AY63" s="1073"/>
      <c r="AZ63" s="1073"/>
      <c r="BA63" s="1073">
        <v>11</v>
      </c>
    </row>
    <row r="64" spans="1:53" ht="19.899999999999999" customHeight="1">
      <c r="O64" s="473"/>
      <c r="S64" s="1171"/>
      <c r="T64" s="2641"/>
      <c r="U64" s="2641"/>
      <c r="V64" s="2641"/>
      <c r="W64" s="2641"/>
      <c r="X64" s="2641"/>
      <c r="Y64" s="2641"/>
      <c r="Z64" s="2641"/>
      <c r="AA64" s="2641"/>
      <c r="AB64" s="2641"/>
      <c r="AC64" s="2641"/>
      <c r="AD64" s="2641"/>
      <c r="AE64" s="2641"/>
      <c r="AF64" s="2641"/>
      <c r="AG64" s="2641"/>
      <c r="AH64" s="2641"/>
      <c r="AI64" s="2641"/>
      <c r="AJ64" s="2641"/>
      <c r="AK64" s="2641"/>
      <c r="AL64" s="2641"/>
      <c r="AM64" s="2641"/>
      <c r="AN64" s="2641"/>
      <c r="AO64" s="2641"/>
      <c r="AP64" s="2641"/>
      <c r="AQ64" s="2641"/>
      <c r="AR64" s="2641"/>
      <c r="AS64" s="2641"/>
      <c r="AT64" s="2641"/>
      <c r="AU64" s="2641"/>
      <c r="BA64" s="1073">
        <v>19</v>
      </c>
    </row>
    <row r="65" spans="1:53" ht="21" customHeight="1">
      <c r="O65" s="473"/>
      <c r="T65" s="2641"/>
      <c r="U65" s="2641"/>
      <c r="V65" s="2641"/>
      <c r="W65" s="2641"/>
      <c r="X65" s="2641"/>
      <c r="Y65" s="2641"/>
      <c r="Z65" s="2641"/>
      <c r="AA65" s="2641"/>
      <c r="AB65" s="2641"/>
      <c r="AC65" s="2641"/>
      <c r="AD65" s="2641"/>
      <c r="AE65" s="2641"/>
      <c r="AF65" s="2641"/>
      <c r="AG65" s="2641"/>
      <c r="AH65" s="2641"/>
      <c r="AI65" s="2641"/>
      <c r="AJ65" s="2641"/>
      <c r="AK65" s="2641"/>
      <c r="AL65" s="2641"/>
      <c r="AM65" s="2641"/>
      <c r="AN65" s="2641"/>
      <c r="AO65" s="2641"/>
      <c r="AP65" s="2641"/>
      <c r="AQ65" s="2641"/>
      <c r="AR65" s="2641"/>
      <c r="AS65" s="2641"/>
      <c r="AT65" s="2641"/>
      <c r="AU65" s="2641"/>
      <c r="BA65" s="1073">
        <v>20</v>
      </c>
    </row>
    <row r="66" spans="1:53" ht="14.65" customHeight="1">
      <c r="O66" s="47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3"/>
      <c r="T67" s="2641"/>
      <c r="U67" s="2641"/>
      <c r="V67" s="2641"/>
      <c r="W67" s="2641"/>
      <c r="X67" s="2641"/>
      <c r="Y67" s="2641"/>
      <c r="Z67" s="2641"/>
      <c r="AA67" s="2641"/>
      <c r="AB67" s="2641"/>
      <c r="AC67" s="2641"/>
      <c r="AD67" s="2641"/>
      <c r="AE67" s="2641"/>
      <c r="AF67" s="2641"/>
      <c r="AG67" s="2641"/>
      <c r="AH67" s="2641"/>
      <c r="AI67" s="2641"/>
      <c r="AJ67" s="2641"/>
      <c r="AK67" s="2641"/>
      <c r="AL67" s="2641"/>
      <c r="AM67" s="2641"/>
      <c r="AN67" s="2641"/>
      <c r="AO67" s="2641"/>
      <c r="AP67" s="2641"/>
      <c r="AQ67" s="2641"/>
      <c r="AR67" s="2641"/>
      <c r="AS67" s="2641"/>
      <c r="AT67" s="2641"/>
      <c r="AU67" s="2641"/>
      <c r="BA67" s="1073">
        <v>19</v>
      </c>
    </row>
    <row r="68" spans="1:53" ht="16.899999999999999" customHeight="1">
      <c r="O68" s="473"/>
      <c r="T68" s="2641"/>
      <c r="U68" s="2641"/>
      <c r="V68" s="2641"/>
      <c r="W68" s="2641"/>
      <c r="X68" s="2641"/>
      <c r="Y68" s="2641"/>
      <c r="Z68" s="2641"/>
      <c r="AA68" s="2641"/>
      <c r="AB68" s="2641"/>
      <c r="AC68" s="2641"/>
      <c r="AD68" s="2641"/>
      <c r="AE68" s="2641"/>
      <c r="AF68" s="2641"/>
      <c r="AG68" s="2641"/>
      <c r="AH68" s="2641"/>
      <c r="AI68" s="2641"/>
      <c r="AJ68" s="2641"/>
      <c r="AK68" s="2641"/>
      <c r="AL68" s="2641"/>
      <c r="AM68" s="2641"/>
      <c r="AN68" s="2641"/>
      <c r="AO68" s="2641"/>
      <c r="AP68" s="2641"/>
      <c r="AQ68" s="2641"/>
      <c r="AR68" s="2641"/>
      <c r="AS68" s="2641"/>
      <c r="AT68" s="2641"/>
      <c r="AU68" s="2641"/>
      <c r="BA68" s="1073">
        <v>16</v>
      </c>
    </row>
    <row r="69" spans="1:53" ht="14.65" customHeight="1">
      <c r="O69" s="473"/>
      <c r="BA69" s="1073">
        <v>14</v>
      </c>
    </row>
    <row r="70" spans="1:53" ht="22.5" hidden="1" customHeight="1">
      <c r="A70" s="1078" t="s">
        <v>78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1">
        <v>3</v>
      </c>
      <c r="S70" s="517">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7">
        <v>10</v>
      </c>
      <c r="AW70" s="447">
        <v>10</v>
      </c>
      <c r="AX70" s="447">
        <v>10</v>
      </c>
      <c r="AY70" s="447">
        <v>10</v>
      </c>
      <c r="AZ70" s="447">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4.140625" style="2406" hidden="1" customWidth="1"/>
    <col min="10" max="10" width="9.85546875" style="2406" hidden="1" customWidth="1"/>
    <col min="11" max="11" width="14.7109375" style="2406" hidden="1" customWidth="1"/>
    <col min="12" max="12" width="19.140625" style="2432" hidden="1" customWidth="1"/>
    <col min="13" max="14" width="12.28515625" style="2433" hidden="1" customWidth="1"/>
    <col min="15" max="15" width="23.42578125" style="2433" hidden="1" customWidth="1"/>
    <col min="16" max="16" width="3" style="2434" customWidth="1"/>
    <col min="17" max="18" width="3" style="2435" customWidth="1"/>
    <col min="19" max="19" width="12" style="2436" customWidth="1"/>
    <col min="20" max="20" width="35" style="2400" customWidth="1"/>
    <col min="21" max="21" width="0.140625" style="2400" customWidth="1"/>
    <col min="22" max="24" width="24.7109375" style="2400" hidden="1" customWidth="1"/>
    <col min="25" max="25" width="11.7109375" style="2400" hidden="1" customWidth="1"/>
    <col min="26" max="26" width="3.7109375" style="2400" hidden="1" customWidth="1"/>
    <col min="27" max="27" width="11.7109375" style="2400" hidden="1" customWidth="1"/>
    <col min="28" max="28" width="8.5703125" style="2400" hidden="1" customWidth="1"/>
    <col min="29" max="29" width="24.7109375" style="2400" customWidth="1"/>
    <col min="30" max="31" width="24" style="2400" customWidth="1"/>
    <col min="32" max="32" width="11" style="2400" customWidth="1"/>
    <col min="33" max="33" width="3.7109375" style="2400" customWidth="1"/>
    <col min="34" max="34" width="11" style="2400" customWidth="1"/>
    <col min="35" max="35" width="8.5703125" style="2400" hidden="1" customWidth="1"/>
    <col min="36" max="36" width="4" style="2400" customWidth="1"/>
    <col min="37" max="37" width="115" style="2400" customWidth="1"/>
    <col min="38" max="42" width="10" style="2407" customWidth="1"/>
    <col min="43" max="43" width="10.5703125" style="2400" hidden="1"/>
  </cols>
  <sheetData>
    <row r="1" spans="1:43" ht="22.5" hidden="1" customHeight="1">
      <c r="X1" s="264"/>
      <c r="Y1" s="264"/>
      <c r="AE1" s="264"/>
      <c r="AF1" s="264"/>
      <c r="AQ1" s="1073" t="s">
        <v>14</v>
      </c>
    </row>
    <row r="2" spans="1:43" ht="23.25" hidden="1" customHeight="1">
      <c r="A2" s="1281"/>
      <c r="B2" s="1281"/>
      <c r="C2" s="1281"/>
      <c r="D2" s="1281"/>
      <c r="E2" s="2642">
        <v>1</v>
      </c>
      <c r="F2" s="1281"/>
      <c r="G2" s="1281"/>
      <c r="H2" s="1281"/>
      <c r="I2" s="1281"/>
      <c r="J2" s="1281"/>
      <c r="K2" s="1281"/>
      <c r="L2" s="1282"/>
      <c r="M2" s="1283"/>
      <c r="N2" s="1283"/>
      <c r="O2" s="1283"/>
      <c r="P2" s="297"/>
      <c r="Q2" s="296"/>
      <c r="R2" s="291"/>
      <c r="S2" s="1343" t="e">
        <f>INDEX(PT_DIFFERENTIATION_NUM_NTAR,MATCH(A2,PT_DIFFERENTIATION_NTAR_ID,0))</f>
        <v>#N/A</v>
      </c>
      <c r="T2" s="235" t="s">
        <v>116</v>
      </c>
      <c r="U2" s="237"/>
      <c r="V2" s="2636"/>
      <c r="W2" s="2637"/>
      <c r="X2" s="2637"/>
      <c r="Y2" s="2637"/>
      <c r="Z2" s="2637"/>
      <c r="AA2" s="2637"/>
      <c r="AB2" s="2638"/>
      <c r="AC2" s="2636" t="e">
        <f>INDEX(PT_DIFFERENTIATION_NTAR,MATCH(A2,PT_DIFFERENTIATION_NTAR_ID,0))</f>
        <v>#N/A</v>
      </c>
      <c r="AD2" s="2637"/>
      <c r="AE2" s="2637"/>
      <c r="AF2" s="2637"/>
      <c r="AG2" s="2637"/>
      <c r="AH2" s="2637"/>
      <c r="AI2" s="2637"/>
      <c r="AJ2" s="263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643"/>
      <c r="F3" s="2642">
        <v>1</v>
      </c>
      <c r="G3" s="1281"/>
      <c r="H3" s="1281"/>
      <c r="I3" s="1281"/>
      <c r="J3" s="1281"/>
      <c r="K3" s="1281"/>
      <c r="L3" s="1282"/>
      <c r="M3" s="1283"/>
      <c r="N3" s="1283"/>
      <c r="O3" s="1283"/>
      <c r="P3" s="1341"/>
      <c r="Q3" s="288"/>
      <c r="R3" s="289"/>
      <c r="S3" s="1343" t="e">
        <f>INDEX(PT_DIFFERENTIATION_NUM_TER,MATCH(B3,PT_DIFFERENTIATION_TER_ID,0))</f>
        <v>#N/A</v>
      </c>
      <c r="T3" s="245" t="s">
        <v>388</v>
      </c>
      <c r="U3" s="237"/>
      <c r="V3" s="2636"/>
      <c r="W3" s="2637"/>
      <c r="X3" s="2637"/>
      <c r="Y3" s="2637"/>
      <c r="Z3" s="2637"/>
      <c r="AA3" s="2637"/>
      <c r="AB3" s="2638"/>
      <c r="AC3" s="2636" t="e">
        <f>INDEX(PT_DIFFERENTIATION_TER,MATCH(B3,PT_DIFFERENTIATION_TER_ID,0))</f>
        <v>#N/A</v>
      </c>
      <c r="AD3" s="2637"/>
      <c r="AE3" s="2637"/>
      <c r="AF3" s="2637"/>
      <c r="AG3" s="2637"/>
      <c r="AH3" s="2637"/>
      <c r="AI3" s="2637"/>
      <c r="AJ3" s="2638"/>
      <c r="AK3" s="1176" t="s">
        <v>389</v>
      </c>
      <c r="AM3" s="436"/>
      <c r="AN3" s="436" t="str">
        <f t="shared" si="0"/>
        <v>Территория действия тарифа</v>
      </c>
      <c r="AO3" s="436"/>
      <c r="AP3" s="436"/>
      <c r="AQ3" s="1073">
        <v>0</v>
      </c>
    </row>
    <row r="4" spans="1:43" ht="23.25" hidden="1" customHeight="1">
      <c r="A4" s="1281"/>
      <c r="B4" s="1281"/>
      <c r="C4" s="1281"/>
      <c r="D4" s="1281"/>
      <c r="E4" s="2643"/>
      <c r="F4" s="2643"/>
      <c r="G4" s="2642">
        <v>1</v>
      </c>
      <c r="H4" s="1281"/>
      <c r="I4" s="1281"/>
      <c r="J4" s="1281"/>
      <c r="K4" s="1281"/>
      <c r="L4" s="1282"/>
      <c r="M4" s="1283"/>
      <c r="N4" s="1283"/>
      <c r="O4" s="1283"/>
      <c r="P4" s="290"/>
      <c r="Q4" s="288"/>
      <c r="R4" s="289"/>
      <c r="S4" s="1343" t="e">
        <f>INDEX(PT_DIFFERENTIATION_NUM_CS,MATCH(C4,PT_DIFFERENTIATION_CS_ID,0))</f>
        <v>#N/A</v>
      </c>
      <c r="T4" s="246" t="s">
        <v>472</v>
      </c>
      <c r="U4" s="237"/>
      <c r="V4" s="2636"/>
      <c r="W4" s="2637"/>
      <c r="X4" s="2637"/>
      <c r="Y4" s="2637"/>
      <c r="Z4" s="2637"/>
      <c r="AA4" s="2637"/>
      <c r="AB4" s="2638"/>
      <c r="AC4" s="2636" t="e">
        <f>INDEX(PT_DIFFERENTIATION_CS,MATCH(C4,PT_DIFFERENTIATION_CS_ID,0))</f>
        <v>#N/A</v>
      </c>
      <c r="AD4" s="2637"/>
      <c r="AE4" s="2637"/>
      <c r="AF4" s="2637"/>
      <c r="AG4" s="2637"/>
      <c r="AH4" s="2637"/>
      <c r="AI4" s="2637"/>
      <c r="AJ4" s="2638"/>
      <c r="AK4" s="1176" t="s">
        <v>473</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643"/>
      <c r="F5" s="2643"/>
      <c r="G5" s="2643"/>
      <c r="H5" s="2643"/>
      <c r="I5" s="2644" t="e">
        <f>S4&amp;".1"</f>
        <v>#N/A</v>
      </c>
      <c r="J5" s="1281"/>
      <c r="K5" s="1281"/>
      <c r="L5" s="1282"/>
      <c r="P5" s="2646">
        <v>1</v>
      </c>
      <c r="Q5" s="1340"/>
      <c r="R5" s="292"/>
      <c r="S5" s="1343" t="e">
        <f>$I5</f>
        <v>#N/A</v>
      </c>
      <c r="T5" s="222" t="s">
        <v>474</v>
      </c>
      <c r="U5" s="237"/>
      <c r="V5" s="2710"/>
      <c r="W5" s="2711"/>
      <c r="X5" s="2711"/>
      <c r="Y5" s="2711"/>
      <c r="Z5" s="2711"/>
      <c r="AA5" s="2711"/>
      <c r="AB5" s="2712"/>
      <c r="AC5" s="2713"/>
      <c r="AD5" s="2714"/>
      <c r="AE5" s="2714"/>
      <c r="AF5" s="2714"/>
      <c r="AG5" s="2714"/>
      <c r="AH5" s="2714"/>
      <c r="AI5" s="2714"/>
      <c r="AJ5" s="2715"/>
      <c r="AK5" s="1176" t="s">
        <v>475</v>
      </c>
      <c r="AM5" s="436"/>
      <c r="AN5" s="436" t="str">
        <f t="shared" si="0"/>
        <v>Наименование признака дифференциации</v>
      </c>
      <c r="AO5" s="436"/>
      <c r="AP5" s="436"/>
      <c r="AQ5" s="1073">
        <v>0</v>
      </c>
    </row>
    <row r="6" spans="1:43" ht="23.25" hidden="1" customHeight="1">
      <c r="A6" s="1281"/>
      <c r="B6" s="1281"/>
      <c r="C6" s="1281"/>
      <c r="D6" s="1281"/>
      <c r="E6" s="2643"/>
      <c r="F6" s="2643"/>
      <c r="G6" s="2643"/>
      <c r="H6" s="2643"/>
      <c r="I6" s="2645"/>
      <c r="J6" s="2644" t="e">
        <f>I5&amp;".1"</f>
        <v>#N/A</v>
      </c>
      <c r="K6" s="1281"/>
      <c r="L6" s="1282" t="s">
        <v>397</v>
      </c>
      <c r="P6" s="2646"/>
      <c r="Q6" s="2646">
        <v>1</v>
      </c>
      <c r="R6" s="293"/>
      <c r="S6" s="1343" t="e">
        <f>$J6</f>
        <v>#N/A</v>
      </c>
      <c r="T6" s="223" t="s">
        <v>398</v>
      </c>
      <c r="U6" s="237"/>
      <c r="V6" s="2630"/>
      <c r="W6" s="2631"/>
      <c r="X6" s="2631"/>
      <c r="Y6" s="2631"/>
      <c r="Z6" s="2631"/>
      <c r="AA6" s="2631"/>
      <c r="AB6" s="2632"/>
      <c r="AC6" s="2630"/>
      <c r="AD6" s="2631"/>
      <c r="AE6" s="2631"/>
      <c r="AF6" s="2631"/>
      <c r="AG6" s="2631"/>
      <c r="AH6" s="2631"/>
      <c r="AI6" s="2631"/>
      <c r="AJ6" s="2632"/>
      <c r="AK6" s="1225" t="s">
        <v>476</v>
      </c>
      <c r="AM6" s="436"/>
      <c r="AN6" s="436" t="str">
        <f t="shared" si="0"/>
        <v>Группа потребителей</v>
      </c>
      <c r="AO6" s="436"/>
      <c r="AP6" s="436"/>
      <c r="AQ6" s="1073">
        <v>0</v>
      </c>
    </row>
    <row r="7" spans="1:43" ht="23.25" hidden="1" customHeight="1">
      <c r="A7" s="1281"/>
      <c r="B7" s="1281"/>
      <c r="C7" s="1281"/>
      <c r="D7" s="1281"/>
      <c r="E7" s="2643"/>
      <c r="F7" s="2643"/>
      <c r="G7" s="2643"/>
      <c r="H7" s="2643"/>
      <c r="I7" s="2645"/>
      <c r="J7" s="2645"/>
      <c r="K7" s="2644" t="e">
        <f>J6&amp;".1"</f>
        <v>#N/A</v>
      </c>
      <c r="L7" s="1282"/>
      <c r="P7" s="2646"/>
      <c r="Q7" s="2646"/>
      <c r="R7" s="293">
        <v>1</v>
      </c>
      <c r="S7" s="1343" t="e">
        <f>$K7</f>
        <v>#N/A</v>
      </c>
      <c r="T7" s="1355"/>
      <c r="U7" s="237"/>
      <c r="V7" s="687"/>
      <c r="W7" s="687"/>
      <c r="X7" s="1175"/>
      <c r="Y7" s="2647"/>
      <c r="Z7" s="2524" t="s">
        <v>65</v>
      </c>
      <c r="AA7" s="2647"/>
      <c r="AB7" s="2524" t="s">
        <v>65</v>
      </c>
      <c r="AC7" s="687"/>
      <c r="AD7" s="687"/>
      <c r="AE7" s="1175"/>
      <c r="AF7" s="2647"/>
      <c r="AG7" s="2524" t="s">
        <v>65</v>
      </c>
      <c r="AH7" s="2649"/>
      <c r="AI7" s="2524" t="s">
        <v>65</v>
      </c>
      <c r="AJ7" s="1356"/>
      <c r="AK7"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643"/>
      <c r="F8" s="2643"/>
      <c r="G8" s="2643"/>
      <c r="H8" s="2643"/>
      <c r="I8" s="2645"/>
      <c r="J8" s="2645"/>
      <c r="K8" s="2644"/>
      <c r="L8" s="1282"/>
      <c r="P8" s="2646"/>
      <c r="Q8" s="2646"/>
      <c r="R8" s="293"/>
      <c r="S8" s="1342"/>
      <c r="T8" s="237"/>
      <c r="U8" s="237"/>
      <c r="V8" s="262"/>
      <c r="W8" s="262"/>
      <c r="X8" s="265" t="str">
        <f>Y7&amp;"-"&amp;AA7</f>
        <v>-</v>
      </c>
      <c r="Y8" s="2648"/>
      <c r="Z8" s="2524"/>
      <c r="AA8" s="2648"/>
      <c r="AB8" s="2524"/>
      <c r="AC8" s="262"/>
      <c r="AD8" s="262"/>
      <c r="AE8" s="265" t="str">
        <f>AF7&amp;"-"&amp;AH7</f>
        <v>-</v>
      </c>
      <c r="AF8" s="2648"/>
      <c r="AG8" s="2524"/>
      <c r="AH8" s="2650"/>
      <c r="AI8" s="2524"/>
      <c r="AJ8" s="1357"/>
      <c r="AK8" s="2716"/>
      <c r="AM8" s="436"/>
      <c r="AN8" s="436" t="str">
        <f t="shared" si="0"/>
        <v/>
      </c>
      <c r="AO8" s="436"/>
      <c r="AP8" s="436"/>
      <c r="AQ8" s="1073">
        <v>0</v>
      </c>
    </row>
    <row r="9" spans="1:43" ht="21" hidden="1" customHeight="1">
      <c r="A9" s="1281"/>
      <c r="B9" s="1281"/>
      <c r="C9" s="1281"/>
      <c r="D9" s="1281"/>
      <c r="E9" s="2643"/>
      <c r="F9" s="2643"/>
      <c r="G9" s="2643"/>
      <c r="H9" s="2643"/>
      <c r="I9" s="2645"/>
      <c r="J9" s="2644"/>
      <c r="K9" s="1281"/>
      <c r="L9" s="1282"/>
      <c r="P9" s="2646"/>
      <c r="Q9" s="2646"/>
      <c r="R9" s="292"/>
      <c r="S9" s="1196"/>
      <c r="T9" s="224" t="s">
        <v>477</v>
      </c>
      <c r="U9" s="303"/>
      <c r="V9" s="303"/>
      <c r="W9" s="303"/>
      <c r="X9" s="303"/>
      <c r="Y9" s="303"/>
      <c r="Z9" s="303"/>
      <c r="AA9" s="303"/>
      <c r="AB9" s="303"/>
      <c r="AC9" s="303"/>
      <c r="AD9" s="303"/>
      <c r="AE9" s="303"/>
      <c r="AF9" s="303"/>
      <c r="AG9" s="303"/>
      <c r="AH9" s="303"/>
      <c r="AI9" s="303"/>
      <c r="AJ9" s="303"/>
      <c r="AK9" s="1176" t="s">
        <v>478</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643"/>
      <c r="F10" s="2643"/>
      <c r="G10" s="2643"/>
      <c r="H10" s="2643"/>
      <c r="I10" s="2644"/>
      <c r="J10" s="1281"/>
      <c r="K10" s="1281"/>
      <c r="L10" s="1282"/>
      <c r="P10" s="2646"/>
      <c r="Q10" s="1340"/>
      <c r="R10" s="292"/>
      <c r="S10" s="1196"/>
      <c r="T10" s="301" t="s">
        <v>403</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14.25" hidden="1" customHeight="1">
      <c r="A11" s="1281"/>
      <c r="B11" s="1281"/>
      <c r="C11" s="1281"/>
      <c r="D11" s="1281"/>
      <c r="E11" s="2643"/>
      <c r="F11" s="2643"/>
      <c r="G11" s="2643"/>
      <c r="H11" s="2642"/>
      <c r="I11" s="1281"/>
      <c r="J11" s="1281"/>
      <c r="K11" s="1281"/>
      <c r="L11" s="1282"/>
      <c r="M11" s="1283"/>
      <c r="N11" s="1283"/>
      <c r="O11" s="473"/>
      <c r="P11" s="296"/>
      <c r="Q11" s="311"/>
      <c r="R11" s="291"/>
      <c r="S11" s="1196"/>
      <c r="T11" s="308" t="s">
        <v>479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7" customFormat="1" ht="14.25" hidden="1" customHeight="1">
      <c r="A12" s="1261"/>
      <c r="B12" s="1261"/>
      <c r="C12" s="1232"/>
      <c r="D12" s="1232"/>
      <c r="E12" s="2643"/>
      <c r="F12" s="2642"/>
      <c r="G12" s="1232"/>
      <c r="H12" s="1232"/>
      <c r="I12" s="1232"/>
      <c r="J12" s="1232"/>
      <c r="K12" s="1232"/>
      <c r="L12" s="1344"/>
      <c r="M12" s="1239"/>
      <c r="N12" s="1239"/>
      <c r="P12" s="1234"/>
      <c r="Q12" s="1235"/>
      <c r="R12" s="1234"/>
      <c r="S12" s="1240"/>
      <c r="T12" s="1243" t="s">
        <v>406</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7" customFormat="1" ht="14.25" hidden="1" customHeight="1">
      <c r="A13" s="1261"/>
      <c r="B13" s="1261"/>
      <c r="C13" s="1261"/>
      <c r="D13" s="1261"/>
      <c r="E13" s="2642"/>
      <c r="F13" s="1261"/>
      <c r="G13" s="1261"/>
      <c r="H13" s="1261"/>
      <c r="I13" s="1261"/>
      <c r="J13" s="1261"/>
      <c r="K13" s="1261"/>
      <c r="L13" s="1264"/>
      <c r="M13" s="1239"/>
      <c r="N13" s="1239"/>
      <c r="O13" s="454"/>
      <c r="P13" s="316"/>
      <c r="Q13" s="1262"/>
      <c r="R13" s="316"/>
      <c r="S13" s="1240"/>
      <c r="T13" s="1243" t="s">
        <v>407</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640"/>
      <c r="AG15" s="2639" t="s">
        <v>65</v>
      </c>
      <c r="AH15" s="2640"/>
      <c r="AI15" s="2639" t="s">
        <v>65</v>
      </c>
      <c r="AQ15" s="1073">
        <v>0</v>
      </c>
    </row>
    <row r="16" spans="1:43" ht="14.25" hidden="1" customHeight="1">
      <c r="AC16" s="1278"/>
      <c r="AD16" s="1278"/>
      <c r="AE16" s="265" t="str">
        <f>AF15&amp;"-"&amp;AH15</f>
        <v>-</v>
      </c>
      <c r="AF16" s="2639"/>
      <c r="AG16" s="2639"/>
      <c r="AH16" s="2639"/>
      <c r="AI16" s="2639"/>
      <c r="AQ16" s="1073">
        <v>0</v>
      </c>
    </row>
    <row r="17" spans="1:43" ht="14.25" hidden="1" customHeight="1">
      <c r="AI17" s="264"/>
      <c r="AQ17" s="1073">
        <v>0</v>
      </c>
    </row>
    <row r="18" spans="1:43" s="2406" customFormat="1" ht="22.5" hidden="1" customHeight="1">
      <c r="L18" s="1339"/>
      <c r="M18" s="1280"/>
      <c r="N18" s="1280"/>
      <c r="O18" s="1285" t="s">
        <v>408</v>
      </c>
      <c r="P18" s="1280"/>
      <c r="Q18" s="1289"/>
      <c r="R18" s="1289"/>
      <c r="S18" s="665"/>
      <c r="Y18" s="1285"/>
      <c r="AA18" s="1285"/>
      <c r="AB18" s="1284"/>
      <c r="AF18" s="1285"/>
      <c r="AH18" s="1285"/>
      <c r="AI18" s="1284"/>
      <c r="AL18" s="447"/>
      <c r="AM18" s="447"/>
      <c r="AN18" s="447"/>
      <c r="AO18" s="447"/>
      <c r="AP18" s="447"/>
      <c r="AQ18" s="1078">
        <v>0</v>
      </c>
    </row>
    <row r="19" spans="1:43" s="2406" customFormat="1" ht="14.25" hidden="1" customHeight="1">
      <c r="L19" s="1339"/>
      <c r="M19" s="1280"/>
      <c r="N19" s="1280"/>
      <c r="O19" s="1280"/>
      <c r="P19" s="1280"/>
      <c r="Q19" s="1289"/>
      <c r="R19" s="1289"/>
      <c r="S19" s="665"/>
      <c r="AB19" s="1284"/>
      <c r="AI19" s="1284"/>
      <c r="AL19" s="447"/>
      <c r="AM19" s="447"/>
      <c r="AN19" s="447"/>
      <c r="AO19" s="447"/>
      <c r="AP19" s="447"/>
      <c r="AQ19" s="1078">
        <v>0</v>
      </c>
    </row>
    <row r="20" spans="1:43" s="2406" customFormat="1" ht="12" hidden="1" customHeight="1">
      <c r="L20" s="1339"/>
      <c r="M20" s="1280"/>
      <c r="N20" s="1280"/>
      <c r="O20" s="1282" t="s">
        <v>409</v>
      </c>
      <c r="P20" s="1280"/>
      <c r="Q20" s="1360"/>
      <c r="R20" s="1360"/>
      <c r="S20" s="665"/>
      <c r="T20" s="1078" t="s">
        <v>410</v>
      </c>
      <c r="Z20" s="123" t="s">
        <v>411</v>
      </c>
      <c r="AB20" s="123" t="s">
        <v>412</v>
      </c>
      <c r="AC20" s="1078" t="s">
        <v>410</v>
      </c>
      <c r="AG20" s="123" t="s">
        <v>413</v>
      </c>
      <c r="AI20" s="123" t="s">
        <v>412</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6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3"/>
      <c r="U24" s="2623"/>
      <c r="V24" s="2623"/>
      <c r="W24" s="2623"/>
      <c r="X24" s="2623"/>
      <c r="Y24" s="2623"/>
      <c r="Z24" s="2623"/>
      <c r="AA24" s="2623"/>
      <c r="AB24" s="2623"/>
      <c r="AC24" s="2623"/>
      <c r="AD24" s="2623"/>
      <c r="AE24" s="2623"/>
      <c r="AF24" s="2623"/>
      <c r="AG24" s="2623"/>
      <c r="AH24" s="2623"/>
      <c r="AI24" s="1161"/>
      <c r="AQ24" s="1073">
        <v>14</v>
      </c>
    </row>
    <row r="25" spans="1:43" ht="14.65" customHeight="1">
      <c r="Q25" s="312"/>
      <c r="R25" s="312"/>
      <c r="S25" s="2595" t="str">
        <f>IF(org=0,"Не определено",org)</f>
        <v>ПАО "ТГК-1" (филиал "Кольский")</v>
      </c>
      <c r="T25" s="2595"/>
      <c r="U25" s="2595"/>
      <c r="V25" s="2595"/>
      <c r="W25" s="2595"/>
      <c r="X25" s="2595"/>
      <c r="Y25" s="2595"/>
      <c r="Z25" s="2595"/>
      <c r="AA25" s="2595"/>
      <c r="AB25" s="2595"/>
      <c r="AC25" s="2595"/>
      <c r="AD25" s="2595"/>
      <c r="AE25" s="2595"/>
      <c r="AF25" s="2595"/>
      <c r="AG25" s="2595"/>
      <c r="AH25" s="2595"/>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6" customFormat="1" ht="25.5" hidden="1" customHeight="1">
      <c r="A27" s="1286"/>
      <c r="B27" s="1286"/>
      <c r="C27" s="1286"/>
      <c r="D27" s="1286"/>
      <c r="E27" s="1286"/>
      <c r="F27" s="1286"/>
      <c r="G27" s="1286"/>
      <c r="H27" s="1286"/>
      <c r="I27" s="1286"/>
      <c r="J27" s="1286"/>
      <c r="K27" s="1286"/>
      <c r="L27" s="1287"/>
      <c r="M27" s="1286"/>
      <c r="N27" s="1286"/>
      <c r="O27" s="1286"/>
      <c r="S27" s="2633" t="s">
        <v>41</v>
      </c>
      <c r="T27" s="2633"/>
      <c r="U27" s="1290"/>
      <c r="V27" s="2635" t="str">
        <f>IF(TITLE_NAME_OR_PR_CHANGE="",IF(TITLE_NAME_OR_PR="","",TITLE_NAME_OR_PR),TITLE_NAME_OR_PR_CHANGE)</f>
        <v/>
      </c>
      <c r="W27" s="2635"/>
      <c r="X27" s="2635"/>
      <c r="Y27" s="2635"/>
      <c r="Z27" s="2635"/>
      <c r="AA27" s="2635"/>
      <c r="AB27" s="263"/>
      <c r="AC27" s="2635" t="str">
        <f>IF(TITLE_NAME_OR_PR_CHANGE="",IF(TITLE_NAME_OR_PR="","",TITLE_NAME_OR_PR),TITLE_NAME_OR_PR_CHANGE)</f>
        <v/>
      </c>
      <c r="AD27" s="2635"/>
      <c r="AE27" s="2635"/>
      <c r="AF27" s="2635"/>
      <c r="AG27" s="2635"/>
      <c r="AH27" s="2635"/>
      <c r="AI27" s="263"/>
      <c r="AJ27" s="263"/>
      <c r="AK27" s="217"/>
      <c r="AL27" s="304"/>
      <c r="AM27" s="304"/>
      <c r="AN27" s="304"/>
      <c r="AO27" s="304"/>
      <c r="AP27" s="304"/>
      <c r="AQ27" s="354">
        <v>0</v>
      </c>
    </row>
    <row r="28" spans="1:43" s="2416" customFormat="1" ht="18.75" hidden="1" customHeight="1">
      <c r="A28" s="1286"/>
      <c r="B28" s="1286"/>
      <c r="C28" s="1286"/>
      <c r="D28" s="1286"/>
      <c r="E28" s="1286"/>
      <c r="F28" s="1286"/>
      <c r="G28" s="1286"/>
      <c r="H28" s="1286"/>
      <c r="I28" s="1286"/>
      <c r="J28" s="1286"/>
      <c r="K28" s="1286"/>
      <c r="L28" s="1287"/>
      <c r="M28" s="1286"/>
      <c r="N28" s="1286"/>
      <c r="O28" s="1286"/>
      <c r="S28" s="2633" t="s">
        <v>414</v>
      </c>
      <c r="T28" s="2633"/>
      <c r="U28" s="1290"/>
      <c r="V28" s="2634" t="str">
        <f>IF(TITLE_DATE_PR_CHANGE="",IF(TITLE_DATE_PR="","",TITLE_DATE_PR),TITLE_DATE_PR_CHANGE)</f>
        <v/>
      </c>
      <c r="W28" s="2634"/>
      <c r="X28" s="2634"/>
      <c r="Y28" s="2634"/>
      <c r="Z28" s="2634"/>
      <c r="AA28" s="2634"/>
      <c r="AB28" s="263"/>
      <c r="AC28" s="2634" t="str">
        <f>IF(TITLE_DATE_PR_CHANGE="",IF(TITLE_DATE_PR="","",TITLE_DATE_PR),TITLE_DATE_PR_CHANGE)</f>
        <v/>
      </c>
      <c r="AD28" s="2634"/>
      <c r="AE28" s="2634"/>
      <c r="AF28" s="2634"/>
      <c r="AG28" s="2634"/>
      <c r="AH28" s="2634"/>
      <c r="AI28" s="263"/>
      <c r="AJ28" s="263"/>
      <c r="AK28" s="217"/>
      <c r="AL28" s="304"/>
      <c r="AM28" s="304"/>
      <c r="AN28" s="304"/>
      <c r="AO28" s="304"/>
      <c r="AP28" s="304"/>
      <c r="AQ28" s="354">
        <v>0</v>
      </c>
    </row>
    <row r="29" spans="1:43" s="2416" customFormat="1" ht="18.75" hidden="1" customHeight="1">
      <c r="A29" s="1286"/>
      <c r="B29" s="1286"/>
      <c r="C29" s="1286"/>
      <c r="D29" s="1286"/>
      <c r="E29" s="1286"/>
      <c r="F29" s="1286"/>
      <c r="G29" s="1286"/>
      <c r="H29" s="1286"/>
      <c r="I29" s="1286"/>
      <c r="J29" s="1286"/>
      <c r="K29" s="1286"/>
      <c r="L29" s="1287"/>
      <c r="M29" s="1286"/>
      <c r="N29" s="1286"/>
      <c r="O29" s="1286"/>
      <c r="S29" s="2633" t="s">
        <v>415</v>
      </c>
      <c r="T29" s="2633"/>
      <c r="U29" s="1290"/>
      <c r="V29" s="2635" t="str">
        <f>IF(TITLE_NUMBER_PR_CHANGE="",IF(TITLE_NUMBER_PR="","",TITLE_NUMBER_PR),TITLE_NUMBER_PR_CHANGE)</f>
        <v/>
      </c>
      <c r="W29" s="2635"/>
      <c r="X29" s="2635"/>
      <c r="Y29" s="2635"/>
      <c r="Z29" s="2635"/>
      <c r="AA29" s="2635"/>
      <c r="AB29" s="263"/>
      <c r="AC29" s="2635" t="str">
        <f>IF(TITLE_NUMBER_PR_CHANGE="",IF(TITLE_NUMBER_PR="","",TITLE_NUMBER_PR),TITLE_NUMBER_PR_CHANGE)</f>
        <v/>
      </c>
      <c r="AD29" s="2635"/>
      <c r="AE29" s="2635"/>
      <c r="AF29" s="2635"/>
      <c r="AG29" s="2635"/>
      <c r="AH29" s="2635"/>
      <c r="AI29" s="263"/>
      <c r="AJ29" s="263"/>
      <c r="AK29" s="217"/>
      <c r="AL29" s="304"/>
      <c r="AM29" s="304"/>
      <c r="AN29" s="304"/>
      <c r="AO29" s="304"/>
      <c r="AP29" s="304"/>
      <c r="AQ29" s="354">
        <v>0</v>
      </c>
    </row>
    <row r="30" spans="1:43" s="2416" customFormat="1" ht="18.75" hidden="1" customHeight="1">
      <c r="A30" s="1286"/>
      <c r="B30" s="1286"/>
      <c r="C30" s="1286"/>
      <c r="D30" s="1286"/>
      <c r="E30" s="1286"/>
      <c r="F30" s="1286"/>
      <c r="G30" s="1286"/>
      <c r="H30" s="1286"/>
      <c r="I30" s="1286"/>
      <c r="J30" s="1286"/>
      <c r="K30" s="1286"/>
      <c r="L30" s="1287"/>
      <c r="M30" s="1286"/>
      <c r="N30" s="1286"/>
      <c r="O30" s="1286"/>
      <c r="S30" s="2633" t="s">
        <v>42</v>
      </c>
      <c r="T30" s="2633"/>
      <c r="U30" s="1290"/>
      <c r="V30" s="2635" t="str">
        <f>IF(TITLE_IST_PUB_CHANGE="",IF(TITLE_IST_PUB="","",TITLE_IST_PUB),TITLE_IST_PUB_CHANGE)</f>
        <v/>
      </c>
      <c r="W30" s="2635"/>
      <c r="X30" s="2635"/>
      <c r="Y30" s="2635"/>
      <c r="Z30" s="2635"/>
      <c r="AA30" s="2635"/>
      <c r="AB30" s="263"/>
      <c r="AC30" s="2635" t="str">
        <f>IF(TITLE_IST_PUB_CHANGE="",IF(TITLE_IST_PUB="","",TITLE_IST_PUB),TITLE_IST_PUB_CHANGE)</f>
        <v/>
      </c>
      <c r="AD30" s="2635"/>
      <c r="AE30" s="2635"/>
      <c r="AF30" s="2635"/>
      <c r="AG30" s="2635"/>
      <c r="AH30" s="2635"/>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6" customFormat="1" ht="18.75" hidden="1" customHeight="1">
      <c r="A32" s="1286"/>
      <c r="B32" s="1286"/>
      <c r="C32" s="1286"/>
      <c r="D32" s="1286"/>
      <c r="E32" s="1286"/>
      <c r="F32" s="1286"/>
      <c r="G32" s="1286"/>
      <c r="H32" s="1286"/>
      <c r="I32" s="1286"/>
      <c r="J32" s="1286"/>
      <c r="K32" s="1286"/>
      <c r="L32" s="1287"/>
      <c r="M32" s="1286"/>
      <c r="N32" s="1286"/>
      <c r="O32" s="1286"/>
      <c r="S32" s="2633" t="s">
        <v>416</v>
      </c>
      <c r="T32" s="2633"/>
      <c r="U32" s="1290"/>
      <c r="V32" s="2634" t="str">
        <f>IF(TITLE_DATE_PR_CHANGE="",IF(TITLE_DATE_PR="","",TITLE_DATE_PR),TITLE_DATE_PR_CHANGE)</f>
        <v/>
      </c>
      <c r="W32" s="2634"/>
      <c r="X32" s="2634"/>
      <c r="Y32" s="2634"/>
      <c r="Z32" s="2634"/>
      <c r="AA32" s="2634"/>
      <c r="AB32" s="263"/>
      <c r="AC32" s="2634" t="str">
        <f>IF(TITLE_DATE_PR_CHANGE="",IF(TITLE_DATE_PR="","",TITLE_DATE_PR),TITLE_DATE_PR_CHANGE)</f>
        <v/>
      </c>
      <c r="AD32" s="2634"/>
      <c r="AE32" s="2634"/>
      <c r="AF32" s="2634"/>
      <c r="AG32" s="2634"/>
      <c r="AH32" s="2634"/>
      <c r="AI32" s="263"/>
      <c r="AJ32" s="263"/>
      <c r="AK32" s="217"/>
      <c r="AL32" s="304"/>
      <c r="AM32" s="304"/>
      <c r="AN32" s="304"/>
      <c r="AO32" s="304"/>
      <c r="AP32" s="304"/>
      <c r="AQ32" s="354">
        <v>0</v>
      </c>
    </row>
    <row r="33" spans="1:43" s="2416" customFormat="1" ht="18.75" hidden="1" customHeight="1">
      <c r="A33" s="1286"/>
      <c r="B33" s="1286"/>
      <c r="C33" s="1286"/>
      <c r="D33" s="1286"/>
      <c r="E33" s="1286"/>
      <c r="F33" s="1286"/>
      <c r="G33" s="1286"/>
      <c r="H33" s="1286"/>
      <c r="I33" s="1286"/>
      <c r="J33" s="1286"/>
      <c r="K33" s="1286"/>
      <c r="L33" s="1287"/>
      <c r="M33" s="1286"/>
      <c r="N33" s="1286"/>
      <c r="O33" s="1286"/>
      <c r="S33" s="2633" t="s">
        <v>417</v>
      </c>
      <c r="T33" s="2633"/>
      <c r="U33" s="1290"/>
      <c r="V33" s="2635" t="str">
        <f>IF(TITLE_NUMBER_PR_CHANGE="",IF(TITLE_NUMBER_PR="","",TITLE_NUMBER_PR),TITLE_NUMBER_PR_CHANGE)</f>
        <v/>
      </c>
      <c r="W33" s="2635"/>
      <c r="X33" s="2635"/>
      <c r="Y33" s="2635"/>
      <c r="Z33" s="2635"/>
      <c r="AA33" s="2635"/>
      <c r="AB33" s="263"/>
      <c r="AC33" s="2635" t="str">
        <f>IF(TITLE_NUMBER_PR_CHANGE="",IF(TITLE_NUMBER_PR="","",TITLE_NUMBER_PR),TITLE_NUMBER_PR_CHANGE)</f>
        <v/>
      </c>
      <c r="AD33" s="2635"/>
      <c r="AE33" s="2635"/>
      <c r="AF33" s="2635"/>
      <c r="AG33" s="2635"/>
      <c r="AH33" s="2635"/>
      <c r="AI33" s="263"/>
      <c r="AJ33" s="263"/>
      <c r="AK33" s="217"/>
      <c r="AL33" s="304"/>
      <c r="AM33" s="304"/>
      <c r="AN33" s="304"/>
      <c r="AO33" s="304"/>
      <c r="AP33" s="304"/>
      <c r="AQ33" s="354">
        <v>0</v>
      </c>
    </row>
    <row r="34" spans="1:43" s="2416" customFormat="1" ht="1.1499999999999999" customHeight="1">
      <c r="A34" s="1286"/>
      <c r="B34" s="1286"/>
      <c r="C34" s="1286"/>
      <c r="D34" s="1286"/>
      <c r="E34" s="1286"/>
      <c r="F34" s="1286"/>
      <c r="G34" s="1286"/>
      <c r="H34" s="1286"/>
      <c r="I34" s="1286"/>
      <c r="J34" s="1286"/>
      <c r="K34" s="1286"/>
      <c r="L34" s="1287"/>
      <c r="M34" s="1286"/>
      <c r="N34" s="1286"/>
      <c r="O34" s="1286"/>
      <c r="S34" s="260"/>
      <c r="T34" s="260"/>
      <c r="U34" s="1273"/>
      <c r="V34" s="263"/>
      <c r="W34" s="263"/>
      <c r="X34" s="263"/>
      <c r="Y34" s="263"/>
      <c r="Z34" s="263"/>
      <c r="AA34" s="263"/>
      <c r="AB34" s="215" t="s">
        <v>418</v>
      </c>
      <c r="AC34" s="263"/>
      <c r="AD34" s="263"/>
      <c r="AE34" s="263"/>
      <c r="AF34" s="263"/>
      <c r="AG34" s="263"/>
      <c r="AH34" s="263"/>
      <c r="AI34" s="215" t="s">
        <v>418</v>
      </c>
      <c r="AL34" s="304"/>
      <c r="AM34" s="304"/>
      <c r="AN34" s="304"/>
      <c r="AO34" s="304"/>
      <c r="AP34" s="304"/>
      <c r="AQ34" s="354">
        <v>1</v>
      </c>
    </row>
    <row r="35" spans="1:43" ht="14.65" customHeight="1">
      <c r="Q35" s="312"/>
      <c r="R35" s="312"/>
      <c r="S35" s="1193"/>
      <c r="T35" s="299"/>
      <c r="U35" s="1162"/>
      <c r="V35" s="2654"/>
      <c r="W35" s="2654"/>
      <c r="X35" s="2654"/>
      <c r="Y35" s="2654"/>
      <c r="Z35" s="2654"/>
      <c r="AA35" s="2654"/>
      <c r="AB35" s="2654"/>
      <c r="AC35" s="2654"/>
      <c r="AD35" s="2654"/>
      <c r="AE35" s="2654"/>
      <c r="AF35" s="2654"/>
      <c r="AG35" s="2654"/>
      <c r="AH35" s="2654"/>
      <c r="AI35" s="2654"/>
      <c r="AQ35" s="1073">
        <v>14</v>
      </c>
    </row>
    <row r="36" spans="1:43" ht="14.65" customHeight="1">
      <c r="Q36" s="312"/>
      <c r="R36" s="312"/>
      <c r="S36" s="2514" t="s">
        <v>291</v>
      </c>
      <c r="T36" s="2514"/>
      <c r="U36" s="2514"/>
      <c r="V36" s="2514"/>
      <c r="W36" s="2514"/>
      <c r="X36" s="2514"/>
      <c r="Y36" s="2514"/>
      <c r="Z36" s="2514"/>
      <c r="AA36" s="2514"/>
      <c r="AB36" s="2514"/>
      <c r="AC36" s="2514"/>
      <c r="AD36" s="2514"/>
      <c r="AE36" s="2514"/>
      <c r="AF36" s="2514"/>
      <c r="AG36" s="2514"/>
      <c r="AH36" s="2514"/>
      <c r="AI36" s="2514"/>
      <c r="AJ36" s="2514"/>
      <c r="AK36" s="2514" t="s">
        <v>292</v>
      </c>
      <c r="AQ36" s="1073">
        <v>14</v>
      </c>
    </row>
    <row r="37" spans="1:43" ht="14.65" customHeight="1">
      <c r="Q37" s="312"/>
      <c r="R37" s="312"/>
      <c r="S37" s="2655" t="s">
        <v>84</v>
      </c>
      <c r="T37" s="2603" t="s">
        <v>419</v>
      </c>
      <c r="U37" s="238"/>
      <c r="V37" s="2656" t="s">
        <v>420</v>
      </c>
      <c r="W37" s="2657"/>
      <c r="X37" s="2657"/>
      <c r="Y37" s="2657"/>
      <c r="Z37" s="2657"/>
      <c r="AA37" s="2658"/>
      <c r="AB37" s="2659" t="s">
        <v>421</v>
      </c>
      <c r="AC37" s="2656" t="s">
        <v>420</v>
      </c>
      <c r="AD37" s="2657"/>
      <c r="AE37" s="2657"/>
      <c r="AF37" s="2657"/>
      <c r="AG37" s="2657"/>
      <c r="AH37" s="2658"/>
      <c r="AI37" s="2659" t="s">
        <v>422</v>
      </c>
      <c r="AJ37" s="2662" t="s">
        <v>423</v>
      </c>
      <c r="AK37" s="2514"/>
      <c r="AQ37" s="1073">
        <v>14</v>
      </c>
    </row>
    <row r="38" spans="1:43" ht="35.65" customHeight="1">
      <c r="Q38" s="312"/>
      <c r="R38" s="312"/>
      <c r="S38" s="2655"/>
      <c r="T38" s="2603"/>
      <c r="U38" s="954"/>
      <c r="V38" s="1270" t="s">
        <v>480</v>
      </c>
      <c r="W38" s="2496" t="s">
        <v>426</v>
      </c>
      <c r="X38" s="2495"/>
      <c r="Y38" s="2496" t="s">
        <v>427</v>
      </c>
      <c r="Z38" s="2501"/>
      <c r="AA38" s="2495"/>
      <c r="AB38" s="2660"/>
      <c r="AC38" s="1270" t="s">
        <v>480</v>
      </c>
      <c r="AD38" s="2496" t="s">
        <v>426</v>
      </c>
      <c r="AE38" s="2495"/>
      <c r="AF38" s="2496" t="s">
        <v>427</v>
      </c>
      <c r="AG38" s="2501"/>
      <c r="AH38" s="2495"/>
      <c r="AI38" s="2660"/>
      <c r="AJ38" s="2663"/>
      <c r="AK38" s="2514"/>
      <c r="AQ38" s="1073">
        <v>34</v>
      </c>
    </row>
    <row r="39" spans="1:43" ht="35.65" customHeight="1">
      <c r="A39" s="1288"/>
      <c r="B39" s="1288" t="s">
        <v>128</v>
      </c>
      <c r="C39" s="1288" t="s">
        <v>129</v>
      </c>
      <c r="D39" s="1288" t="s">
        <v>130</v>
      </c>
      <c r="E39" s="1282" t="s">
        <v>428</v>
      </c>
      <c r="F39" s="1282" t="s">
        <v>429</v>
      </c>
      <c r="G39" s="1282" t="s">
        <v>430</v>
      </c>
      <c r="H39" s="1282"/>
      <c r="I39" s="1282" t="s">
        <v>481</v>
      </c>
      <c r="J39" s="1282" t="s">
        <v>433</v>
      </c>
      <c r="K39" s="1282" t="s">
        <v>482</v>
      </c>
      <c r="L39" s="1282" t="s">
        <v>409</v>
      </c>
      <c r="Q39" s="312"/>
      <c r="R39" s="312"/>
      <c r="S39" s="2655"/>
      <c r="T39" s="2603"/>
      <c r="U39" s="239"/>
      <c r="V39" s="1270" t="s">
        <v>483</v>
      </c>
      <c r="W39" s="1140" t="s">
        <v>484</v>
      </c>
      <c r="X39" s="1140" t="s">
        <v>485</v>
      </c>
      <c r="Y39" s="1275" t="s">
        <v>437</v>
      </c>
      <c r="Z39" s="2608" t="s">
        <v>438</v>
      </c>
      <c r="AA39" s="2622"/>
      <c r="AB39" s="2661"/>
      <c r="AC39" s="1270" t="s">
        <v>483</v>
      </c>
      <c r="AD39" s="1140" t="s">
        <v>484</v>
      </c>
      <c r="AE39" s="1140" t="s">
        <v>485</v>
      </c>
      <c r="AF39" s="1275" t="s">
        <v>437</v>
      </c>
      <c r="AG39" s="2608" t="s">
        <v>438</v>
      </c>
      <c r="AH39" s="2622"/>
      <c r="AI39" s="2661"/>
      <c r="AJ39" s="2664"/>
      <c r="AK39" s="2514"/>
      <c r="AQ39" s="1073">
        <v>34</v>
      </c>
    </row>
    <row r="40" spans="1:43" s="243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102</v>
      </c>
      <c r="T40" s="1173" t="s">
        <v>103</v>
      </c>
      <c r="U40" s="1163" t="str">
        <f ca="1">OFFSET(U40,0,-1)</f>
        <v>2</v>
      </c>
      <c r="V40" s="1271">
        <f ca="1">OFFSET(V40,0,-1)+1</f>
        <v>3</v>
      </c>
      <c r="W40" s="1271">
        <f ca="1">OFFSET(W40,0,-1)+1</f>
        <v>4</v>
      </c>
      <c r="X40" s="1271">
        <f ca="1">OFFSET(X40,0,-1)+1</f>
        <v>5</v>
      </c>
      <c r="Y40" s="1271">
        <f ca="1">OFFSET(Y40,0,-1)+1</f>
        <v>6</v>
      </c>
      <c r="Z40" s="2653">
        <f ca="1">OFFSET(Z40,0,-1)+1</f>
        <v>7</v>
      </c>
      <c r="AA40" s="2653"/>
      <c r="AB40" s="1271">
        <f ca="1">OFFSET(AB40,0,-2)+1</f>
        <v>8</v>
      </c>
      <c r="AC40" s="1271">
        <f ca="1">OFFSET(AC40,0,-1)+1</f>
        <v>9</v>
      </c>
      <c r="AD40" s="1271">
        <f ca="1">OFFSET(AD40,0,-1)+1</f>
        <v>10</v>
      </c>
      <c r="AE40" s="1271">
        <f ca="1">OFFSET(AE40,0,-1)+1</f>
        <v>11</v>
      </c>
      <c r="AF40" s="1271">
        <f ca="1">OFFSET(AF40,0,-1)+1</f>
        <v>12</v>
      </c>
      <c r="AG40" s="2653">
        <f ca="1">OFFSET(AG40,0,-1)+1</f>
        <v>13</v>
      </c>
      <c r="AH40" s="2653"/>
      <c r="AI40" s="1271">
        <f ca="1">OFFSET(AI40,0,-2)+1</f>
        <v>14</v>
      </c>
      <c r="AJ40" s="1163">
        <f ca="1">OFFSET(AJ40,0,-1)</f>
        <v>14</v>
      </c>
      <c r="AK40" s="1271">
        <f ca="1">OFFSET(AK40,0,-1)+1</f>
        <v>15</v>
      </c>
      <c r="AL40" s="447"/>
      <c r="AM40" s="447"/>
      <c r="AN40" s="447"/>
      <c r="AO40" s="447"/>
      <c r="AP40" s="447"/>
      <c r="AQ40" s="432">
        <v>0</v>
      </c>
    </row>
    <row r="41" spans="1:43" ht="24" customHeight="1">
      <c r="A41" s="1281" t="s">
        <v>217</v>
      </c>
      <c r="B41" s="1281"/>
      <c r="C41" s="1281"/>
      <c r="D41" s="1281"/>
      <c r="E41" s="2642">
        <v>1</v>
      </c>
      <c r="F41" s="1281"/>
      <c r="G41" s="1281"/>
      <c r="H41" s="1281"/>
      <c r="I41" s="1281"/>
      <c r="J41" s="1281"/>
      <c r="K41" s="1281"/>
      <c r="L41" s="1282"/>
      <c r="M41" s="1283"/>
      <c r="N41" s="1283"/>
      <c r="O41" s="1283"/>
      <c r="P41" s="297"/>
      <c r="Q41" s="296"/>
      <c r="R41" s="291"/>
      <c r="S41" s="1276">
        <f>INDEX(PT_DIFFERENTIATION_NUM_NTAR,MATCH(A41,PT_DIFFERENTIATION_NTAR_ID,0))</f>
        <v>0</v>
      </c>
      <c r="T41" s="235" t="s">
        <v>116</v>
      </c>
      <c r="U41" s="237"/>
      <c r="V41" s="2636"/>
      <c r="W41" s="2637"/>
      <c r="X41" s="2637"/>
      <c r="Y41" s="2637"/>
      <c r="Z41" s="2637"/>
      <c r="AA41" s="2637"/>
      <c r="AB41" s="2638"/>
      <c r="AC41" s="2636" t="str">
        <f>INDEX(PT_DIFFERENTIATION_NTAR,MATCH(A41,PT_DIFFERENTIATION_NTAR_ID,0))</f>
        <v/>
      </c>
      <c r="AD41" s="2637"/>
      <c r="AE41" s="2637"/>
      <c r="AF41" s="2637"/>
      <c r="AG41" s="2637"/>
      <c r="AH41" s="2637"/>
      <c r="AI41" s="2637"/>
      <c r="AJ41" s="263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217</v>
      </c>
      <c r="B42" s="1281" t="s">
        <v>218</v>
      </c>
      <c r="C42" s="1281"/>
      <c r="D42" s="1281"/>
      <c r="E42" s="2643"/>
      <c r="F42" s="2642">
        <v>1</v>
      </c>
      <c r="G42" s="1281"/>
      <c r="H42" s="1281"/>
      <c r="I42" s="1281"/>
      <c r="J42" s="1281"/>
      <c r="K42" s="1281"/>
      <c r="L42" s="1282"/>
      <c r="M42" s="1283"/>
      <c r="N42" s="1283"/>
      <c r="O42" s="1283"/>
      <c r="P42" s="1274"/>
      <c r="Q42" s="288"/>
      <c r="R42" s="289"/>
      <c r="S42" s="1276" t="str">
        <f>INDEX(PT_DIFFERENTIATION_NUM_TER,MATCH(B42,PT_DIFFERENTIATION_TER_ID,0))</f>
        <v>.</v>
      </c>
      <c r="T42" s="245" t="s">
        <v>388</v>
      </c>
      <c r="U42" s="237"/>
      <c r="V42" s="2636"/>
      <c r="W42" s="2637"/>
      <c r="X42" s="2637"/>
      <c r="Y42" s="2637"/>
      <c r="Z42" s="2637"/>
      <c r="AA42" s="2637"/>
      <c r="AB42" s="2638"/>
      <c r="AC42" s="2636" t="str">
        <f>INDEX(PT_DIFFERENTIATION_TER,MATCH(B42,PT_DIFFERENTIATION_TER_ID,0))</f>
        <v/>
      </c>
      <c r="AD42" s="2637"/>
      <c r="AE42" s="2637"/>
      <c r="AF42" s="2637"/>
      <c r="AG42" s="2637"/>
      <c r="AH42" s="2637"/>
      <c r="AI42" s="2637"/>
      <c r="AJ42" s="2638"/>
      <c r="AK42" s="1176" t="s">
        <v>389</v>
      </c>
      <c r="AM42" s="436"/>
      <c r="AN42" s="436" t="str">
        <f t="shared" si="1"/>
        <v>Территория действия тарифа</v>
      </c>
      <c r="AO42" s="436"/>
      <c r="AP42" s="436"/>
      <c r="AQ42" s="1073">
        <v>23</v>
      </c>
    </row>
    <row r="43" spans="1:43" ht="24" customHeight="1">
      <c r="A43" s="1281" t="s">
        <v>217</v>
      </c>
      <c r="B43" s="1281" t="s">
        <v>218</v>
      </c>
      <c r="C43" s="1281" t="s">
        <v>219</v>
      </c>
      <c r="D43" s="1281"/>
      <c r="E43" s="2643"/>
      <c r="F43" s="2643"/>
      <c r="G43" s="2642">
        <v>1</v>
      </c>
      <c r="H43" s="1281"/>
      <c r="I43" s="1281"/>
      <c r="J43" s="1281"/>
      <c r="K43" s="1281"/>
      <c r="L43" s="1282"/>
      <c r="M43" s="1283"/>
      <c r="N43" s="1283"/>
      <c r="O43" s="1283"/>
      <c r="P43" s="290"/>
      <c r="Q43" s="288"/>
      <c r="R43" s="289"/>
      <c r="S43" s="1276" t="str">
        <f>INDEX(PT_DIFFERENTIATION_NUM_CS,MATCH(C43,PT_DIFFERENTIATION_CS_ID,0))</f>
        <v>..</v>
      </c>
      <c r="T43" s="246" t="s">
        <v>472</v>
      </c>
      <c r="U43" s="237"/>
      <c r="V43" s="2636"/>
      <c r="W43" s="2637"/>
      <c r="X43" s="2637"/>
      <c r="Y43" s="2637"/>
      <c r="Z43" s="2637"/>
      <c r="AA43" s="2637"/>
      <c r="AB43" s="2638"/>
      <c r="AC43" s="2636" t="str">
        <f>INDEX(PT_DIFFERENTIATION_CS,MATCH(C43,PT_DIFFERENTIATION_CS_ID,0))</f>
        <v/>
      </c>
      <c r="AD43" s="2637"/>
      <c r="AE43" s="2637"/>
      <c r="AF43" s="2637"/>
      <c r="AG43" s="2637"/>
      <c r="AH43" s="2637"/>
      <c r="AI43" s="2637"/>
      <c r="AJ43" s="2638"/>
      <c r="AK43" s="1176" t="s">
        <v>473</v>
      </c>
      <c r="AM43" s="436"/>
      <c r="AN43" s="436" t="str">
        <f t="shared" si="1"/>
        <v>Наименование централизованной системы холодного водоснабжения</v>
      </c>
      <c r="AO43" s="436"/>
      <c r="AP43" s="436"/>
      <c r="AQ43" s="1073">
        <v>23</v>
      </c>
    </row>
    <row r="44" spans="1:43" ht="24" customHeight="1">
      <c r="A44" s="1281" t="s">
        <v>217</v>
      </c>
      <c r="B44" s="1281" t="s">
        <v>218</v>
      </c>
      <c r="C44" s="1281" t="s">
        <v>219</v>
      </c>
      <c r="D44" s="1281" t="s">
        <v>486</v>
      </c>
      <c r="E44" s="2643"/>
      <c r="F44" s="2643"/>
      <c r="G44" s="2643"/>
      <c r="H44" s="2643"/>
      <c r="I44" s="2644" t="str">
        <f>S43&amp;".1"</f>
        <v>...1</v>
      </c>
      <c r="J44" s="1281"/>
      <c r="K44" s="1281"/>
      <c r="L44" s="1282"/>
      <c r="P44" s="2646">
        <v>1</v>
      </c>
      <c r="Q44" s="1272"/>
      <c r="R44" s="292"/>
      <c r="S44" s="1276" t="str">
        <f>$I44</f>
        <v>...1</v>
      </c>
      <c r="T44" s="222" t="s">
        <v>474</v>
      </c>
      <c r="U44" s="237"/>
      <c r="V44" s="2710"/>
      <c r="W44" s="2711"/>
      <c r="X44" s="2711"/>
      <c r="Y44" s="2711"/>
      <c r="Z44" s="2711"/>
      <c r="AA44" s="2711"/>
      <c r="AB44" s="2712"/>
      <c r="AC44" s="2713"/>
      <c r="AD44" s="2714"/>
      <c r="AE44" s="2714"/>
      <c r="AF44" s="2714"/>
      <c r="AG44" s="2714"/>
      <c r="AH44" s="2714"/>
      <c r="AI44" s="2714"/>
      <c r="AJ44" s="2715"/>
      <c r="AK44" s="1176" t="s">
        <v>475</v>
      </c>
      <c r="AM44" s="436"/>
      <c r="AN44" s="436" t="str">
        <f t="shared" si="1"/>
        <v>Наименование признака дифференциации</v>
      </c>
      <c r="AO44" s="436"/>
      <c r="AP44" s="436"/>
      <c r="AQ44" s="1073">
        <v>23</v>
      </c>
    </row>
    <row r="45" spans="1:43" ht="24" customHeight="1">
      <c r="A45" s="1281" t="s">
        <v>217</v>
      </c>
      <c r="B45" s="1281" t="s">
        <v>218</v>
      </c>
      <c r="C45" s="1281" t="s">
        <v>219</v>
      </c>
      <c r="D45" s="1281" t="s">
        <v>486</v>
      </c>
      <c r="E45" s="2643"/>
      <c r="F45" s="2643"/>
      <c r="G45" s="2643"/>
      <c r="H45" s="2643"/>
      <c r="I45" s="2645"/>
      <c r="J45" s="2644" t="str">
        <f>I44&amp;".1"</f>
        <v>...1.1</v>
      </c>
      <c r="K45" s="1281"/>
      <c r="L45" s="1282" t="s">
        <v>397</v>
      </c>
      <c r="P45" s="2646"/>
      <c r="Q45" s="2646">
        <v>1</v>
      </c>
      <c r="R45" s="293"/>
      <c r="S45" s="1276" t="str">
        <f>$J45</f>
        <v>...1.1</v>
      </c>
      <c r="T45" s="223" t="s">
        <v>398</v>
      </c>
      <c r="U45" s="237"/>
      <c r="V45" s="2630"/>
      <c r="W45" s="2631"/>
      <c r="X45" s="2631"/>
      <c r="Y45" s="2631"/>
      <c r="Z45" s="2631"/>
      <c r="AA45" s="2631"/>
      <c r="AB45" s="2632"/>
      <c r="AC45" s="2630"/>
      <c r="AD45" s="2631"/>
      <c r="AE45" s="2631"/>
      <c r="AF45" s="2631"/>
      <c r="AG45" s="2631"/>
      <c r="AH45" s="2631"/>
      <c r="AI45" s="2631"/>
      <c r="AJ45" s="2632"/>
      <c r="AK45" s="1225" t="s">
        <v>476</v>
      </c>
      <c r="AM45" s="436"/>
      <c r="AN45" s="436" t="str">
        <f t="shared" si="1"/>
        <v>Группа потребителей</v>
      </c>
      <c r="AO45" s="436"/>
      <c r="AP45" s="436"/>
      <c r="AQ45" s="1073">
        <v>23</v>
      </c>
    </row>
    <row r="46" spans="1:43" ht="24" customHeight="1">
      <c r="A46" s="1281" t="s">
        <v>217</v>
      </c>
      <c r="B46" s="1281" t="s">
        <v>218</v>
      </c>
      <c r="C46" s="1281" t="s">
        <v>219</v>
      </c>
      <c r="D46" s="1281" t="s">
        <v>486</v>
      </c>
      <c r="E46" s="2643"/>
      <c r="F46" s="2643"/>
      <c r="G46" s="2643"/>
      <c r="H46" s="2643"/>
      <c r="I46" s="2645"/>
      <c r="J46" s="2645"/>
      <c r="K46" s="2644" t="str">
        <f>J45&amp;".1"</f>
        <v>...1.1.1</v>
      </c>
      <c r="L46" s="1282"/>
      <c r="P46" s="2646"/>
      <c r="Q46" s="2646"/>
      <c r="R46" s="293">
        <v>1</v>
      </c>
      <c r="S46" s="1276" t="str">
        <f>$K46</f>
        <v>...1.1.1</v>
      </c>
      <c r="T46" s="1355"/>
      <c r="U46" s="237"/>
      <c r="V46" s="1278"/>
      <c r="W46" s="1278"/>
      <c r="X46" s="1279"/>
      <c r="Y46" s="2640"/>
      <c r="Z46" s="2639" t="s">
        <v>65</v>
      </c>
      <c r="AA46" s="2640"/>
      <c r="AB46" s="2639" t="s">
        <v>65</v>
      </c>
      <c r="AC46" s="687"/>
      <c r="AD46" s="687"/>
      <c r="AE46" s="1175"/>
      <c r="AF46" s="2647"/>
      <c r="AG46" s="2524" t="s">
        <v>65</v>
      </c>
      <c r="AH46" s="2649"/>
      <c r="AI46" s="2524" t="s">
        <v>19</v>
      </c>
      <c r="AJ46" s="1356"/>
      <c r="AK46"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217</v>
      </c>
      <c r="B47" s="1281" t="s">
        <v>218</v>
      </c>
      <c r="C47" s="1281" t="s">
        <v>219</v>
      </c>
      <c r="D47" s="1281" t="s">
        <v>486</v>
      </c>
      <c r="E47" s="2643"/>
      <c r="F47" s="2643"/>
      <c r="G47" s="2643"/>
      <c r="H47" s="2643"/>
      <c r="I47" s="2645"/>
      <c r="J47" s="2645"/>
      <c r="K47" s="2644"/>
      <c r="L47" s="1282"/>
      <c r="P47" s="2646"/>
      <c r="Q47" s="2646"/>
      <c r="R47" s="293"/>
      <c r="S47" s="1277"/>
      <c r="T47" s="237"/>
      <c r="U47" s="237"/>
      <c r="V47" s="1278"/>
      <c r="W47" s="1278"/>
      <c r="X47" s="265" t="str">
        <f>Y46&amp;"-"&amp;AA46</f>
        <v>-</v>
      </c>
      <c r="Y47" s="2639"/>
      <c r="Z47" s="2639"/>
      <c r="AA47" s="2639"/>
      <c r="AB47" s="2639"/>
      <c r="AC47" s="262"/>
      <c r="AD47" s="262"/>
      <c r="AE47" s="265" t="str">
        <f>AF46&amp;"-"&amp;AH46</f>
        <v>-</v>
      </c>
      <c r="AF47" s="2648"/>
      <c r="AG47" s="2524"/>
      <c r="AH47" s="2650"/>
      <c r="AI47" s="2524"/>
      <c r="AJ47" s="1357"/>
      <c r="AK47" s="2716"/>
      <c r="AM47" s="436"/>
      <c r="AN47" s="436" t="str">
        <f t="shared" si="1"/>
        <v/>
      </c>
      <c r="AO47" s="436"/>
      <c r="AP47" s="436"/>
      <c r="AQ47" s="1073">
        <v>0</v>
      </c>
    </row>
    <row r="48" spans="1:43" ht="21" customHeight="1">
      <c r="A48" s="1281" t="s">
        <v>217</v>
      </c>
      <c r="B48" s="1281" t="s">
        <v>218</v>
      </c>
      <c r="C48" s="1281" t="s">
        <v>219</v>
      </c>
      <c r="D48" s="1281" t="s">
        <v>486</v>
      </c>
      <c r="E48" s="2643"/>
      <c r="F48" s="2643"/>
      <c r="G48" s="2643"/>
      <c r="H48" s="2643"/>
      <c r="I48" s="2645"/>
      <c r="J48" s="2644"/>
      <c r="K48" s="1281"/>
      <c r="L48" s="1282"/>
      <c r="P48" s="2646"/>
      <c r="Q48" s="2646"/>
      <c r="R48" s="292"/>
      <c r="S48" s="1196"/>
      <c r="T48" s="224" t="s">
        <v>477</v>
      </c>
      <c r="U48" s="303"/>
      <c r="V48" s="303"/>
      <c r="W48" s="303"/>
      <c r="X48" s="303"/>
      <c r="Y48" s="303"/>
      <c r="Z48" s="303"/>
      <c r="AA48" s="303"/>
      <c r="AB48" s="303"/>
      <c r="AC48" s="303"/>
      <c r="AD48" s="303"/>
      <c r="AE48" s="303"/>
      <c r="AF48" s="303"/>
      <c r="AG48" s="303"/>
      <c r="AH48" s="303"/>
      <c r="AI48" s="303"/>
      <c r="AJ48" s="303"/>
      <c r="AK48" s="1176" t="s">
        <v>478</v>
      </c>
      <c r="AM48" s="436"/>
      <c r="AN48" s="436" t="str">
        <f t="shared" si="1"/>
        <v>Добавить значение признака дифференциации</v>
      </c>
      <c r="AO48" s="436"/>
      <c r="AP48" s="436"/>
      <c r="AQ48" s="1073">
        <v>20</v>
      </c>
    </row>
    <row r="49" spans="1:43" ht="21.95" customHeight="1">
      <c r="A49" s="1281" t="s">
        <v>217</v>
      </c>
      <c r="B49" s="1281" t="s">
        <v>218</v>
      </c>
      <c r="C49" s="1281" t="s">
        <v>219</v>
      </c>
      <c r="D49" s="1281" t="s">
        <v>486</v>
      </c>
      <c r="E49" s="2643"/>
      <c r="F49" s="2643"/>
      <c r="G49" s="2643"/>
      <c r="H49" s="2643"/>
      <c r="I49" s="2644"/>
      <c r="J49" s="1281"/>
      <c r="K49" s="1281"/>
      <c r="L49" s="1282"/>
      <c r="P49" s="2646"/>
      <c r="Q49" s="1272"/>
      <c r="R49" s="292"/>
      <c r="S49" s="1196"/>
      <c r="T49" s="301" t="s">
        <v>403</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217</v>
      </c>
      <c r="B50" s="1281" t="s">
        <v>218</v>
      </c>
      <c r="C50" s="1281" t="s">
        <v>219</v>
      </c>
      <c r="D50" s="1281" t="s">
        <v>486</v>
      </c>
      <c r="E50" s="2643"/>
      <c r="F50" s="2643"/>
      <c r="G50" s="2643"/>
      <c r="H50" s="2642"/>
      <c r="I50" s="1281"/>
      <c r="J50" s="1281"/>
      <c r="K50" s="1281"/>
      <c r="L50" s="1282"/>
      <c r="M50" s="1283"/>
      <c r="N50" s="1283"/>
      <c r="O50" s="473"/>
      <c r="P50" s="296"/>
      <c r="Q50" s="311"/>
      <c r="R50" s="291"/>
      <c r="S50" s="1196"/>
      <c r="T50" s="308" t="s">
        <v>479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7" customFormat="1" ht="0" hidden="1" customHeight="1">
      <c r="A51" s="1261" t="s">
        <v>217</v>
      </c>
      <c r="B51" s="1261" t="s">
        <v>218</v>
      </c>
      <c r="C51" s="1232"/>
      <c r="D51" s="1232"/>
      <c r="E51" s="2643"/>
      <c r="F51" s="2642"/>
      <c r="G51" s="1232"/>
      <c r="H51" s="1232"/>
      <c r="I51" s="1232"/>
      <c r="J51" s="1232"/>
      <c r="K51" s="1232"/>
      <c r="L51" s="1344"/>
      <c r="M51" s="1239"/>
      <c r="N51" s="1239"/>
      <c r="P51" s="1234"/>
      <c r="Q51" s="1235"/>
      <c r="R51" s="1234"/>
      <c r="S51" s="1240"/>
      <c r="T51" s="1243" t="s">
        <v>406</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7" customFormat="1" ht="0" hidden="1" customHeight="1">
      <c r="A52" s="1261" t="s">
        <v>217</v>
      </c>
      <c r="B52" s="1261"/>
      <c r="C52" s="1261"/>
      <c r="D52" s="1261"/>
      <c r="E52" s="2642"/>
      <c r="F52" s="1261"/>
      <c r="G52" s="1261"/>
      <c r="H52" s="1261"/>
      <c r="I52" s="1261"/>
      <c r="J52" s="1261"/>
      <c r="K52" s="1261"/>
      <c r="L52" s="1264"/>
      <c r="M52" s="1239"/>
      <c r="N52" s="1239"/>
      <c r="O52" s="454"/>
      <c r="P52" s="316"/>
      <c r="Q52" s="1262"/>
      <c r="R52" s="316"/>
      <c r="S52" s="1240"/>
      <c r="T52" s="1243" t="s">
        <v>407</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7"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439</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641"/>
      <c r="U55" s="2641"/>
      <c r="V55" s="2641"/>
      <c r="W55" s="2641"/>
      <c r="X55" s="2641"/>
      <c r="Y55" s="2641"/>
      <c r="Z55" s="2641"/>
      <c r="AA55" s="2641"/>
      <c r="AB55" s="2641"/>
      <c r="AC55" s="2641"/>
      <c r="AD55" s="2641"/>
      <c r="AE55" s="2641"/>
      <c r="AF55" s="2641"/>
      <c r="AG55" s="2641"/>
      <c r="AH55" s="2641"/>
      <c r="AI55" s="2641"/>
      <c r="AJ55" s="2641"/>
      <c r="AK55" s="2641"/>
      <c r="AQ55" s="1073">
        <v>14</v>
      </c>
    </row>
    <row r="56" spans="1:43" ht="14.65" customHeight="1">
      <c r="O56" s="473"/>
      <c r="AQ56" s="1073">
        <v>14</v>
      </c>
    </row>
    <row r="57" spans="1:43" ht="14.65" customHeight="1">
      <c r="O57" s="473"/>
      <c r="S57" s="1171"/>
      <c r="T57" s="2641"/>
      <c r="U57" s="2641"/>
      <c r="V57" s="2641"/>
      <c r="W57" s="2641"/>
      <c r="X57" s="2641"/>
      <c r="Y57" s="2641"/>
      <c r="Z57" s="2641"/>
      <c r="AA57" s="2641"/>
      <c r="AB57" s="2641"/>
      <c r="AC57" s="2641"/>
      <c r="AD57" s="2641"/>
      <c r="AE57" s="2641"/>
      <c r="AF57" s="2641"/>
      <c r="AG57" s="2641"/>
      <c r="AH57" s="2641"/>
      <c r="AI57" s="2641"/>
      <c r="AJ57" s="2641"/>
      <c r="AK57" s="264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4.140625" style="2406" hidden="1" customWidth="1"/>
    <col min="10" max="10" width="9.85546875" style="2406" hidden="1" customWidth="1"/>
    <col min="11" max="11" width="14.7109375" style="2406" hidden="1" customWidth="1"/>
    <col min="12" max="12" width="19.140625" style="2432" hidden="1" customWidth="1"/>
    <col min="13" max="14" width="12.28515625" style="2433" hidden="1" customWidth="1"/>
    <col min="15" max="15" width="23.42578125" style="2433" hidden="1" customWidth="1"/>
    <col min="16" max="16" width="3" style="2434" customWidth="1"/>
    <col min="17" max="18" width="3" style="2435" customWidth="1"/>
    <col min="19" max="19" width="12" style="2436" customWidth="1"/>
    <col min="20" max="20" width="35" style="2400" customWidth="1"/>
    <col min="21" max="21" width="0.140625" style="2400" customWidth="1"/>
    <col min="22" max="24" width="24.7109375" style="2400" hidden="1" customWidth="1"/>
    <col min="25" max="25" width="11.7109375" style="2400" hidden="1" customWidth="1"/>
    <col min="26" max="26" width="3.7109375" style="2400" hidden="1" customWidth="1"/>
    <col min="27" max="27" width="11.7109375" style="2400" hidden="1" customWidth="1"/>
    <col min="28" max="28" width="8.5703125" style="2400" hidden="1" customWidth="1"/>
    <col min="29" max="29" width="24.7109375" style="2400" customWidth="1"/>
    <col min="30" max="31" width="24" style="2400" customWidth="1"/>
    <col min="32" max="32" width="11" style="2400" customWidth="1"/>
    <col min="33" max="33" width="3.7109375" style="2400" customWidth="1"/>
    <col min="34" max="34" width="11" style="2400" customWidth="1"/>
    <col min="35" max="35" width="8.5703125" style="2400" hidden="1" customWidth="1"/>
    <col min="36" max="36" width="4" style="2400" customWidth="1"/>
    <col min="37" max="37" width="115" style="2400" customWidth="1"/>
    <col min="38" max="42" width="10" style="2407" customWidth="1"/>
    <col min="43" max="43" width="10.5703125" style="2400" hidden="1"/>
  </cols>
  <sheetData>
    <row r="1" spans="1:43" ht="22.5" hidden="1" customHeight="1">
      <c r="X1" s="264"/>
      <c r="Y1" s="264"/>
      <c r="AE1" s="264"/>
      <c r="AF1" s="264"/>
      <c r="AQ1" s="1073" t="s">
        <v>14</v>
      </c>
    </row>
    <row r="2" spans="1:43" ht="23.25" hidden="1" customHeight="1">
      <c r="A2" s="1281"/>
      <c r="B2" s="1281"/>
      <c r="C2" s="1281"/>
      <c r="D2" s="1281"/>
      <c r="E2" s="2642">
        <v>1</v>
      </c>
      <c r="F2" s="1281"/>
      <c r="G2" s="1281"/>
      <c r="H2" s="1281"/>
      <c r="I2" s="1281"/>
      <c r="J2" s="1281"/>
      <c r="K2" s="1281"/>
      <c r="L2" s="1282"/>
      <c r="M2" s="1283"/>
      <c r="N2" s="1283"/>
      <c r="O2" s="1283"/>
      <c r="P2" s="297"/>
      <c r="Q2" s="296"/>
      <c r="R2" s="291"/>
      <c r="S2" s="1375" t="e">
        <f>INDEX(PT_DIFFERENTIATION_NUM_NTAR,MATCH(A2,PT_DIFFERENTIATION_NTAR_ID,0))</f>
        <v>#N/A</v>
      </c>
      <c r="T2" s="235" t="s">
        <v>116</v>
      </c>
      <c r="U2" s="237"/>
      <c r="V2" s="2636"/>
      <c r="W2" s="2637"/>
      <c r="X2" s="2637"/>
      <c r="Y2" s="2637"/>
      <c r="Z2" s="2637"/>
      <c r="AA2" s="2637"/>
      <c r="AB2" s="2638"/>
      <c r="AC2" s="2636" t="e">
        <f>INDEX(PT_DIFFERENTIATION_NTAR,MATCH(A2,PT_DIFFERENTIATION_NTAR_ID,0))</f>
        <v>#N/A</v>
      </c>
      <c r="AD2" s="2637"/>
      <c r="AE2" s="2637"/>
      <c r="AF2" s="2637"/>
      <c r="AG2" s="2637"/>
      <c r="AH2" s="2637"/>
      <c r="AI2" s="2637"/>
      <c r="AJ2" s="263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643"/>
      <c r="F3" s="2642">
        <v>1</v>
      </c>
      <c r="G3" s="1281"/>
      <c r="H3" s="1281"/>
      <c r="I3" s="1281"/>
      <c r="J3" s="1281"/>
      <c r="K3" s="1281"/>
      <c r="L3" s="1282"/>
      <c r="M3" s="1283"/>
      <c r="N3" s="1283"/>
      <c r="O3" s="1283"/>
      <c r="P3" s="1371"/>
      <c r="Q3" s="288"/>
      <c r="R3" s="289"/>
      <c r="S3" s="1375" t="e">
        <f>INDEX(PT_DIFFERENTIATION_NUM_TER,MATCH(B3,PT_DIFFERENTIATION_TER_ID,0))</f>
        <v>#N/A</v>
      </c>
      <c r="T3" s="245" t="s">
        <v>388</v>
      </c>
      <c r="U3" s="237"/>
      <c r="V3" s="2636"/>
      <c r="W3" s="2637"/>
      <c r="X3" s="2637"/>
      <c r="Y3" s="2637"/>
      <c r="Z3" s="2637"/>
      <c r="AA3" s="2637"/>
      <c r="AB3" s="2638"/>
      <c r="AC3" s="2636" t="e">
        <f>INDEX(PT_DIFFERENTIATION_TER,MATCH(B3,PT_DIFFERENTIATION_TER_ID,0))</f>
        <v>#N/A</v>
      </c>
      <c r="AD3" s="2637"/>
      <c r="AE3" s="2637"/>
      <c r="AF3" s="2637"/>
      <c r="AG3" s="2637"/>
      <c r="AH3" s="2637"/>
      <c r="AI3" s="2637"/>
      <c r="AJ3" s="2638"/>
      <c r="AK3" s="1176" t="s">
        <v>389</v>
      </c>
      <c r="AM3" s="436"/>
      <c r="AN3" s="436" t="str">
        <f t="shared" si="0"/>
        <v>Территория действия тарифа</v>
      </c>
      <c r="AO3" s="436"/>
      <c r="AP3" s="436"/>
      <c r="AQ3" s="1073">
        <v>0</v>
      </c>
    </row>
    <row r="4" spans="1:43" ht="23.25" hidden="1" customHeight="1">
      <c r="A4" s="1281"/>
      <c r="B4" s="1281"/>
      <c r="C4" s="1281"/>
      <c r="D4" s="1281"/>
      <c r="E4" s="2643"/>
      <c r="F4" s="2643"/>
      <c r="G4" s="2642">
        <v>1</v>
      </c>
      <c r="H4" s="1281"/>
      <c r="I4" s="1281"/>
      <c r="J4" s="1281"/>
      <c r="K4" s="1281"/>
      <c r="L4" s="1282"/>
      <c r="M4" s="1283"/>
      <c r="N4" s="1283"/>
      <c r="O4" s="1283"/>
      <c r="P4" s="290"/>
      <c r="Q4" s="288"/>
      <c r="R4" s="289"/>
      <c r="S4" s="1375" t="e">
        <f>INDEX(PT_DIFFERENTIATION_NUM_CS,MATCH(C4,PT_DIFFERENTIATION_CS_ID,0))</f>
        <v>#N/A</v>
      </c>
      <c r="T4" s="246" t="s">
        <v>472</v>
      </c>
      <c r="U4" s="237"/>
      <c r="V4" s="2636"/>
      <c r="W4" s="2637"/>
      <c r="X4" s="2637"/>
      <c r="Y4" s="2637"/>
      <c r="Z4" s="2637"/>
      <c r="AA4" s="2637"/>
      <c r="AB4" s="2638"/>
      <c r="AC4" s="2636" t="e">
        <f>INDEX(PT_DIFFERENTIATION_CS,MATCH(C4,PT_DIFFERENTIATION_CS_ID,0))</f>
        <v>#N/A</v>
      </c>
      <c r="AD4" s="2637"/>
      <c r="AE4" s="2637"/>
      <c r="AF4" s="2637"/>
      <c r="AG4" s="2637"/>
      <c r="AH4" s="2637"/>
      <c r="AI4" s="2637"/>
      <c r="AJ4" s="2638"/>
      <c r="AK4" s="1176" t="s">
        <v>473</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643"/>
      <c r="F5" s="2643"/>
      <c r="G5" s="2643"/>
      <c r="H5" s="2643"/>
      <c r="I5" s="2644" t="e">
        <f>S4&amp;".1"</f>
        <v>#N/A</v>
      </c>
      <c r="J5" s="1281"/>
      <c r="K5" s="1281"/>
      <c r="L5" s="1282"/>
      <c r="P5" s="2646">
        <v>1</v>
      </c>
      <c r="Q5" s="1368"/>
      <c r="R5" s="292"/>
      <c r="S5" s="1375" t="e">
        <f>$I5</f>
        <v>#N/A</v>
      </c>
      <c r="T5" s="222" t="s">
        <v>474</v>
      </c>
      <c r="U5" s="237"/>
      <c r="V5" s="2710"/>
      <c r="W5" s="2711"/>
      <c r="X5" s="2711"/>
      <c r="Y5" s="2711"/>
      <c r="Z5" s="2711"/>
      <c r="AA5" s="2711"/>
      <c r="AB5" s="2712"/>
      <c r="AC5" s="2713"/>
      <c r="AD5" s="2714"/>
      <c r="AE5" s="2714"/>
      <c r="AF5" s="2714"/>
      <c r="AG5" s="2714"/>
      <c r="AH5" s="2714"/>
      <c r="AI5" s="2714"/>
      <c r="AJ5" s="2715"/>
      <c r="AK5" s="1176" t="s">
        <v>475</v>
      </c>
      <c r="AM5" s="436"/>
      <c r="AN5" s="436" t="str">
        <f t="shared" si="0"/>
        <v>Наименование признака дифференциации</v>
      </c>
      <c r="AO5" s="436"/>
      <c r="AP5" s="436"/>
      <c r="AQ5" s="1073">
        <v>0</v>
      </c>
    </row>
    <row r="6" spans="1:43" ht="23.25" hidden="1" customHeight="1">
      <c r="A6" s="1281"/>
      <c r="B6" s="1281"/>
      <c r="C6" s="1281"/>
      <c r="D6" s="1281"/>
      <c r="E6" s="2643"/>
      <c r="F6" s="2643"/>
      <c r="G6" s="2643"/>
      <c r="H6" s="2643"/>
      <c r="I6" s="2645"/>
      <c r="J6" s="2644" t="e">
        <f>I5&amp;".1"</f>
        <v>#N/A</v>
      </c>
      <c r="K6" s="1281"/>
      <c r="L6" s="1282" t="s">
        <v>397</v>
      </c>
      <c r="P6" s="2646"/>
      <c r="Q6" s="2646">
        <v>1</v>
      </c>
      <c r="R6" s="293"/>
      <c r="S6" s="1375" t="e">
        <f>$J6</f>
        <v>#N/A</v>
      </c>
      <c r="T6" s="223" t="s">
        <v>398</v>
      </c>
      <c r="U6" s="237"/>
      <c r="V6" s="2630"/>
      <c r="W6" s="2631"/>
      <c r="X6" s="2631"/>
      <c r="Y6" s="2631"/>
      <c r="Z6" s="2631"/>
      <c r="AA6" s="2631"/>
      <c r="AB6" s="2632"/>
      <c r="AC6" s="2630"/>
      <c r="AD6" s="2631"/>
      <c r="AE6" s="2631"/>
      <c r="AF6" s="2631"/>
      <c r="AG6" s="2631"/>
      <c r="AH6" s="2631"/>
      <c r="AI6" s="2631"/>
      <c r="AJ6" s="2632"/>
      <c r="AK6" s="1225" t="s">
        <v>476</v>
      </c>
      <c r="AM6" s="436"/>
      <c r="AN6" s="436" t="str">
        <f t="shared" si="0"/>
        <v>Группа потребителей</v>
      </c>
      <c r="AO6" s="436"/>
      <c r="AP6" s="436"/>
      <c r="AQ6" s="1073">
        <v>0</v>
      </c>
    </row>
    <row r="7" spans="1:43" ht="23.25" hidden="1" customHeight="1">
      <c r="A7" s="1281"/>
      <c r="B7" s="1281"/>
      <c r="C7" s="1281"/>
      <c r="D7" s="1281"/>
      <c r="E7" s="2643"/>
      <c r="F7" s="2643"/>
      <c r="G7" s="2643"/>
      <c r="H7" s="2643"/>
      <c r="I7" s="2645"/>
      <c r="J7" s="2645"/>
      <c r="K7" s="2644" t="e">
        <f>J6&amp;".1"</f>
        <v>#N/A</v>
      </c>
      <c r="L7" s="1282"/>
      <c r="P7" s="2646"/>
      <c r="Q7" s="2646"/>
      <c r="R7" s="293">
        <v>1</v>
      </c>
      <c r="S7" s="1375" t="e">
        <f>$K7</f>
        <v>#N/A</v>
      </c>
      <c r="T7" s="1355"/>
      <c r="U7" s="237"/>
      <c r="V7" s="687"/>
      <c r="W7" s="687"/>
      <c r="X7" s="1175"/>
      <c r="Y7" s="2647"/>
      <c r="Z7" s="2524" t="s">
        <v>65</v>
      </c>
      <c r="AA7" s="2647"/>
      <c r="AB7" s="2524" t="s">
        <v>65</v>
      </c>
      <c r="AC7" s="687"/>
      <c r="AD7" s="687"/>
      <c r="AE7" s="1175"/>
      <c r="AF7" s="2647"/>
      <c r="AG7" s="2524" t="s">
        <v>65</v>
      </c>
      <c r="AH7" s="2649"/>
      <c r="AI7" s="2524" t="s">
        <v>65</v>
      </c>
      <c r="AJ7" s="1356"/>
      <c r="AK7"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643"/>
      <c r="F8" s="2643"/>
      <c r="G8" s="2643"/>
      <c r="H8" s="2643"/>
      <c r="I8" s="2645"/>
      <c r="J8" s="2645"/>
      <c r="K8" s="2644"/>
      <c r="L8" s="1282"/>
      <c r="P8" s="2646"/>
      <c r="Q8" s="2646"/>
      <c r="R8" s="293"/>
      <c r="S8" s="1374"/>
      <c r="T8" s="237"/>
      <c r="U8" s="237"/>
      <c r="V8" s="262"/>
      <c r="W8" s="262"/>
      <c r="X8" s="265" t="str">
        <f>Y7&amp;"-"&amp;AA7</f>
        <v>-</v>
      </c>
      <c r="Y8" s="2648"/>
      <c r="Z8" s="2524"/>
      <c r="AA8" s="2648"/>
      <c r="AB8" s="2524"/>
      <c r="AC8" s="262"/>
      <c r="AD8" s="262"/>
      <c r="AE8" s="265" t="str">
        <f>AF7&amp;"-"&amp;AH7</f>
        <v>-</v>
      </c>
      <c r="AF8" s="2648"/>
      <c r="AG8" s="2524"/>
      <c r="AH8" s="2650"/>
      <c r="AI8" s="2524"/>
      <c r="AJ8" s="1357"/>
      <c r="AK8" s="2716"/>
      <c r="AM8" s="436"/>
      <c r="AN8" s="436" t="str">
        <f t="shared" si="0"/>
        <v/>
      </c>
      <c r="AO8" s="436"/>
      <c r="AP8" s="436"/>
      <c r="AQ8" s="1073">
        <v>0</v>
      </c>
    </row>
    <row r="9" spans="1:43" ht="21" hidden="1" customHeight="1">
      <c r="A9" s="1281"/>
      <c r="B9" s="1281"/>
      <c r="C9" s="1281"/>
      <c r="D9" s="1281"/>
      <c r="E9" s="2643"/>
      <c r="F9" s="2643"/>
      <c r="G9" s="2643"/>
      <c r="H9" s="2643"/>
      <c r="I9" s="2645"/>
      <c r="J9" s="2644"/>
      <c r="K9" s="1281"/>
      <c r="L9" s="1282"/>
      <c r="P9" s="2646"/>
      <c r="Q9" s="2646"/>
      <c r="R9" s="292"/>
      <c r="S9" s="1196"/>
      <c r="T9" s="224" t="s">
        <v>477</v>
      </c>
      <c r="U9" s="303"/>
      <c r="V9" s="303"/>
      <c r="W9" s="303"/>
      <c r="X9" s="303"/>
      <c r="Y9" s="303"/>
      <c r="Z9" s="303"/>
      <c r="AA9" s="303"/>
      <c r="AB9" s="303"/>
      <c r="AC9" s="303"/>
      <c r="AD9" s="303"/>
      <c r="AE9" s="303"/>
      <c r="AF9" s="303"/>
      <c r="AG9" s="303"/>
      <c r="AH9" s="303"/>
      <c r="AI9" s="303"/>
      <c r="AJ9" s="303"/>
      <c r="AK9" s="1176" t="s">
        <v>478</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643"/>
      <c r="F10" s="2643"/>
      <c r="G10" s="2643"/>
      <c r="H10" s="2643"/>
      <c r="I10" s="2644"/>
      <c r="J10" s="1281"/>
      <c r="K10" s="1281"/>
      <c r="L10" s="1282"/>
      <c r="P10" s="2646"/>
      <c r="Q10" s="1368"/>
      <c r="R10" s="292"/>
      <c r="S10" s="1196"/>
      <c r="T10" s="301" t="s">
        <v>403</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643"/>
      <c r="F11" s="2643"/>
      <c r="G11" s="2643"/>
      <c r="H11" s="2642"/>
      <c r="I11" s="1281"/>
      <c r="J11" s="1281"/>
      <c r="K11" s="1281"/>
      <c r="L11" s="1282"/>
      <c r="M11" s="1283"/>
      <c r="N11" s="1283"/>
      <c r="O11" s="473"/>
      <c r="P11" s="296"/>
      <c r="Q11" s="311"/>
      <c r="R11" s="291"/>
      <c r="S11" s="1196"/>
      <c r="T11" s="308" t="s">
        <v>479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7" customFormat="1" ht="14.25" hidden="1" customHeight="1">
      <c r="A12" s="1261"/>
      <c r="B12" s="1261"/>
      <c r="C12" s="1232"/>
      <c r="D12" s="1232"/>
      <c r="E12" s="2643"/>
      <c r="F12" s="2642"/>
      <c r="G12" s="1232"/>
      <c r="H12" s="1232"/>
      <c r="I12" s="1232"/>
      <c r="J12" s="1232"/>
      <c r="K12" s="1232"/>
      <c r="L12" s="1376"/>
      <c r="M12" s="1239"/>
      <c r="N12" s="1239"/>
      <c r="P12" s="1234"/>
      <c r="Q12" s="1235"/>
      <c r="R12" s="1234"/>
      <c r="S12" s="1240"/>
      <c r="T12" s="1243" t="s">
        <v>406</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7" customFormat="1" ht="14.25" hidden="1" customHeight="1">
      <c r="A13" s="1261"/>
      <c r="B13" s="1261"/>
      <c r="C13" s="1261"/>
      <c r="D13" s="1261"/>
      <c r="E13" s="2642"/>
      <c r="F13" s="1261"/>
      <c r="G13" s="1261"/>
      <c r="H13" s="1261"/>
      <c r="I13" s="1261"/>
      <c r="J13" s="1261"/>
      <c r="K13" s="1261"/>
      <c r="L13" s="1264"/>
      <c r="M13" s="1239"/>
      <c r="N13" s="1239"/>
      <c r="O13" s="454"/>
      <c r="P13" s="316"/>
      <c r="Q13" s="1262"/>
      <c r="R13" s="316"/>
      <c r="S13" s="1240"/>
      <c r="T13" s="1243" t="s">
        <v>407</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640"/>
      <c r="AG15" s="2639" t="s">
        <v>65</v>
      </c>
      <c r="AH15" s="2640"/>
      <c r="AI15" s="2639" t="s">
        <v>65</v>
      </c>
      <c r="AQ15" s="1073">
        <v>0</v>
      </c>
    </row>
    <row r="16" spans="1:43" ht="14.25" hidden="1" customHeight="1">
      <c r="AC16" s="1278"/>
      <c r="AD16" s="1278"/>
      <c r="AE16" s="265" t="str">
        <f>AF15&amp;"-"&amp;AH15</f>
        <v>-</v>
      </c>
      <c r="AF16" s="2639"/>
      <c r="AG16" s="2639"/>
      <c r="AH16" s="2639"/>
      <c r="AI16" s="2639"/>
      <c r="AQ16" s="1073">
        <v>0</v>
      </c>
    </row>
    <row r="17" spans="1:43" ht="14.25" hidden="1" customHeight="1">
      <c r="AI17" s="264"/>
      <c r="AQ17" s="1073">
        <v>0</v>
      </c>
    </row>
    <row r="18" spans="1:43" s="2406" customFormat="1" ht="22.5" hidden="1" customHeight="1">
      <c r="L18" s="1365"/>
      <c r="M18" s="1280"/>
      <c r="N18" s="1280"/>
      <c r="O18" s="1285" t="s">
        <v>408</v>
      </c>
      <c r="P18" s="1280"/>
      <c r="Q18" s="1289"/>
      <c r="R18" s="1289"/>
      <c r="S18" s="665"/>
      <c r="Y18" s="1285"/>
      <c r="AA18" s="1285"/>
      <c r="AB18" s="1284"/>
      <c r="AF18" s="1285"/>
      <c r="AH18" s="1285"/>
      <c r="AI18" s="1284"/>
      <c r="AL18" s="447"/>
      <c r="AM18" s="447"/>
      <c r="AN18" s="447"/>
      <c r="AO18" s="447"/>
      <c r="AP18" s="447"/>
      <c r="AQ18" s="1078">
        <v>0</v>
      </c>
    </row>
    <row r="19" spans="1:43" s="2406"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406" customFormat="1" ht="12" hidden="1" customHeight="1">
      <c r="L20" s="1365"/>
      <c r="M20" s="1280"/>
      <c r="N20" s="1280"/>
      <c r="O20" s="1282" t="s">
        <v>409</v>
      </c>
      <c r="P20" s="1280"/>
      <c r="Q20" s="1360"/>
      <c r="R20" s="1360"/>
      <c r="S20" s="665"/>
      <c r="T20" s="1078" t="s">
        <v>410</v>
      </c>
      <c r="Z20" s="123" t="s">
        <v>411</v>
      </c>
      <c r="AB20" s="123" t="s">
        <v>412</v>
      </c>
      <c r="AC20" s="1078" t="s">
        <v>410</v>
      </c>
      <c r="AG20" s="123" t="s">
        <v>413</v>
      </c>
      <c r="AI20" s="123" t="s">
        <v>412</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6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3"/>
      <c r="U24" s="2623"/>
      <c r="V24" s="2623"/>
      <c r="W24" s="2623"/>
      <c r="X24" s="2623"/>
      <c r="Y24" s="2623"/>
      <c r="Z24" s="2623"/>
      <c r="AA24" s="2623"/>
      <c r="AB24" s="2623"/>
      <c r="AC24" s="2623"/>
      <c r="AD24" s="2623"/>
      <c r="AE24" s="2623"/>
      <c r="AF24" s="2623"/>
      <c r="AG24" s="2623"/>
      <c r="AH24" s="2623"/>
      <c r="AI24" s="1161"/>
      <c r="AQ24" s="1073">
        <v>14</v>
      </c>
    </row>
    <row r="25" spans="1:43" ht="14.65" customHeight="1">
      <c r="Q25" s="312"/>
      <c r="R25" s="312"/>
      <c r="S25" s="2595" t="str">
        <f>IF(org=0,"Не определено",org)</f>
        <v>ПАО "ТГК-1" (филиал "Кольский")</v>
      </c>
      <c r="T25" s="2595"/>
      <c r="U25" s="2595"/>
      <c r="V25" s="2595"/>
      <c r="W25" s="2595"/>
      <c r="X25" s="2595"/>
      <c r="Y25" s="2595"/>
      <c r="Z25" s="2595"/>
      <c r="AA25" s="2595"/>
      <c r="AB25" s="2595"/>
      <c r="AC25" s="2595"/>
      <c r="AD25" s="2595"/>
      <c r="AE25" s="2595"/>
      <c r="AF25" s="2595"/>
      <c r="AG25" s="2595"/>
      <c r="AH25" s="2595"/>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6" customFormat="1" ht="25.5" hidden="1" customHeight="1">
      <c r="A27" s="1286"/>
      <c r="B27" s="1286"/>
      <c r="C27" s="1286"/>
      <c r="D27" s="1286"/>
      <c r="E27" s="1286"/>
      <c r="F27" s="1286"/>
      <c r="G27" s="1286"/>
      <c r="H27" s="1286"/>
      <c r="I27" s="1286"/>
      <c r="J27" s="1286"/>
      <c r="K27" s="1286"/>
      <c r="L27" s="1287"/>
      <c r="M27" s="1286"/>
      <c r="N27" s="1286"/>
      <c r="O27" s="1286"/>
      <c r="S27" s="2633" t="s">
        <v>41</v>
      </c>
      <c r="T27" s="2633"/>
      <c r="U27" s="1290"/>
      <c r="V27" s="2635" t="str">
        <f>IF(TITLE_NAME_OR_PR_CHANGE="",IF(TITLE_NAME_OR_PR="","",TITLE_NAME_OR_PR),TITLE_NAME_OR_PR_CHANGE)</f>
        <v/>
      </c>
      <c r="W27" s="2635"/>
      <c r="X27" s="2635"/>
      <c r="Y27" s="2635"/>
      <c r="Z27" s="2635"/>
      <c r="AA27" s="2635"/>
      <c r="AB27" s="263"/>
      <c r="AC27" s="2635" t="str">
        <f>IF(TITLE_NAME_OR_PR_CHANGE="",IF(TITLE_NAME_OR_PR="","",TITLE_NAME_OR_PR),TITLE_NAME_OR_PR_CHANGE)</f>
        <v/>
      </c>
      <c r="AD27" s="2635"/>
      <c r="AE27" s="2635"/>
      <c r="AF27" s="2635"/>
      <c r="AG27" s="2635"/>
      <c r="AH27" s="2635"/>
      <c r="AI27" s="263"/>
      <c r="AJ27" s="263"/>
      <c r="AK27" s="217"/>
      <c r="AL27" s="304"/>
      <c r="AM27" s="304"/>
      <c r="AN27" s="304"/>
      <c r="AO27" s="304"/>
      <c r="AP27" s="304"/>
      <c r="AQ27" s="354">
        <v>0</v>
      </c>
    </row>
    <row r="28" spans="1:43" s="2416" customFormat="1" ht="18.75" hidden="1" customHeight="1">
      <c r="A28" s="1286"/>
      <c r="B28" s="1286"/>
      <c r="C28" s="1286"/>
      <c r="D28" s="1286"/>
      <c r="E28" s="1286"/>
      <c r="F28" s="1286"/>
      <c r="G28" s="1286"/>
      <c r="H28" s="1286"/>
      <c r="I28" s="1286"/>
      <c r="J28" s="1286"/>
      <c r="K28" s="1286"/>
      <c r="L28" s="1287"/>
      <c r="M28" s="1286"/>
      <c r="N28" s="1286"/>
      <c r="O28" s="1286"/>
      <c r="S28" s="2633" t="s">
        <v>414</v>
      </c>
      <c r="T28" s="2633"/>
      <c r="U28" s="1290"/>
      <c r="V28" s="2634" t="str">
        <f>IF(TITLE_DATE_PR_CHANGE="",IF(TITLE_DATE_PR="","",TITLE_DATE_PR),TITLE_DATE_PR_CHANGE)</f>
        <v/>
      </c>
      <c r="W28" s="2634"/>
      <c r="X28" s="2634"/>
      <c r="Y28" s="2634"/>
      <c r="Z28" s="2634"/>
      <c r="AA28" s="2634"/>
      <c r="AB28" s="263"/>
      <c r="AC28" s="2634" t="str">
        <f>IF(TITLE_DATE_PR_CHANGE="",IF(TITLE_DATE_PR="","",TITLE_DATE_PR),TITLE_DATE_PR_CHANGE)</f>
        <v/>
      </c>
      <c r="AD28" s="2634"/>
      <c r="AE28" s="2634"/>
      <c r="AF28" s="2634"/>
      <c r="AG28" s="2634"/>
      <c r="AH28" s="2634"/>
      <c r="AI28" s="263"/>
      <c r="AJ28" s="263"/>
      <c r="AK28" s="217"/>
      <c r="AL28" s="304"/>
      <c r="AM28" s="304"/>
      <c r="AN28" s="304"/>
      <c r="AO28" s="304"/>
      <c r="AP28" s="304"/>
      <c r="AQ28" s="354">
        <v>0</v>
      </c>
    </row>
    <row r="29" spans="1:43" s="2416" customFormat="1" ht="18.75" hidden="1" customHeight="1">
      <c r="A29" s="1286"/>
      <c r="B29" s="1286"/>
      <c r="C29" s="1286"/>
      <c r="D29" s="1286"/>
      <c r="E29" s="1286"/>
      <c r="F29" s="1286"/>
      <c r="G29" s="1286"/>
      <c r="H29" s="1286"/>
      <c r="I29" s="1286"/>
      <c r="J29" s="1286"/>
      <c r="K29" s="1286"/>
      <c r="L29" s="1287"/>
      <c r="M29" s="1286"/>
      <c r="N29" s="1286"/>
      <c r="O29" s="1286"/>
      <c r="S29" s="2633" t="s">
        <v>415</v>
      </c>
      <c r="T29" s="2633"/>
      <c r="U29" s="1290"/>
      <c r="V29" s="2635" t="str">
        <f>IF(TITLE_NUMBER_PR_CHANGE="",IF(TITLE_NUMBER_PR="","",TITLE_NUMBER_PR),TITLE_NUMBER_PR_CHANGE)</f>
        <v/>
      </c>
      <c r="W29" s="2635"/>
      <c r="X29" s="2635"/>
      <c r="Y29" s="2635"/>
      <c r="Z29" s="2635"/>
      <c r="AA29" s="2635"/>
      <c r="AB29" s="263"/>
      <c r="AC29" s="2635" t="str">
        <f>IF(TITLE_NUMBER_PR_CHANGE="",IF(TITLE_NUMBER_PR="","",TITLE_NUMBER_PR),TITLE_NUMBER_PR_CHANGE)</f>
        <v/>
      </c>
      <c r="AD29" s="2635"/>
      <c r="AE29" s="2635"/>
      <c r="AF29" s="2635"/>
      <c r="AG29" s="2635"/>
      <c r="AH29" s="2635"/>
      <c r="AI29" s="263"/>
      <c r="AJ29" s="263"/>
      <c r="AK29" s="217"/>
      <c r="AL29" s="304"/>
      <c r="AM29" s="304"/>
      <c r="AN29" s="304"/>
      <c r="AO29" s="304"/>
      <c r="AP29" s="304"/>
      <c r="AQ29" s="354">
        <v>0</v>
      </c>
    </row>
    <row r="30" spans="1:43" s="2416" customFormat="1" ht="18.75" hidden="1" customHeight="1">
      <c r="A30" s="1286"/>
      <c r="B30" s="1286"/>
      <c r="C30" s="1286"/>
      <c r="D30" s="1286"/>
      <c r="E30" s="1286"/>
      <c r="F30" s="1286"/>
      <c r="G30" s="1286"/>
      <c r="H30" s="1286"/>
      <c r="I30" s="1286"/>
      <c r="J30" s="1286"/>
      <c r="K30" s="1286"/>
      <c r="L30" s="1287"/>
      <c r="M30" s="1286"/>
      <c r="N30" s="1286"/>
      <c r="O30" s="1286"/>
      <c r="S30" s="2633" t="s">
        <v>42</v>
      </c>
      <c r="T30" s="2633"/>
      <c r="U30" s="1290"/>
      <c r="V30" s="2635" t="str">
        <f>IF(TITLE_IST_PUB_CHANGE="",IF(TITLE_IST_PUB="","",TITLE_IST_PUB),TITLE_IST_PUB_CHANGE)</f>
        <v/>
      </c>
      <c r="W30" s="2635"/>
      <c r="X30" s="2635"/>
      <c r="Y30" s="2635"/>
      <c r="Z30" s="2635"/>
      <c r="AA30" s="2635"/>
      <c r="AB30" s="263"/>
      <c r="AC30" s="2635" t="str">
        <f>IF(TITLE_IST_PUB_CHANGE="",IF(TITLE_IST_PUB="","",TITLE_IST_PUB),TITLE_IST_PUB_CHANGE)</f>
        <v/>
      </c>
      <c r="AD30" s="2635"/>
      <c r="AE30" s="2635"/>
      <c r="AF30" s="2635"/>
      <c r="AG30" s="2635"/>
      <c r="AH30" s="2635"/>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6" customFormat="1" ht="18.75" hidden="1" customHeight="1">
      <c r="A32" s="1286"/>
      <c r="B32" s="1286"/>
      <c r="C32" s="1286"/>
      <c r="D32" s="1286"/>
      <c r="E32" s="1286"/>
      <c r="F32" s="1286"/>
      <c r="G32" s="1286"/>
      <c r="H32" s="1286"/>
      <c r="I32" s="1286"/>
      <c r="J32" s="1286"/>
      <c r="K32" s="1286"/>
      <c r="L32" s="1287"/>
      <c r="M32" s="1286"/>
      <c r="N32" s="1286"/>
      <c r="O32" s="1286"/>
      <c r="S32" s="2633" t="s">
        <v>416</v>
      </c>
      <c r="T32" s="2633"/>
      <c r="U32" s="1290"/>
      <c r="V32" s="2634" t="str">
        <f>IF(TITLE_DATE_PR_CHANGE="",IF(TITLE_DATE_PR="","",TITLE_DATE_PR),TITLE_DATE_PR_CHANGE)</f>
        <v/>
      </c>
      <c r="W32" s="2634"/>
      <c r="X32" s="2634"/>
      <c r="Y32" s="2634"/>
      <c r="Z32" s="2634"/>
      <c r="AA32" s="2634"/>
      <c r="AB32" s="263"/>
      <c r="AC32" s="2634" t="str">
        <f>IF(TITLE_DATE_PR_CHANGE="",IF(TITLE_DATE_PR="","",TITLE_DATE_PR),TITLE_DATE_PR_CHANGE)</f>
        <v/>
      </c>
      <c r="AD32" s="2634"/>
      <c r="AE32" s="2634"/>
      <c r="AF32" s="2634"/>
      <c r="AG32" s="2634"/>
      <c r="AH32" s="2634"/>
      <c r="AI32" s="263"/>
      <c r="AJ32" s="263"/>
      <c r="AK32" s="217"/>
      <c r="AL32" s="304"/>
      <c r="AM32" s="304"/>
      <c r="AN32" s="304"/>
      <c r="AO32" s="304"/>
      <c r="AP32" s="304"/>
      <c r="AQ32" s="354">
        <v>0</v>
      </c>
    </row>
    <row r="33" spans="1:43" s="2416" customFormat="1" ht="18.75" hidden="1" customHeight="1">
      <c r="A33" s="1286"/>
      <c r="B33" s="1286"/>
      <c r="C33" s="1286"/>
      <c r="D33" s="1286"/>
      <c r="E33" s="1286"/>
      <c r="F33" s="1286"/>
      <c r="G33" s="1286"/>
      <c r="H33" s="1286"/>
      <c r="I33" s="1286"/>
      <c r="J33" s="1286"/>
      <c r="K33" s="1286"/>
      <c r="L33" s="1287"/>
      <c r="M33" s="1286"/>
      <c r="N33" s="1286"/>
      <c r="O33" s="1286"/>
      <c r="S33" s="2633" t="s">
        <v>417</v>
      </c>
      <c r="T33" s="2633"/>
      <c r="U33" s="1290"/>
      <c r="V33" s="2635" t="str">
        <f>IF(TITLE_NUMBER_PR_CHANGE="",IF(TITLE_NUMBER_PR="","",TITLE_NUMBER_PR),TITLE_NUMBER_PR_CHANGE)</f>
        <v/>
      </c>
      <c r="W33" s="2635"/>
      <c r="X33" s="2635"/>
      <c r="Y33" s="2635"/>
      <c r="Z33" s="2635"/>
      <c r="AA33" s="2635"/>
      <c r="AB33" s="263"/>
      <c r="AC33" s="2635" t="str">
        <f>IF(TITLE_NUMBER_PR_CHANGE="",IF(TITLE_NUMBER_PR="","",TITLE_NUMBER_PR),TITLE_NUMBER_PR_CHANGE)</f>
        <v/>
      </c>
      <c r="AD33" s="2635"/>
      <c r="AE33" s="2635"/>
      <c r="AF33" s="2635"/>
      <c r="AG33" s="2635"/>
      <c r="AH33" s="2635"/>
      <c r="AI33" s="263"/>
      <c r="AJ33" s="263"/>
      <c r="AK33" s="217"/>
      <c r="AL33" s="304"/>
      <c r="AM33" s="304"/>
      <c r="AN33" s="304"/>
      <c r="AO33" s="304"/>
      <c r="AP33" s="304"/>
      <c r="AQ33" s="354">
        <v>0</v>
      </c>
    </row>
    <row r="34" spans="1:43" s="2416"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418</v>
      </c>
      <c r="AC34" s="263"/>
      <c r="AD34" s="263"/>
      <c r="AE34" s="263"/>
      <c r="AF34" s="263"/>
      <c r="AG34" s="263"/>
      <c r="AH34" s="263"/>
      <c r="AI34" s="215" t="s">
        <v>418</v>
      </c>
      <c r="AL34" s="304"/>
      <c r="AM34" s="304"/>
      <c r="AN34" s="304"/>
      <c r="AO34" s="304"/>
      <c r="AP34" s="304"/>
      <c r="AQ34" s="354">
        <v>1</v>
      </c>
    </row>
    <row r="35" spans="1:43" ht="14.65" customHeight="1">
      <c r="Q35" s="312"/>
      <c r="R35" s="312"/>
      <c r="S35" s="1193"/>
      <c r="T35" s="299"/>
      <c r="U35" s="1162"/>
      <c r="V35" s="2654"/>
      <c r="W35" s="2654"/>
      <c r="X35" s="2654"/>
      <c r="Y35" s="2654"/>
      <c r="Z35" s="2654"/>
      <c r="AA35" s="2654"/>
      <c r="AB35" s="2654"/>
      <c r="AC35" s="2654"/>
      <c r="AD35" s="2654"/>
      <c r="AE35" s="2654"/>
      <c r="AF35" s="2654"/>
      <c r="AG35" s="2654"/>
      <c r="AH35" s="2654"/>
      <c r="AI35" s="2654"/>
      <c r="AQ35" s="1073">
        <v>14</v>
      </c>
    </row>
    <row r="36" spans="1:43" ht="14.65" customHeight="1">
      <c r="Q36" s="312"/>
      <c r="R36" s="312"/>
      <c r="S36" s="2514" t="s">
        <v>291</v>
      </c>
      <c r="T36" s="2514"/>
      <c r="U36" s="2514"/>
      <c r="V36" s="2514"/>
      <c r="W36" s="2514"/>
      <c r="X36" s="2514"/>
      <c r="Y36" s="2514"/>
      <c r="Z36" s="2514"/>
      <c r="AA36" s="2514"/>
      <c r="AB36" s="2514"/>
      <c r="AC36" s="2514"/>
      <c r="AD36" s="2514"/>
      <c r="AE36" s="2514"/>
      <c r="AF36" s="2514"/>
      <c r="AG36" s="2514"/>
      <c r="AH36" s="2514"/>
      <c r="AI36" s="2514"/>
      <c r="AJ36" s="2514"/>
      <c r="AK36" s="2514" t="s">
        <v>292</v>
      </c>
      <c r="AQ36" s="1073">
        <v>14</v>
      </c>
    </row>
    <row r="37" spans="1:43" ht="14.65" customHeight="1">
      <c r="Q37" s="312"/>
      <c r="R37" s="312"/>
      <c r="S37" s="2655" t="s">
        <v>84</v>
      </c>
      <c r="T37" s="2603" t="s">
        <v>419</v>
      </c>
      <c r="U37" s="238"/>
      <c r="V37" s="2656" t="s">
        <v>420</v>
      </c>
      <c r="W37" s="2657"/>
      <c r="X37" s="2657"/>
      <c r="Y37" s="2657"/>
      <c r="Z37" s="2657"/>
      <c r="AA37" s="2658"/>
      <c r="AB37" s="2659" t="s">
        <v>421</v>
      </c>
      <c r="AC37" s="2656" t="s">
        <v>420</v>
      </c>
      <c r="AD37" s="2657"/>
      <c r="AE37" s="2657"/>
      <c r="AF37" s="2657"/>
      <c r="AG37" s="2657"/>
      <c r="AH37" s="2658"/>
      <c r="AI37" s="2659" t="s">
        <v>422</v>
      </c>
      <c r="AJ37" s="2662" t="s">
        <v>423</v>
      </c>
      <c r="AK37" s="2514"/>
      <c r="AQ37" s="1073">
        <v>14</v>
      </c>
    </row>
    <row r="38" spans="1:43" ht="35.65" customHeight="1">
      <c r="Q38" s="312"/>
      <c r="R38" s="312"/>
      <c r="S38" s="2655"/>
      <c r="T38" s="2603"/>
      <c r="U38" s="954"/>
      <c r="V38" s="1370" t="s">
        <v>480</v>
      </c>
      <c r="W38" s="2496" t="s">
        <v>426</v>
      </c>
      <c r="X38" s="2495"/>
      <c r="Y38" s="2496" t="s">
        <v>427</v>
      </c>
      <c r="Z38" s="2501"/>
      <c r="AA38" s="2495"/>
      <c r="AB38" s="2660"/>
      <c r="AC38" s="1370" t="s">
        <v>480</v>
      </c>
      <c r="AD38" s="2496" t="s">
        <v>426</v>
      </c>
      <c r="AE38" s="2495"/>
      <c r="AF38" s="2496" t="s">
        <v>427</v>
      </c>
      <c r="AG38" s="2501"/>
      <c r="AH38" s="2495"/>
      <c r="AI38" s="2660"/>
      <c r="AJ38" s="2663"/>
      <c r="AK38" s="2514"/>
      <c r="AQ38" s="1073">
        <v>34</v>
      </c>
    </row>
    <row r="39" spans="1:43" ht="35.65" customHeight="1">
      <c r="A39" s="1288"/>
      <c r="B39" s="1288" t="s">
        <v>128</v>
      </c>
      <c r="C39" s="1288" t="s">
        <v>129</v>
      </c>
      <c r="D39" s="1288" t="s">
        <v>130</v>
      </c>
      <c r="E39" s="1282" t="s">
        <v>428</v>
      </c>
      <c r="F39" s="1282" t="s">
        <v>429</v>
      </c>
      <c r="G39" s="1282" t="s">
        <v>430</v>
      </c>
      <c r="H39" s="1282"/>
      <c r="I39" s="1282" t="s">
        <v>481</v>
      </c>
      <c r="J39" s="1282" t="s">
        <v>433</v>
      </c>
      <c r="K39" s="1282" t="s">
        <v>482</v>
      </c>
      <c r="L39" s="1282" t="s">
        <v>409</v>
      </c>
      <c r="Q39" s="312"/>
      <c r="R39" s="312"/>
      <c r="S39" s="2655"/>
      <c r="T39" s="2603"/>
      <c r="U39" s="239"/>
      <c r="V39" s="1370" t="s">
        <v>483</v>
      </c>
      <c r="W39" s="1140" t="s">
        <v>484</v>
      </c>
      <c r="X39" s="1140" t="s">
        <v>485</v>
      </c>
      <c r="Y39" s="1373" t="s">
        <v>437</v>
      </c>
      <c r="Z39" s="2608" t="s">
        <v>438</v>
      </c>
      <c r="AA39" s="2622"/>
      <c r="AB39" s="2661"/>
      <c r="AC39" s="1370" t="s">
        <v>483</v>
      </c>
      <c r="AD39" s="1140" t="s">
        <v>484</v>
      </c>
      <c r="AE39" s="1140" t="s">
        <v>485</v>
      </c>
      <c r="AF39" s="1373" t="s">
        <v>437</v>
      </c>
      <c r="AG39" s="2608" t="s">
        <v>438</v>
      </c>
      <c r="AH39" s="2622"/>
      <c r="AI39" s="2661"/>
      <c r="AJ39" s="2664"/>
      <c r="AK39" s="2514"/>
      <c r="AQ39" s="1073">
        <v>34</v>
      </c>
    </row>
    <row r="40" spans="1:43" s="243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102</v>
      </c>
      <c r="T40" s="1173" t="s">
        <v>103</v>
      </c>
      <c r="U40" s="1163" t="str">
        <f ca="1">OFFSET(U40,0,-1)</f>
        <v>2</v>
      </c>
      <c r="V40" s="1369">
        <f ca="1">OFFSET(V40,0,-1)+1</f>
        <v>3</v>
      </c>
      <c r="W40" s="1369">
        <f ca="1">OFFSET(W40,0,-1)+1</f>
        <v>4</v>
      </c>
      <c r="X40" s="1369">
        <f ca="1">OFFSET(X40,0,-1)+1</f>
        <v>5</v>
      </c>
      <c r="Y40" s="1369">
        <f ca="1">OFFSET(Y40,0,-1)+1</f>
        <v>6</v>
      </c>
      <c r="Z40" s="2653">
        <f ca="1">OFFSET(Z40,0,-1)+1</f>
        <v>7</v>
      </c>
      <c r="AA40" s="2653"/>
      <c r="AB40" s="1369">
        <f ca="1">OFFSET(AB40,0,-2)+1</f>
        <v>8</v>
      </c>
      <c r="AC40" s="1369">
        <f ca="1">OFFSET(AC40,0,-1)+1</f>
        <v>9</v>
      </c>
      <c r="AD40" s="1369">
        <f ca="1">OFFSET(AD40,0,-1)+1</f>
        <v>10</v>
      </c>
      <c r="AE40" s="1369">
        <f ca="1">OFFSET(AE40,0,-1)+1</f>
        <v>11</v>
      </c>
      <c r="AF40" s="1369">
        <f ca="1">OFFSET(AF40,0,-1)+1</f>
        <v>12</v>
      </c>
      <c r="AG40" s="2653">
        <f ca="1">OFFSET(AG40,0,-1)+1</f>
        <v>13</v>
      </c>
      <c r="AH40" s="2653"/>
      <c r="AI40" s="1369">
        <f ca="1">OFFSET(AI40,0,-2)+1</f>
        <v>14</v>
      </c>
      <c r="AJ40" s="1163">
        <f ca="1">OFFSET(AJ40,0,-1)</f>
        <v>14</v>
      </c>
      <c r="AK40" s="1369">
        <f ca="1">OFFSET(AK40,0,-1)+1</f>
        <v>15</v>
      </c>
      <c r="AL40" s="447"/>
      <c r="AM40" s="447"/>
      <c r="AN40" s="447"/>
      <c r="AO40" s="447"/>
      <c r="AP40" s="447"/>
      <c r="AQ40" s="432">
        <v>0</v>
      </c>
    </row>
    <row r="41" spans="1:43" ht="24" customHeight="1">
      <c r="A41" s="1281" t="s">
        <v>222</v>
      </c>
      <c r="B41" s="1281"/>
      <c r="C41" s="1281"/>
      <c r="D41" s="1281"/>
      <c r="E41" s="2642">
        <v>1</v>
      </c>
      <c r="F41" s="1281"/>
      <c r="G41" s="1281"/>
      <c r="H41" s="1281"/>
      <c r="I41" s="1281"/>
      <c r="J41" s="1281"/>
      <c r="K41" s="1281"/>
      <c r="L41" s="1282"/>
      <c r="M41" s="1283"/>
      <c r="N41" s="1283"/>
      <c r="O41" s="1283"/>
      <c r="P41" s="297"/>
      <c r="Q41" s="296"/>
      <c r="R41" s="291"/>
      <c r="S41" s="1375">
        <f>INDEX(PT_DIFFERENTIATION_NUM_NTAR,MATCH(A41,PT_DIFFERENTIATION_NTAR_ID,0))</f>
        <v>0</v>
      </c>
      <c r="T41" s="235" t="s">
        <v>116</v>
      </c>
      <c r="U41" s="237"/>
      <c r="V41" s="2636"/>
      <c r="W41" s="2637"/>
      <c r="X41" s="2637"/>
      <c r="Y41" s="2637"/>
      <c r="Z41" s="2637"/>
      <c r="AA41" s="2637"/>
      <c r="AB41" s="2638"/>
      <c r="AC41" s="2636" t="str">
        <f>INDEX(PT_DIFFERENTIATION_NTAR,MATCH(A41,PT_DIFFERENTIATION_NTAR_ID,0))</f>
        <v/>
      </c>
      <c r="AD41" s="2637"/>
      <c r="AE41" s="2637"/>
      <c r="AF41" s="2637"/>
      <c r="AG41" s="2637"/>
      <c r="AH41" s="2637"/>
      <c r="AI41" s="2637"/>
      <c r="AJ41" s="263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222</v>
      </c>
      <c r="B42" s="1281" t="s">
        <v>223</v>
      </c>
      <c r="C42" s="1281"/>
      <c r="D42" s="1281"/>
      <c r="E42" s="2643"/>
      <c r="F42" s="2642">
        <v>1</v>
      </c>
      <c r="G42" s="1281"/>
      <c r="H42" s="1281"/>
      <c r="I42" s="1281"/>
      <c r="J42" s="1281"/>
      <c r="K42" s="1281"/>
      <c r="L42" s="1282"/>
      <c r="M42" s="1283"/>
      <c r="N42" s="1283"/>
      <c r="O42" s="1283"/>
      <c r="P42" s="1371"/>
      <c r="Q42" s="288"/>
      <c r="R42" s="289"/>
      <c r="S42" s="1375" t="str">
        <f>INDEX(PT_DIFFERENTIATION_NUM_TER,MATCH(B42,PT_DIFFERENTIATION_TER_ID,0))</f>
        <v>.</v>
      </c>
      <c r="T42" s="245" t="s">
        <v>388</v>
      </c>
      <c r="U42" s="237"/>
      <c r="V42" s="2636"/>
      <c r="W42" s="2637"/>
      <c r="X42" s="2637"/>
      <c r="Y42" s="2637"/>
      <c r="Z42" s="2637"/>
      <c r="AA42" s="2637"/>
      <c r="AB42" s="2638"/>
      <c r="AC42" s="2636" t="str">
        <f>INDEX(PT_DIFFERENTIATION_TER,MATCH(B42,PT_DIFFERENTIATION_TER_ID,0))</f>
        <v/>
      </c>
      <c r="AD42" s="2637"/>
      <c r="AE42" s="2637"/>
      <c r="AF42" s="2637"/>
      <c r="AG42" s="2637"/>
      <c r="AH42" s="2637"/>
      <c r="AI42" s="2637"/>
      <c r="AJ42" s="2638"/>
      <c r="AK42" s="1176" t="s">
        <v>389</v>
      </c>
      <c r="AM42" s="436"/>
      <c r="AN42" s="436" t="str">
        <f t="shared" si="1"/>
        <v>Территория действия тарифа</v>
      </c>
      <c r="AO42" s="436"/>
      <c r="AP42" s="436"/>
      <c r="AQ42" s="1073">
        <v>23</v>
      </c>
    </row>
    <row r="43" spans="1:43" ht="24" customHeight="1">
      <c r="A43" s="1281" t="s">
        <v>222</v>
      </c>
      <c r="B43" s="1281" t="s">
        <v>223</v>
      </c>
      <c r="C43" s="1281" t="s">
        <v>224</v>
      </c>
      <c r="D43" s="1281"/>
      <c r="E43" s="2643"/>
      <c r="F43" s="2643"/>
      <c r="G43" s="2642">
        <v>1</v>
      </c>
      <c r="H43" s="1281"/>
      <c r="I43" s="1281"/>
      <c r="J43" s="1281"/>
      <c r="K43" s="1281"/>
      <c r="L43" s="1282"/>
      <c r="M43" s="1283"/>
      <c r="N43" s="1283"/>
      <c r="O43" s="1283"/>
      <c r="P43" s="290"/>
      <c r="Q43" s="288"/>
      <c r="R43" s="289"/>
      <c r="S43" s="1375" t="str">
        <f>INDEX(PT_DIFFERENTIATION_NUM_CS,MATCH(C43,PT_DIFFERENTIATION_CS_ID,0))</f>
        <v>..</v>
      </c>
      <c r="T43" s="246" t="s">
        <v>472</v>
      </c>
      <c r="U43" s="237"/>
      <c r="V43" s="2636"/>
      <c r="W43" s="2637"/>
      <c r="X43" s="2637"/>
      <c r="Y43" s="2637"/>
      <c r="Z43" s="2637"/>
      <c r="AA43" s="2637"/>
      <c r="AB43" s="2638"/>
      <c r="AC43" s="2636" t="str">
        <f>INDEX(PT_DIFFERENTIATION_CS,MATCH(C43,PT_DIFFERENTIATION_CS_ID,0))</f>
        <v/>
      </c>
      <c r="AD43" s="2637"/>
      <c r="AE43" s="2637"/>
      <c r="AF43" s="2637"/>
      <c r="AG43" s="2637"/>
      <c r="AH43" s="2637"/>
      <c r="AI43" s="2637"/>
      <c r="AJ43" s="2638"/>
      <c r="AK43" s="1176" t="s">
        <v>473</v>
      </c>
      <c r="AM43" s="436"/>
      <c r="AN43" s="436" t="str">
        <f t="shared" si="1"/>
        <v>Наименование централизованной системы холодного водоснабжения</v>
      </c>
      <c r="AO43" s="436"/>
      <c r="AP43" s="436"/>
      <c r="AQ43" s="1073">
        <v>23</v>
      </c>
    </row>
    <row r="44" spans="1:43" ht="24" customHeight="1">
      <c r="A44" s="1281" t="s">
        <v>222</v>
      </c>
      <c r="B44" s="1281" t="s">
        <v>223</v>
      </c>
      <c r="C44" s="1281" t="s">
        <v>224</v>
      </c>
      <c r="D44" s="1281" t="s">
        <v>487</v>
      </c>
      <c r="E44" s="2643"/>
      <c r="F44" s="2643"/>
      <c r="G44" s="2643"/>
      <c r="H44" s="2643"/>
      <c r="I44" s="2644" t="str">
        <f>S43&amp;".1"</f>
        <v>...1</v>
      </c>
      <c r="J44" s="1281"/>
      <c r="K44" s="1281"/>
      <c r="L44" s="1282"/>
      <c r="P44" s="2646">
        <v>1</v>
      </c>
      <c r="Q44" s="1368"/>
      <c r="R44" s="292"/>
      <c r="S44" s="1375" t="str">
        <f>$I44</f>
        <v>...1</v>
      </c>
      <c r="T44" s="222" t="s">
        <v>474</v>
      </c>
      <c r="U44" s="237"/>
      <c r="V44" s="2710"/>
      <c r="W44" s="2711"/>
      <c r="X44" s="2711"/>
      <c r="Y44" s="2711"/>
      <c r="Z44" s="2711"/>
      <c r="AA44" s="2711"/>
      <c r="AB44" s="2712"/>
      <c r="AC44" s="2713"/>
      <c r="AD44" s="2714"/>
      <c r="AE44" s="2714"/>
      <c r="AF44" s="2714"/>
      <c r="AG44" s="2714"/>
      <c r="AH44" s="2714"/>
      <c r="AI44" s="2714"/>
      <c r="AJ44" s="2715"/>
      <c r="AK44" s="1176" t="s">
        <v>475</v>
      </c>
      <c r="AM44" s="436"/>
      <c r="AN44" s="436" t="str">
        <f t="shared" si="1"/>
        <v>Наименование признака дифференциации</v>
      </c>
      <c r="AO44" s="436"/>
      <c r="AP44" s="436"/>
      <c r="AQ44" s="1073">
        <v>23</v>
      </c>
    </row>
    <row r="45" spans="1:43" ht="24" customHeight="1">
      <c r="A45" s="1281" t="s">
        <v>222</v>
      </c>
      <c r="B45" s="1281" t="s">
        <v>223</v>
      </c>
      <c r="C45" s="1281" t="s">
        <v>224</v>
      </c>
      <c r="D45" s="1281" t="s">
        <v>487</v>
      </c>
      <c r="E45" s="2643"/>
      <c r="F45" s="2643"/>
      <c r="G45" s="2643"/>
      <c r="H45" s="2643"/>
      <c r="I45" s="2645"/>
      <c r="J45" s="2644" t="str">
        <f>I44&amp;".1"</f>
        <v>...1.1</v>
      </c>
      <c r="K45" s="1281"/>
      <c r="L45" s="1282" t="s">
        <v>397</v>
      </c>
      <c r="P45" s="2646"/>
      <c r="Q45" s="2646">
        <v>1</v>
      </c>
      <c r="R45" s="293"/>
      <c r="S45" s="1375" t="str">
        <f>$J45</f>
        <v>...1.1</v>
      </c>
      <c r="T45" s="223" t="s">
        <v>398</v>
      </c>
      <c r="U45" s="237"/>
      <c r="V45" s="2630"/>
      <c r="W45" s="2631"/>
      <c r="X45" s="2631"/>
      <c r="Y45" s="2631"/>
      <c r="Z45" s="2631"/>
      <c r="AA45" s="2631"/>
      <c r="AB45" s="2632"/>
      <c r="AC45" s="2630"/>
      <c r="AD45" s="2631"/>
      <c r="AE45" s="2631"/>
      <c r="AF45" s="2631"/>
      <c r="AG45" s="2631"/>
      <c r="AH45" s="2631"/>
      <c r="AI45" s="2631"/>
      <c r="AJ45" s="2632"/>
      <c r="AK45" s="1225" t="s">
        <v>476</v>
      </c>
      <c r="AM45" s="436"/>
      <c r="AN45" s="436" t="str">
        <f t="shared" si="1"/>
        <v>Группа потребителей</v>
      </c>
      <c r="AO45" s="436"/>
      <c r="AP45" s="436"/>
      <c r="AQ45" s="1073">
        <v>23</v>
      </c>
    </row>
    <row r="46" spans="1:43" ht="24" customHeight="1">
      <c r="A46" s="1281" t="s">
        <v>222</v>
      </c>
      <c r="B46" s="1281" t="s">
        <v>223</v>
      </c>
      <c r="C46" s="1281" t="s">
        <v>224</v>
      </c>
      <c r="D46" s="1281" t="s">
        <v>487</v>
      </c>
      <c r="E46" s="2643"/>
      <c r="F46" s="2643"/>
      <c r="G46" s="2643"/>
      <c r="H46" s="2643"/>
      <c r="I46" s="2645"/>
      <c r="J46" s="2645"/>
      <c r="K46" s="2644" t="str">
        <f>J45&amp;".1"</f>
        <v>...1.1.1</v>
      </c>
      <c r="L46" s="1282"/>
      <c r="P46" s="2646"/>
      <c r="Q46" s="2646"/>
      <c r="R46" s="293">
        <v>1</v>
      </c>
      <c r="S46" s="1375" t="str">
        <f>$K46</f>
        <v>...1.1.1</v>
      </c>
      <c r="T46" s="1355"/>
      <c r="U46" s="237"/>
      <c r="V46" s="687"/>
      <c r="W46" s="687"/>
      <c r="X46" s="1175"/>
      <c r="Y46" s="2647"/>
      <c r="Z46" s="2524" t="s">
        <v>65</v>
      </c>
      <c r="AA46" s="2647"/>
      <c r="AB46" s="2524" t="s">
        <v>65</v>
      </c>
      <c r="AC46" s="687"/>
      <c r="AD46" s="687"/>
      <c r="AE46" s="1175"/>
      <c r="AF46" s="2647"/>
      <c r="AG46" s="2524" t="s">
        <v>65</v>
      </c>
      <c r="AH46" s="2649"/>
      <c r="AI46" s="2524" t="s">
        <v>65</v>
      </c>
      <c r="AJ46" s="1356"/>
      <c r="AK46"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222</v>
      </c>
      <c r="B47" s="1281" t="s">
        <v>223</v>
      </c>
      <c r="C47" s="1281" t="s">
        <v>224</v>
      </c>
      <c r="D47" s="1281" t="s">
        <v>487</v>
      </c>
      <c r="E47" s="2643"/>
      <c r="F47" s="2643"/>
      <c r="G47" s="2643"/>
      <c r="H47" s="2643"/>
      <c r="I47" s="2645"/>
      <c r="J47" s="2645"/>
      <c r="K47" s="2644"/>
      <c r="L47" s="1282"/>
      <c r="P47" s="2646"/>
      <c r="Q47" s="2646"/>
      <c r="R47" s="293"/>
      <c r="S47" s="1374"/>
      <c r="T47" s="237"/>
      <c r="U47" s="237"/>
      <c r="V47" s="262"/>
      <c r="W47" s="262"/>
      <c r="X47" s="265" t="str">
        <f>Y46&amp;"-"&amp;AA46</f>
        <v>-</v>
      </c>
      <c r="Y47" s="2648"/>
      <c r="Z47" s="2524"/>
      <c r="AA47" s="2648"/>
      <c r="AB47" s="2524"/>
      <c r="AC47" s="262"/>
      <c r="AD47" s="262"/>
      <c r="AE47" s="265" t="str">
        <f>AF46&amp;"-"&amp;AH46</f>
        <v>-</v>
      </c>
      <c r="AF47" s="2648"/>
      <c r="AG47" s="2524"/>
      <c r="AH47" s="2650"/>
      <c r="AI47" s="2524"/>
      <c r="AJ47" s="1357"/>
      <c r="AK47" s="2716"/>
      <c r="AM47" s="436"/>
      <c r="AN47" s="436" t="str">
        <f t="shared" si="1"/>
        <v/>
      </c>
      <c r="AO47" s="436"/>
      <c r="AP47" s="436"/>
      <c r="AQ47" s="1073">
        <v>0</v>
      </c>
    </row>
    <row r="48" spans="1:43" ht="21" customHeight="1">
      <c r="A48" s="1281" t="s">
        <v>222</v>
      </c>
      <c r="B48" s="1281" t="s">
        <v>223</v>
      </c>
      <c r="C48" s="1281" t="s">
        <v>224</v>
      </c>
      <c r="D48" s="1281" t="s">
        <v>487</v>
      </c>
      <c r="E48" s="2643"/>
      <c r="F48" s="2643"/>
      <c r="G48" s="2643"/>
      <c r="H48" s="2643"/>
      <c r="I48" s="2645"/>
      <c r="J48" s="2644"/>
      <c r="K48" s="1281"/>
      <c r="L48" s="1282"/>
      <c r="P48" s="2646"/>
      <c r="Q48" s="2646"/>
      <c r="R48" s="292"/>
      <c r="S48" s="1196"/>
      <c r="T48" s="224" t="s">
        <v>477</v>
      </c>
      <c r="U48" s="303"/>
      <c r="V48" s="303"/>
      <c r="W48" s="303"/>
      <c r="X48" s="303"/>
      <c r="Y48" s="303"/>
      <c r="Z48" s="303"/>
      <c r="AA48" s="303"/>
      <c r="AB48" s="303"/>
      <c r="AC48" s="303"/>
      <c r="AD48" s="303"/>
      <c r="AE48" s="303"/>
      <c r="AF48" s="303"/>
      <c r="AG48" s="303"/>
      <c r="AH48" s="303"/>
      <c r="AI48" s="303"/>
      <c r="AJ48" s="303"/>
      <c r="AK48" s="1176" t="s">
        <v>478</v>
      </c>
      <c r="AM48" s="436"/>
      <c r="AN48" s="436" t="str">
        <f t="shared" si="1"/>
        <v>Добавить значение признака дифференциации</v>
      </c>
      <c r="AO48" s="436"/>
      <c r="AP48" s="436"/>
      <c r="AQ48" s="1073">
        <v>20</v>
      </c>
    </row>
    <row r="49" spans="1:43" ht="21.95" customHeight="1">
      <c r="A49" s="1281" t="s">
        <v>222</v>
      </c>
      <c r="B49" s="1281" t="s">
        <v>223</v>
      </c>
      <c r="C49" s="1281" t="s">
        <v>224</v>
      </c>
      <c r="D49" s="1281" t="s">
        <v>487</v>
      </c>
      <c r="E49" s="2643"/>
      <c r="F49" s="2643"/>
      <c r="G49" s="2643"/>
      <c r="H49" s="2643"/>
      <c r="I49" s="2644"/>
      <c r="J49" s="1281"/>
      <c r="K49" s="1281"/>
      <c r="L49" s="1282"/>
      <c r="P49" s="2646"/>
      <c r="Q49" s="1368"/>
      <c r="R49" s="292"/>
      <c r="S49" s="1196"/>
      <c r="T49" s="301" t="s">
        <v>403</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222</v>
      </c>
      <c r="B50" s="1281" t="s">
        <v>223</v>
      </c>
      <c r="C50" s="1281" t="s">
        <v>224</v>
      </c>
      <c r="D50" s="1281" t="s">
        <v>487</v>
      </c>
      <c r="E50" s="2643"/>
      <c r="F50" s="2643"/>
      <c r="G50" s="2643"/>
      <c r="H50" s="2642"/>
      <c r="I50" s="1281"/>
      <c r="J50" s="1281"/>
      <c r="K50" s="1281"/>
      <c r="L50" s="1282"/>
      <c r="M50" s="1283"/>
      <c r="N50" s="1283"/>
      <c r="O50" s="473"/>
      <c r="P50" s="296"/>
      <c r="Q50" s="311"/>
      <c r="R50" s="291"/>
      <c r="S50" s="1196"/>
      <c r="T50" s="308" t="s">
        <v>479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7" customFormat="1" ht="0" hidden="1" customHeight="1">
      <c r="A51" s="1261" t="s">
        <v>222</v>
      </c>
      <c r="B51" s="1261" t="s">
        <v>223</v>
      </c>
      <c r="C51" s="1232"/>
      <c r="D51" s="1232"/>
      <c r="E51" s="2643"/>
      <c r="F51" s="2642"/>
      <c r="G51" s="1232"/>
      <c r="H51" s="1232"/>
      <c r="I51" s="1232"/>
      <c r="J51" s="1232"/>
      <c r="K51" s="1232"/>
      <c r="L51" s="1376"/>
      <c r="M51" s="1239"/>
      <c r="N51" s="1239"/>
      <c r="P51" s="1234"/>
      <c r="Q51" s="1235"/>
      <c r="R51" s="1234"/>
      <c r="S51" s="1240"/>
      <c r="T51" s="1243" t="s">
        <v>406</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7" customFormat="1" ht="0" hidden="1" customHeight="1">
      <c r="A52" s="1261" t="s">
        <v>222</v>
      </c>
      <c r="B52" s="1261"/>
      <c r="C52" s="1261"/>
      <c r="D52" s="1261"/>
      <c r="E52" s="2642"/>
      <c r="F52" s="1261"/>
      <c r="G52" s="1261"/>
      <c r="H52" s="1261"/>
      <c r="I52" s="1261"/>
      <c r="J52" s="1261"/>
      <c r="K52" s="1261"/>
      <c r="L52" s="1264"/>
      <c r="M52" s="1239"/>
      <c r="N52" s="1239"/>
      <c r="O52" s="454"/>
      <c r="P52" s="316"/>
      <c r="Q52" s="1262"/>
      <c r="R52" s="316"/>
      <c r="S52" s="1240"/>
      <c r="T52" s="1243" t="s">
        <v>407</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439</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641"/>
      <c r="U55" s="2641"/>
      <c r="V55" s="2641"/>
      <c r="W55" s="2641"/>
      <c r="X55" s="2641"/>
      <c r="Y55" s="2641"/>
      <c r="Z55" s="2641"/>
      <c r="AA55" s="2641"/>
      <c r="AB55" s="2641"/>
      <c r="AC55" s="2641"/>
      <c r="AD55" s="2641"/>
      <c r="AE55" s="2641"/>
      <c r="AF55" s="2641"/>
      <c r="AG55" s="2641"/>
      <c r="AH55" s="2641"/>
      <c r="AI55" s="2641"/>
      <c r="AJ55" s="2641"/>
      <c r="AK55" s="2641"/>
      <c r="AQ55" s="1073">
        <v>14</v>
      </c>
    </row>
    <row r="56" spans="1:43" ht="14.65" customHeight="1">
      <c r="O56" s="473"/>
      <c r="AQ56" s="1073">
        <v>14</v>
      </c>
    </row>
    <row r="57" spans="1:43" ht="14.65" customHeight="1">
      <c r="O57" s="473"/>
      <c r="S57" s="1171"/>
      <c r="T57" s="2641"/>
      <c r="U57" s="2641"/>
      <c r="V57" s="2641"/>
      <c r="W57" s="2641"/>
      <c r="X57" s="2641"/>
      <c r="Y57" s="2641"/>
      <c r="Z57" s="2641"/>
      <c r="AA57" s="2641"/>
      <c r="AB57" s="2641"/>
      <c r="AC57" s="2641"/>
      <c r="AD57" s="2641"/>
      <c r="AE57" s="2641"/>
      <c r="AF57" s="2641"/>
      <c r="AG57" s="2641"/>
      <c r="AH57" s="2641"/>
      <c r="AI57" s="2641"/>
      <c r="AJ57" s="2641"/>
      <c r="AK57" s="264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4.140625" style="2406" hidden="1" customWidth="1"/>
    <col min="10" max="10" width="9.85546875" style="2406" hidden="1" customWidth="1"/>
    <col min="11" max="11" width="14.7109375" style="2406" hidden="1" customWidth="1"/>
    <col min="12" max="12" width="19.140625" style="2432" hidden="1" customWidth="1"/>
    <col min="13" max="14" width="12.28515625" style="2433" hidden="1" customWidth="1"/>
    <col min="15" max="15" width="23.42578125" style="2433" hidden="1" customWidth="1"/>
    <col min="16" max="16" width="3" style="2434" customWidth="1"/>
    <col min="17" max="18" width="3" style="2435" customWidth="1"/>
    <col min="19" max="19" width="12" style="2436" customWidth="1"/>
    <col min="20" max="20" width="35" style="2400" customWidth="1"/>
    <col min="21" max="21" width="0.140625" style="2400" customWidth="1"/>
    <col min="22" max="24" width="24.7109375" style="2400" hidden="1" customWidth="1"/>
    <col min="25" max="25" width="11.7109375" style="2400" hidden="1" customWidth="1"/>
    <col min="26" max="26" width="3.7109375" style="2400" hidden="1" customWidth="1"/>
    <col min="27" max="27" width="11.7109375" style="2400" hidden="1" customWidth="1"/>
    <col min="28" max="28" width="8.5703125" style="2400" hidden="1" customWidth="1"/>
    <col min="29" max="29" width="24.7109375" style="2400" customWidth="1"/>
    <col min="30" max="31" width="24" style="2400" customWidth="1"/>
    <col min="32" max="32" width="11" style="2400" customWidth="1"/>
    <col min="33" max="33" width="3.7109375" style="2400" customWidth="1"/>
    <col min="34" max="34" width="11" style="2400" customWidth="1"/>
    <col min="35" max="35" width="8.5703125" style="2400" hidden="1" customWidth="1"/>
    <col min="36" max="36" width="4" style="2400" customWidth="1"/>
    <col min="37" max="37" width="115" style="2400" customWidth="1"/>
    <col min="38" max="42" width="10" style="2407" customWidth="1"/>
    <col min="43" max="43" width="10.5703125" style="2400" hidden="1"/>
  </cols>
  <sheetData>
    <row r="1" spans="1:43" ht="22.5" hidden="1" customHeight="1">
      <c r="X1" s="264"/>
      <c r="Y1" s="264"/>
      <c r="AE1" s="264"/>
      <c r="AF1" s="264"/>
      <c r="AQ1" s="1073" t="s">
        <v>14</v>
      </c>
    </row>
    <row r="2" spans="1:43" ht="23.25" hidden="1" customHeight="1">
      <c r="A2" s="1281"/>
      <c r="B2" s="1281"/>
      <c r="C2" s="1281"/>
      <c r="D2" s="1281"/>
      <c r="E2" s="2642">
        <v>1</v>
      </c>
      <c r="F2" s="1281"/>
      <c r="G2" s="1281"/>
      <c r="H2" s="1281"/>
      <c r="I2" s="1281"/>
      <c r="J2" s="1281"/>
      <c r="K2" s="1281"/>
      <c r="L2" s="1282"/>
      <c r="M2" s="1283"/>
      <c r="N2" s="1283"/>
      <c r="O2" s="1283"/>
      <c r="P2" s="297"/>
      <c r="Q2" s="296"/>
      <c r="R2" s="291"/>
      <c r="S2" s="1375" t="e">
        <f>INDEX(PT_DIFFERENTIATION_NUM_NTAR,MATCH(A2,PT_DIFFERENTIATION_NTAR_ID,0))</f>
        <v>#N/A</v>
      </c>
      <c r="T2" s="235" t="s">
        <v>116</v>
      </c>
      <c r="U2" s="237"/>
      <c r="V2" s="2636"/>
      <c r="W2" s="2637"/>
      <c r="X2" s="2637"/>
      <c r="Y2" s="2637"/>
      <c r="Z2" s="2637"/>
      <c r="AA2" s="2637"/>
      <c r="AB2" s="2638"/>
      <c r="AC2" s="2636" t="e">
        <f>INDEX(PT_DIFFERENTIATION_NTAR,MATCH(A2,PT_DIFFERENTIATION_NTAR_ID,0))</f>
        <v>#N/A</v>
      </c>
      <c r="AD2" s="2637"/>
      <c r="AE2" s="2637"/>
      <c r="AF2" s="2637"/>
      <c r="AG2" s="2637"/>
      <c r="AH2" s="2637"/>
      <c r="AI2" s="2637"/>
      <c r="AJ2" s="263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643"/>
      <c r="F3" s="2642">
        <v>1</v>
      </c>
      <c r="G3" s="1281"/>
      <c r="H3" s="1281"/>
      <c r="I3" s="1281"/>
      <c r="J3" s="1281"/>
      <c r="K3" s="1281"/>
      <c r="L3" s="1282"/>
      <c r="M3" s="1283"/>
      <c r="N3" s="1283"/>
      <c r="O3" s="1283"/>
      <c r="P3" s="1371"/>
      <c r="Q3" s="288"/>
      <c r="R3" s="289"/>
      <c r="S3" s="1375" t="e">
        <f>INDEX(PT_DIFFERENTIATION_NUM_TER,MATCH(B3,PT_DIFFERENTIATION_TER_ID,0))</f>
        <v>#N/A</v>
      </c>
      <c r="T3" s="245" t="s">
        <v>388</v>
      </c>
      <c r="U3" s="237"/>
      <c r="V3" s="2636"/>
      <c r="W3" s="2637"/>
      <c r="X3" s="2637"/>
      <c r="Y3" s="2637"/>
      <c r="Z3" s="2637"/>
      <c r="AA3" s="2637"/>
      <c r="AB3" s="2638"/>
      <c r="AC3" s="2636" t="e">
        <f>INDEX(PT_DIFFERENTIATION_TER,MATCH(B3,PT_DIFFERENTIATION_TER_ID,0))</f>
        <v>#N/A</v>
      </c>
      <c r="AD3" s="2637"/>
      <c r="AE3" s="2637"/>
      <c r="AF3" s="2637"/>
      <c r="AG3" s="2637"/>
      <c r="AH3" s="2637"/>
      <c r="AI3" s="2637"/>
      <c r="AJ3" s="2638"/>
      <c r="AK3" s="1176" t="s">
        <v>389</v>
      </c>
      <c r="AM3" s="436"/>
      <c r="AN3" s="436" t="str">
        <f t="shared" si="0"/>
        <v>Территория действия тарифа</v>
      </c>
      <c r="AO3" s="436"/>
      <c r="AP3" s="436"/>
      <c r="AQ3" s="1073">
        <v>0</v>
      </c>
    </row>
    <row r="4" spans="1:43" ht="23.25" hidden="1" customHeight="1">
      <c r="A4" s="1281"/>
      <c r="B4" s="1281"/>
      <c r="C4" s="1281"/>
      <c r="D4" s="1281"/>
      <c r="E4" s="2643"/>
      <c r="F4" s="2643"/>
      <c r="G4" s="2642">
        <v>1</v>
      </c>
      <c r="H4" s="1281"/>
      <c r="I4" s="1281"/>
      <c r="J4" s="1281"/>
      <c r="K4" s="1281"/>
      <c r="L4" s="1282"/>
      <c r="M4" s="1283"/>
      <c r="N4" s="1283"/>
      <c r="O4" s="1283"/>
      <c r="P4" s="290"/>
      <c r="Q4" s="288"/>
      <c r="R4" s="289"/>
      <c r="S4" s="1375" t="e">
        <f>INDEX(PT_DIFFERENTIATION_NUM_CS,MATCH(C4,PT_DIFFERENTIATION_CS_ID,0))</f>
        <v>#N/A</v>
      </c>
      <c r="T4" s="246" t="s">
        <v>472</v>
      </c>
      <c r="U4" s="237"/>
      <c r="V4" s="2636"/>
      <c r="W4" s="2637"/>
      <c r="X4" s="2637"/>
      <c r="Y4" s="2637"/>
      <c r="Z4" s="2637"/>
      <c r="AA4" s="2637"/>
      <c r="AB4" s="2638"/>
      <c r="AC4" s="2636" t="e">
        <f>INDEX(PT_DIFFERENTIATION_CS,MATCH(C4,PT_DIFFERENTIATION_CS_ID,0))</f>
        <v>#N/A</v>
      </c>
      <c r="AD4" s="2637"/>
      <c r="AE4" s="2637"/>
      <c r="AF4" s="2637"/>
      <c r="AG4" s="2637"/>
      <c r="AH4" s="2637"/>
      <c r="AI4" s="2637"/>
      <c r="AJ4" s="2638"/>
      <c r="AK4" s="1176" t="s">
        <v>473</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643"/>
      <c r="F5" s="2643"/>
      <c r="G5" s="2643"/>
      <c r="H5" s="2643"/>
      <c r="I5" s="2644" t="e">
        <f>S4&amp;".1"</f>
        <v>#N/A</v>
      </c>
      <c r="J5" s="1281"/>
      <c r="K5" s="1281"/>
      <c r="L5" s="1282"/>
      <c r="P5" s="2646">
        <v>1</v>
      </c>
      <c r="Q5" s="1368"/>
      <c r="R5" s="292"/>
      <c r="S5" s="1375" t="e">
        <f>$I5</f>
        <v>#N/A</v>
      </c>
      <c r="T5" s="222" t="s">
        <v>474</v>
      </c>
      <c r="U5" s="237"/>
      <c r="V5" s="2710"/>
      <c r="W5" s="2711"/>
      <c r="X5" s="2711"/>
      <c r="Y5" s="2711"/>
      <c r="Z5" s="2711"/>
      <c r="AA5" s="2711"/>
      <c r="AB5" s="2712"/>
      <c r="AC5" s="2713"/>
      <c r="AD5" s="2714"/>
      <c r="AE5" s="2714"/>
      <c r="AF5" s="2714"/>
      <c r="AG5" s="2714"/>
      <c r="AH5" s="2714"/>
      <c r="AI5" s="2714"/>
      <c r="AJ5" s="2715"/>
      <c r="AK5" s="1176" t="s">
        <v>475</v>
      </c>
      <c r="AM5" s="436"/>
      <c r="AN5" s="436" t="str">
        <f t="shared" si="0"/>
        <v>Наименование признака дифференциации</v>
      </c>
      <c r="AO5" s="436"/>
      <c r="AP5" s="436"/>
      <c r="AQ5" s="1073">
        <v>0</v>
      </c>
    </row>
    <row r="6" spans="1:43" ht="23.25" hidden="1" customHeight="1">
      <c r="A6" s="1281"/>
      <c r="B6" s="1281"/>
      <c r="C6" s="1281"/>
      <c r="D6" s="1281"/>
      <c r="E6" s="2643"/>
      <c r="F6" s="2643"/>
      <c r="G6" s="2643"/>
      <c r="H6" s="2643"/>
      <c r="I6" s="2645"/>
      <c r="J6" s="2644" t="e">
        <f>I5&amp;".1"</f>
        <v>#N/A</v>
      </c>
      <c r="K6" s="1281"/>
      <c r="L6" s="1282" t="s">
        <v>397</v>
      </c>
      <c r="P6" s="2646"/>
      <c r="Q6" s="2646">
        <v>1</v>
      </c>
      <c r="R6" s="293"/>
      <c r="S6" s="1375" t="e">
        <f>$J6</f>
        <v>#N/A</v>
      </c>
      <c r="T6" s="223" t="s">
        <v>398</v>
      </c>
      <c r="U6" s="237"/>
      <c r="V6" s="2630"/>
      <c r="W6" s="2631"/>
      <c r="X6" s="2631"/>
      <c r="Y6" s="2631"/>
      <c r="Z6" s="2631"/>
      <c r="AA6" s="2631"/>
      <c r="AB6" s="2632"/>
      <c r="AC6" s="2630"/>
      <c r="AD6" s="2631"/>
      <c r="AE6" s="2631"/>
      <c r="AF6" s="2631"/>
      <c r="AG6" s="2631"/>
      <c r="AH6" s="2631"/>
      <c r="AI6" s="2631"/>
      <c r="AJ6" s="2632"/>
      <c r="AK6" s="1225" t="s">
        <v>476</v>
      </c>
      <c r="AM6" s="436"/>
      <c r="AN6" s="436" t="str">
        <f t="shared" si="0"/>
        <v>Группа потребителей</v>
      </c>
      <c r="AO6" s="436"/>
      <c r="AP6" s="436"/>
      <c r="AQ6" s="1073">
        <v>0</v>
      </c>
    </row>
    <row r="7" spans="1:43" ht="23.25" hidden="1" customHeight="1">
      <c r="A7" s="1281"/>
      <c r="B7" s="1281"/>
      <c r="C7" s="1281"/>
      <c r="D7" s="1281"/>
      <c r="E7" s="2643"/>
      <c r="F7" s="2643"/>
      <c r="G7" s="2643"/>
      <c r="H7" s="2643"/>
      <c r="I7" s="2645"/>
      <c r="J7" s="2645"/>
      <c r="K7" s="2644" t="e">
        <f>J6&amp;".1"</f>
        <v>#N/A</v>
      </c>
      <c r="L7" s="1282"/>
      <c r="P7" s="2646"/>
      <c r="Q7" s="2646"/>
      <c r="R7" s="293">
        <v>1</v>
      </c>
      <c r="S7" s="1375" t="e">
        <f>$K7</f>
        <v>#N/A</v>
      </c>
      <c r="T7" s="1355"/>
      <c r="U7" s="237"/>
      <c r="V7" s="687"/>
      <c r="W7" s="687"/>
      <c r="X7" s="1175"/>
      <c r="Y7" s="2647"/>
      <c r="Z7" s="2524" t="s">
        <v>65</v>
      </c>
      <c r="AA7" s="2647"/>
      <c r="AB7" s="2524" t="s">
        <v>65</v>
      </c>
      <c r="AC7" s="687"/>
      <c r="AD7" s="687"/>
      <c r="AE7" s="1175"/>
      <c r="AF7" s="2647"/>
      <c r="AG7" s="2524" t="s">
        <v>65</v>
      </c>
      <c r="AH7" s="2649"/>
      <c r="AI7" s="2524" t="s">
        <v>65</v>
      </c>
      <c r="AJ7" s="1356"/>
      <c r="AK7"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643"/>
      <c r="F8" s="2643"/>
      <c r="G8" s="2643"/>
      <c r="H8" s="2643"/>
      <c r="I8" s="2645"/>
      <c r="J8" s="2645"/>
      <c r="K8" s="2644"/>
      <c r="L8" s="1282"/>
      <c r="P8" s="2646"/>
      <c r="Q8" s="2646"/>
      <c r="R8" s="293"/>
      <c r="S8" s="1374"/>
      <c r="T8" s="237"/>
      <c r="U8" s="237"/>
      <c r="V8" s="262"/>
      <c r="W8" s="262"/>
      <c r="X8" s="265" t="str">
        <f>Y7&amp;"-"&amp;AA7</f>
        <v>-</v>
      </c>
      <c r="Y8" s="2648"/>
      <c r="Z8" s="2524"/>
      <c r="AA8" s="2648"/>
      <c r="AB8" s="2524"/>
      <c r="AC8" s="262"/>
      <c r="AD8" s="262"/>
      <c r="AE8" s="265" t="str">
        <f>AF7&amp;"-"&amp;AH7</f>
        <v>-</v>
      </c>
      <c r="AF8" s="2648"/>
      <c r="AG8" s="2524"/>
      <c r="AH8" s="2650"/>
      <c r="AI8" s="2524"/>
      <c r="AJ8" s="1357"/>
      <c r="AK8" s="2716"/>
      <c r="AM8" s="436"/>
      <c r="AN8" s="436" t="str">
        <f t="shared" si="0"/>
        <v/>
      </c>
      <c r="AO8" s="436"/>
      <c r="AP8" s="436"/>
      <c r="AQ8" s="1073">
        <v>0</v>
      </c>
    </row>
    <row r="9" spans="1:43" ht="21" hidden="1" customHeight="1">
      <c r="A9" s="1281"/>
      <c r="B9" s="1281"/>
      <c r="C9" s="1281"/>
      <c r="D9" s="1281"/>
      <c r="E9" s="2643"/>
      <c r="F9" s="2643"/>
      <c r="G9" s="2643"/>
      <c r="H9" s="2643"/>
      <c r="I9" s="2645"/>
      <c r="J9" s="2644"/>
      <c r="K9" s="1281"/>
      <c r="L9" s="1282"/>
      <c r="P9" s="2646"/>
      <c r="Q9" s="2646"/>
      <c r="R9" s="292"/>
      <c r="S9" s="1196"/>
      <c r="T9" s="224" t="s">
        <v>477</v>
      </c>
      <c r="U9" s="303"/>
      <c r="V9" s="303"/>
      <c r="W9" s="303"/>
      <c r="X9" s="303"/>
      <c r="Y9" s="303"/>
      <c r="Z9" s="303"/>
      <c r="AA9" s="303"/>
      <c r="AB9" s="303"/>
      <c r="AC9" s="303"/>
      <c r="AD9" s="303"/>
      <c r="AE9" s="303"/>
      <c r="AF9" s="303"/>
      <c r="AG9" s="303"/>
      <c r="AH9" s="303"/>
      <c r="AI9" s="303"/>
      <c r="AJ9" s="303"/>
      <c r="AK9" s="1176" t="s">
        <v>478</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643"/>
      <c r="F10" s="2643"/>
      <c r="G10" s="2643"/>
      <c r="H10" s="2643"/>
      <c r="I10" s="2644"/>
      <c r="J10" s="1281"/>
      <c r="K10" s="1281"/>
      <c r="L10" s="1282"/>
      <c r="P10" s="2646"/>
      <c r="Q10" s="1368"/>
      <c r="R10" s="292"/>
      <c r="S10" s="1196"/>
      <c r="T10" s="301" t="s">
        <v>403</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643"/>
      <c r="F11" s="2643"/>
      <c r="G11" s="2643"/>
      <c r="H11" s="2642"/>
      <c r="I11" s="1281"/>
      <c r="J11" s="1281"/>
      <c r="K11" s="1281"/>
      <c r="L11" s="1282"/>
      <c r="M11" s="1283"/>
      <c r="N11" s="1283"/>
      <c r="O11" s="473"/>
      <c r="P11" s="296"/>
      <c r="Q11" s="311"/>
      <c r="R11" s="291"/>
      <c r="S11" s="1196"/>
      <c r="T11" s="308" t="s">
        <v>479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7" customFormat="1" ht="14.25" hidden="1" customHeight="1">
      <c r="A12" s="1261"/>
      <c r="B12" s="1261"/>
      <c r="C12" s="1232"/>
      <c r="D12" s="1232"/>
      <c r="E12" s="2643"/>
      <c r="F12" s="2642"/>
      <c r="G12" s="1232"/>
      <c r="H12" s="1232"/>
      <c r="I12" s="1232"/>
      <c r="J12" s="1232"/>
      <c r="K12" s="1232"/>
      <c r="L12" s="1376"/>
      <c r="M12" s="1239"/>
      <c r="N12" s="1239"/>
      <c r="P12" s="1234"/>
      <c r="Q12" s="1235"/>
      <c r="R12" s="1234"/>
      <c r="S12" s="1240"/>
      <c r="T12" s="1243" t="s">
        <v>406</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7" customFormat="1" ht="14.25" hidden="1" customHeight="1">
      <c r="A13" s="1261"/>
      <c r="B13" s="1261"/>
      <c r="C13" s="1261"/>
      <c r="D13" s="1261"/>
      <c r="E13" s="2642"/>
      <c r="F13" s="1261"/>
      <c r="G13" s="1261"/>
      <c r="H13" s="1261"/>
      <c r="I13" s="1261"/>
      <c r="J13" s="1261"/>
      <c r="K13" s="1261"/>
      <c r="L13" s="1264"/>
      <c r="M13" s="1239"/>
      <c r="N13" s="1239"/>
      <c r="O13" s="454"/>
      <c r="P13" s="316"/>
      <c r="Q13" s="1262"/>
      <c r="R13" s="316"/>
      <c r="S13" s="1240"/>
      <c r="T13" s="1243" t="s">
        <v>407</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640"/>
      <c r="AG15" s="2639" t="s">
        <v>65</v>
      </c>
      <c r="AH15" s="2640"/>
      <c r="AI15" s="2639" t="s">
        <v>65</v>
      </c>
      <c r="AQ15" s="1073">
        <v>0</v>
      </c>
    </row>
    <row r="16" spans="1:43" ht="14.25" hidden="1" customHeight="1">
      <c r="AC16" s="1278"/>
      <c r="AD16" s="1278"/>
      <c r="AE16" s="265" t="str">
        <f>AF15&amp;"-"&amp;AH15</f>
        <v>-</v>
      </c>
      <c r="AF16" s="2639"/>
      <c r="AG16" s="2639"/>
      <c r="AH16" s="2639"/>
      <c r="AI16" s="2639"/>
      <c r="AQ16" s="1073">
        <v>0</v>
      </c>
    </row>
    <row r="17" spans="1:43" ht="14.25" hidden="1" customHeight="1">
      <c r="AI17" s="264"/>
      <c r="AQ17" s="1073">
        <v>0</v>
      </c>
    </row>
    <row r="18" spans="1:43" s="2406" customFormat="1" ht="22.5" hidden="1" customHeight="1">
      <c r="L18" s="1365"/>
      <c r="M18" s="1280"/>
      <c r="N18" s="1280"/>
      <c r="O18" s="1285" t="s">
        <v>408</v>
      </c>
      <c r="P18" s="1280"/>
      <c r="Q18" s="1289"/>
      <c r="R18" s="1289"/>
      <c r="S18" s="665"/>
      <c r="Y18" s="1285"/>
      <c r="AA18" s="1285"/>
      <c r="AB18" s="1284"/>
      <c r="AF18" s="1285"/>
      <c r="AH18" s="1285"/>
      <c r="AI18" s="1284"/>
      <c r="AL18" s="447"/>
      <c r="AM18" s="447"/>
      <c r="AN18" s="447"/>
      <c r="AO18" s="447"/>
      <c r="AP18" s="447"/>
      <c r="AQ18" s="1078">
        <v>0</v>
      </c>
    </row>
    <row r="19" spans="1:43" s="2406"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406" customFormat="1" ht="12" hidden="1" customHeight="1">
      <c r="L20" s="1365"/>
      <c r="M20" s="1280"/>
      <c r="N20" s="1280"/>
      <c r="O20" s="1282" t="s">
        <v>409</v>
      </c>
      <c r="P20" s="1280"/>
      <c r="Q20" s="1360"/>
      <c r="R20" s="1360"/>
      <c r="S20" s="665"/>
      <c r="T20" s="1078" t="s">
        <v>410</v>
      </c>
      <c r="Z20" s="123" t="s">
        <v>411</v>
      </c>
      <c r="AB20" s="123" t="s">
        <v>412</v>
      </c>
      <c r="AC20" s="1078" t="s">
        <v>410</v>
      </c>
      <c r="AG20" s="123" t="s">
        <v>413</v>
      </c>
      <c r="AI20" s="123" t="s">
        <v>412</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6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3"/>
      <c r="U24" s="2623"/>
      <c r="V24" s="2623"/>
      <c r="W24" s="2623"/>
      <c r="X24" s="2623"/>
      <c r="Y24" s="2623"/>
      <c r="Z24" s="2623"/>
      <c r="AA24" s="2623"/>
      <c r="AB24" s="2623"/>
      <c r="AC24" s="2623"/>
      <c r="AD24" s="2623"/>
      <c r="AE24" s="2623"/>
      <c r="AF24" s="2623"/>
      <c r="AG24" s="2623"/>
      <c r="AH24" s="2623"/>
      <c r="AI24" s="1161"/>
      <c r="AQ24" s="1073">
        <v>14</v>
      </c>
    </row>
    <row r="25" spans="1:43" ht="14.65" customHeight="1">
      <c r="Q25" s="312"/>
      <c r="R25" s="312"/>
      <c r="S25" s="2595" t="str">
        <f>IF(org=0,"Не определено",org)</f>
        <v>ПАО "ТГК-1" (филиал "Кольский")</v>
      </c>
      <c r="T25" s="2595"/>
      <c r="U25" s="2595"/>
      <c r="V25" s="2595"/>
      <c r="W25" s="2595"/>
      <c r="X25" s="2595"/>
      <c r="Y25" s="2595"/>
      <c r="Z25" s="2595"/>
      <c r="AA25" s="2595"/>
      <c r="AB25" s="2595"/>
      <c r="AC25" s="2595"/>
      <c r="AD25" s="2595"/>
      <c r="AE25" s="2595"/>
      <c r="AF25" s="2595"/>
      <c r="AG25" s="2595"/>
      <c r="AH25" s="2595"/>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6" customFormat="1" ht="25.5" hidden="1" customHeight="1">
      <c r="A27" s="1286"/>
      <c r="B27" s="1286"/>
      <c r="C27" s="1286"/>
      <c r="D27" s="1286"/>
      <c r="E27" s="1286"/>
      <c r="F27" s="1286"/>
      <c r="G27" s="1286"/>
      <c r="H27" s="1286"/>
      <c r="I27" s="1286"/>
      <c r="J27" s="1286"/>
      <c r="K27" s="1286"/>
      <c r="L27" s="1287"/>
      <c r="M27" s="1286"/>
      <c r="N27" s="1286"/>
      <c r="O27" s="1286"/>
      <c r="S27" s="2633" t="s">
        <v>41</v>
      </c>
      <c r="T27" s="2633"/>
      <c r="U27" s="1290"/>
      <c r="V27" s="2635" t="str">
        <f>IF(TITLE_NAME_OR_PR_CHANGE="",IF(TITLE_NAME_OR_PR="","",TITLE_NAME_OR_PR),TITLE_NAME_OR_PR_CHANGE)</f>
        <v/>
      </c>
      <c r="W27" s="2635"/>
      <c r="X27" s="2635"/>
      <c r="Y27" s="2635"/>
      <c r="Z27" s="2635"/>
      <c r="AA27" s="2635"/>
      <c r="AB27" s="263"/>
      <c r="AC27" s="2635" t="str">
        <f>IF(TITLE_NAME_OR_PR_CHANGE="",IF(TITLE_NAME_OR_PR="","",TITLE_NAME_OR_PR),TITLE_NAME_OR_PR_CHANGE)</f>
        <v/>
      </c>
      <c r="AD27" s="2635"/>
      <c r="AE27" s="2635"/>
      <c r="AF27" s="2635"/>
      <c r="AG27" s="2635"/>
      <c r="AH27" s="2635"/>
      <c r="AI27" s="263"/>
      <c r="AJ27" s="263"/>
      <c r="AK27" s="217"/>
      <c r="AL27" s="304"/>
      <c r="AM27" s="304"/>
      <c r="AN27" s="304"/>
      <c r="AO27" s="304"/>
      <c r="AP27" s="304"/>
      <c r="AQ27" s="354">
        <v>0</v>
      </c>
    </row>
    <row r="28" spans="1:43" s="2416" customFormat="1" ht="18.75" hidden="1" customHeight="1">
      <c r="A28" s="1286"/>
      <c r="B28" s="1286"/>
      <c r="C28" s="1286"/>
      <c r="D28" s="1286"/>
      <c r="E28" s="1286"/>
      <c r="F28" s="1286"/>
      <c r="G28" s="1286"/>
      <c r="H28" s="1286"/>
      <c r="I28" s="1286"/>
      <c r="J28" s="1286"/>
      <c r="K28" s="1286"/>
      <c r="L28" s="1287"/>
      <c r="M28" s="1286"/>
      <c r="N28" s="1286"/>
      <c r="O28" s="1286"/>
      <c r="S28" s="2633" t="s">
        <v>414</v>
      </c>
      <c r="T28" s="2633"/>
      <c r="U28" s="1290"/>
      <c r="V28" s="2634" t="str">
        <f>IF(TITLE_DATE_PR_CHANGE="",IF(TITLE_DATE_PR="","",TITLE_DATE_PR),TITLE_DATE_PR_CHANGE)</f>
        <v/>
      </c>
      <c r="W28" s="2634"/>
      <c r="X28" s="2634"/>
      <c r="Y28" s="2634"/>
      <c r="Z28" s="2634"/>
      <c r="AA28" s="2634"/>
      <c r="AB28" s="263"/>
      <c r="AC28" s="2634" t="str">
        <f>IF(TITLE_DATE_PR_CHANGE="",IF(TITLE_DATE_PR="","",TITLE_DATE_PR),TITLE_DATE_PR_CHANGE)</f>
        <v/>
      </c>
      <c r="AD28" s="2634"/>
      <c r="AE28" s="2634"/>
      <c r="AF28" s="2634"/>
      <c r="AG28" s="2634"/>
      <c r="AH28" s="2634"/>
      <c r="AI28" s="263"/>
      <c r="AJ28" s="263"/>
      <c r="AK28" s="217"/>
      <c r="AL28" s="304"/>
      <c r="AM28" s="304"/>
      <c r="AN28" s="304"/>
      <c r="AO28" s="304"/>
      <c r="AP28" s="304"/>
      <c r="AQ28" s="354">
        <v>0</v>
      </c>
    </row>
    <row r="29" spans="1:43" s="2416" customFormat="1" ht="18.75" hidden="1" customHeight="1">
      <c r="A29" s="1286"/>
      <c r="B29" s="1286"/>
      <c r="C29" s="1286"/>
      <c r="D29" s="1286"/>
      <c r="E29" s="1286"/>
      <c r="F29" s="1286"/>
      <c r="G29" s="1286"/>
      <c r="H29" s="1286"/>
      <c r="I29" s="1286"/>
      <c r="J29" s="1286"/>
      <c r="K29" s="1286"/>
      <c r="L29" s="1287"/>
      <c r="M29" s="1286"/>
      <c r="N29" s="1286"/>
      <c r="O29" s="1286"/>
      <c r="S29" s="2633" t="s">
        <v>415</v>
      </c>
      <c r="T29" s="2633"/>
      <c r="U29" s="1290"/>
      <c r="V29" s="2635" t="str">
        <f>IF(TITLE_NUMBER_PR_CHANGE="",IF(TITLE_NUMBER_PR="","",TITLE_NUMBER_PR),TITLE_NUMBER_PR_CHANGE)</f>
        <v/>
      </c>
      <c r="W29" s="2635"/>
      <c r="X29" s="2635"/>
      <c r="Y29" s="2635"/>
      <c r="Z29" s="2635"/>
      <c r="AA29" s="2635"/>
      <c r="AB29" s="263"/>
      <c r="AC29" s="2635" t="str">
        <f>IF(TITLE_NUMBER_PR_CHANGE="",IF(TITLE_NUMBER_PR="","",TITLE_NUMBER_PR),TITLE_NUMBER_PR_CHANGE)</f>
        <v/>
      </c>
      <c r="AD29" s="2635"/>
      <c r="AE29" s="2635"/>
      <c r="AF29" s="2635"/>
      <c r="AG29" s="2635"/>
      <c r="AH29" s="2635"/>
      <c r="AI29" s="263"/>
      <c r="AJ29" s="263"/>
      <c r="AK29" s="217"/>
      <c r="AL29" s="304"/>
      <c r="AM29" s="304"/>
      <c r="AN29" s="304"/>
      <c r="AO29" s="304"/>
      <c r="AP29" s="304"/>
      <c r="AQ29" s="354">
        <v>0</v>
      </c>
    </row>
    <row r="30" spans="1:43" s="2416" customFormat="1" ht="18.75" hidden="1" customHeight="1">
      <c r="A30" s="1286"/>
      <c r="B30" s="1286"/>
      <c r="C30" s="1286"/>
      <c r="D30" s="1286"/>
      <c r="E30" s="1286"/>
      <c r="F30" s="1286"/>
      <c r="G30" s="1286"/>
      <c r="H30" s="1286"/>
      <c r="I30" s="1286"/>
      <c r="J30" s="1286"/>
      <c r="K30" s="1286"/>
      <c r="L30" s="1287"/>
      <c r="M30" s="1286"/>
      <c r="N30" s="1286"/>
      <c r="O30" s="1286"/>
      <c r="S30" s="2633" t="s">
        <v>42</v>
      </c>
      <c r="T30" s="2633"/>
      <c r="U30" s="1290"/>
      <c r="V30" s="2635" t="str">
        <f>IF(TITLE_IST_PUB_CHANGE="",IF(TITLE_IST_PUB="","",TITLE_IST_PUB),TITLE_IST_PUB_CHANGE)</f>
        <v/>
      </c>
      <c r="W30" s="2635"/>
      <c r="X30" s="2635"/>
      <c r="Y30" s="2635"/>
      <c r="Z30" s="2635"/>
      <c r="AA30" s="2635"/>
      <c r="AB30" s="263"/>
      <c r="AC30" s="2635" t="str">
        <f>IF(TITLE_IST_PUB_CHANGE="",IF(TITLE_IST_PUB="","",TITLE_IST_PUB),TITLE_IST_PUB_CHANGE)</f>
        <v/>
      </c>
      <c r="AD30" s="2635"/>
      <c r="AE30" s="2635"/>
      <c r="AF30" s="2635"/>
      <c r="AG30" s="2635"/>
      <c r="AH30" s="2635"/>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6" customFormat="1" ht="18.75" hidden="1" customHeight="1">
      <c r="A32" s="1286"/>
      <c r="B32" s="1286"/>
      <c r="C32" s="1286"/>
      <c r="D32" s="1286"/>
      <c r="E32" s="1286"/>
      <c r="F32" s="1286"/>
      <c r="G32" s="1286"/>
      <c r="H32" s="1286"/>
      <c r="I32" s="1286"/>
      <c r="J32" s="1286"/>
      <c r="K32" s="1286"/>
      <c r="L32" s="1287"/>
      <c r="M32" s="1286"/>
      <c r="N32" s="1286"/>
      <c r="O32" s="1286"/>
      <c r="S32" s="2633" t="s">
        <v>416</v>
      </c>
      <c r="T32" s="2633"/>
      <c r="U32" s="1290"/>
      <c r="V32" s="2634" t="str">
        <f>IF(TITLE_DATE_PR_CHANGE="",IF(TITLE_DATE_PR="","",TITLE_DATE_PR),TITLE_DATE_PR_CHANGE)</f>
        <v/>
      </c>
      <c r="W32" s="2634"/>
      <c r="X32" s="2634"/>
      <c r="Y32" s="2634"/>
      <c r="Z32" s="2634"/>
      <c r="AA32" s="2634"/>
      <c r="AB32" s="263"/>
      <c r="AC32" s="2634" t="str">
        <f>IF(TITLE_DATE_PR_CHANGE="",IF(TITLE_DATE_PR="","",TITLE_DATE_PR),TITLE_DATE_PR_CHANGE)</f>
        <v/>
      </c>
      <c r="AD32" s="2634"/>
      <c r="AE32" s="2634"/>
      <c r="AF32" s="2634"/>
      <c r="AG32" s="2634"/>
      <c r="AH32" s="2634"/>
      <c r="AI32" s="263"/>
      <c r="AJ32" s="263"/>
      <c r="AK32" s="217"/>
      <c r="AL32" s="304"/>
      <c r="AM32" s="304"/>
      <c r="AN32" s="304"/>
      <c r="AO32" s="304"/>
      <c r="AP32" s="304"/>
      <c r="AQ32" s="354">
        <v>0</v>
      </c>
    </row>
    <row r="33" spans="1:43" s="2416" customFormat="1" ht="18.75" hidden="1" customHeight="1">
      <c r="A33" s="1286"/>
      <c r="B33" s="1286"/>
      <c r="C33" s="1286"/>
      <c r="D33" s="1286"/>
      <c r="E33" s="1286"/>
      <c r="F33" s="1286"/>
      <c r="G33" s="1286"/>
      <c r="H33" s="1286"/>
      <c r="I33" s="1286"/>
      <c r="J33" s="1286"/>
      <c r="K33" s="1286"/>
      <c r="L33" s="1287"/>
      <c r="M33" s="1286"/>
      <c r="N33" s="1286"/>
      <c r="O33" s="1286"/>
      <c r="S33" s="2633" t="s">
        <v>417</v>
      </c>
      <c r="T33" s="2633"/>
      <c r="U33" s="1290"/>
      <c r="V33" s="2635" t="str">
        <f>IF(TITLE_NUMBER_PR_CHANGE="",IF(TITLE_NUMBER_PR="","",TITLE_NUMBER_PR),TITLE_NUMBER_PR_CHANGE)</f>
        <v/>
      </c>
      <c r="W33" s="2635"/>
      <c r="X33" s="2635"/>
      <c r="Y33" s="2635"/>
      <c r="Z33" s="2635"/>
      <c r="AA33" s="2635"/>
      <c r="AB33" s="263"/>
      <c r="AC33" s="2635" t="str">
        <f>IF(TITLE_NUMBER_PR_CHANGE="",IF(TITLE_NUMBER_PR="","",TITLE_NUMBER_PR),TITLE_NUMBER_PR_CHANGE)</f>
        <v/>
      </c>
      <c r="AD33" s="2635"/>
      <c r="AE33" s="2635"/>
      <c r="AF33" s="2635"/>
      <c r="AG33" s="2635"/>
      <c r="AH33" s="2635"/>
      <c r="AI33" s="263"/>
      <c r="AJ33" s="263"/>
      <c r="AK33" s="217"/>
      <c r="AL33" s="304"/>
      <c r="AM33" s="304"/>
      <c r="AN33" s="304"/>
      <c r="AO33" s="304"/>
      <c r="AP33" s="304"/>
      <c r="AQ33" s="354">
        <v>0</v>
      </c>
    </row>
    <row r="34" spans="1:43" s="2416"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418</v>
      </c>
      <c r="AC34" s="263"/>
      <c r="AD34" s="263"/>
      <c r="AE34" s="263"/>
      <c r="AF34" s="263"/>
      <c r="AG34" s="263"/>
      <c r="AH34" s="263"/>
      <c r="AI34" s="215" t="s">
        <v>418</v>
      </c>
      <c r="AL34" s="304"/>
      <c r="AM34" s="304"/>
      <c r="AN34" s="304"/>
      <c r="AO34" s="304"/>
      <c r="AP34" s="304"/>
      <c r="AQ34" s="354">
        <v>1</v>
      </c>
    </row>
    <row r="35" spans="1:43" ht="14.65" customHeight="1">
      <c r="Q35" s="312"/>
      <c r="R35" s="312"/>
      <c r="S35" s="1193"/>
      <c r="T35" s="299"/>
      <c r="U35" s="1162"/>
      <c r="V35" s="2654"/>
      <c r="W35" s="2654"/>
      <c r="X35" s="2654"/>
      <c r="Y35" s="2654"/>
      <c r="Z35" s="2654"/>
      <c r="AA35" s="2654"/>
      <c r="AB35" s="2654"/>
      <c r="AC35" s="2654"/>
      <c r="AD35" s="2654"/>
      <c r="AE35" s="2654"/>
      <c r="AF35" s="2654"/>
      <c r="AG35" s="2654"/>
      <c r="AH35" s="2654"/>
      <c r="AI35" s="2654"/>
      <c r="AQ35" s="1073">
        <v>14</v>
      </c>
    </row>
    <row r="36" spans="1:43" ht="14.65" customHeight="1">
      <c r="Q36" s="312"/>
      <c r="R36" s="312"/>
      <c r="S36" s="2514" t="s">
        <v>291</v>
      </c>
      <c r="T36" s="2514"/>
      <c r="U36" s="2514"/>
      <c r="V36" s="2514"/>
      <c r="W36" s="2514"/>
      <c r="X36" s="2514"/>
      <c r="Y36" s="2514"/>
      <c r="Z36" s="2514"/>
      <c r="AA36" s="2514"/>
      <c r="AB36" s="2514"/>
      <c r="AC36" s="2514"/>
      <c r="AD36" s="2514"/>
      <c r="AE36" s="2514"/>
      <c r="AF36" s="2514"/>
      <c r="AG36" s="2514"/>
      <c r="AH36" s="2514"/>
      <c r="AI36" s="2514"/>
      <c r="AJ36" s="2514"/>
      <c r="AK36" s="2514" t="s">
        <v>292</v>
      </c>
      <c r="AQ36" s="1073">
        <v>14</v>
      </c>
    </row>
    <row r="37" spans="1:43" ht="14.65" customHeight="1">
      <c r="Q37" s="312"/>
      <c r="R37" s="312"/>
      <c r="S37" s="2655" t="s">
        <v>84</v>
      </c>
      <c r="T37" s="2603" t="s">
        <v>419</v>
      </c>
      <c r="U37" s="238"/>
      <c r="V37" s="2656" t="s">
        <v>420</v>
      </c>
      <c r="W37" s="2657"/>
      <c r="X37" s="2657"/>
      <c r="Y37" s="2657"/>
      <c r="Z37" s="2657"/>
      <c r="AA37" s="2658"/>
      <c r="AB37" s="2659" t="s">
        <v>421</v>
      </c>
      <c r="AC37" s="2656" t="s">
        <v>420</v>
      </c>
      <c r="AD37" s="2657"/>
      <c r="AE37" s="2657"/>
      <c r="AF37" s="2657"/>
      <c r="AG37" s="2657"/>
      <c r="AH37" s="2658"/>
      <c r="AI37" s="2659" t="s">
        <v>422</v>
      </c>
      <c r="AJ37" s="2662" t="s">
        <v>423</v>
      </c>
      <c r="AK37" s="2514"/>
      <c r="AQ37" s="1073">
        <v>14</v>
      </c>
    </row>
    <row r="38" spans="1:43" ht="35.65" customHeight="1">
      <c r="Q38" s="312"/>
      <c r="R38" s="312"/>
      <c r="S38" s="2655"/>
      <c r="T38" s="2603"/>
      <c r="U38" s="954"/>
      <c r="V38" s="1370" t="s">
        <v>480</v>
      </c>
      <c r="W38" s="2496" t="s">
        <v>426</v>
      </c>
      <c r="X38" s="2495"/>
      <c r="Y38" s="2496" t="s">
        <v>427</v>
      </c>
      <c r="Z38" s="2501"/>
      <c r="AA38" s="2495"/>
      <c r="AB38" s="2660"/>
      <c r="AC38" s="1370" t="s">
        <v>480</v>
      </c>
      <c r="AD38" s="2496" t="s">
        <v>426</v>
      </c>
      <c r="AE38" s="2495"/>
      <c r="AF38" s="2496" t="s">
        <v>427</v>
      </c>
      <c r="AG38" s="2501"/>
      <c r="AH38" s="2495"/>
      <c r="AI38" s="2660"/>
      <c r="AJ38" s="2663"/>
      <c r="AK38" s="2514"/>
      <c r="AQ38" s="1073">
        <v>34</v>
      </c>
    </row>
    <row r="39" spans="1:43" ht="35.65" customHeight="1">
      <c r="A39" s="1288"/>
      <c r="B39" s="1288" t="s">
        <v>128</v>
      </c>
      <c r="C39" s="1288" t="s">
        <v>129</v>
      </c>
      <c r="D39" s="1288" t="s">
        <v>130</v>
      </c>
      <c r="E39" s="1282" t="s">
        <v>428</v>
      </c>
      <c r="F39" s="1282" t="s">
        <v>429</v>
      </c>
      <c r="G39" s="1282" t="s">
        <v>430</v>
      </c>
      <c r="H39" s="1282"/>
      <c r="I39" s="1282" t="s">
        <v>481</v>
      </c>
      <c r="J39" s="1282" t="s">
        <v>433</v>
      </c>
      <c r="K39" s="1282" t="s">
        <v>482</v>
      </c>
      <c r="L39" s="1282" t="s">
        <v>409</v>
      </c>
      <c r="Q39" s="312"/>
      <c r="R39" s="312"/>
      <c r="S39" s="2655"/>
      <c r="T39" s="2603"/>
      <c r="U39" s="239"/>
      <c r="V39" s="1370" t="s">
        <v>483</v>
      </c>
      <c r="W39" s="1140" t="s">
        <v>484</v>
      </c>
      <c r="X39" s="1140" t="s">
        <v>485</v>
      </c>
      <c r="Y39" s="1373" t="s">
        <v>437</v>
      </c>
      <c r="Z39" s="2608" t="s">
        <v>438</v>
      </c>
      <c r="AA39" s="2622"/>
      <c r="AB39" s="2661"/>
      <c r="AC39" s="1370" t="s">
        <v>483</v>
      </c>
      <c r="AD39" s="1140" t="s">
        <v>484</v>
      </c>
      <c r="AE39" s="1140" t="s">
        <v>485</v>
      </c>
      <c r="AF39" s="1373" t="s">
        <v>437</v>
      </c>
      <c r="AG39" s="2608" t="s">
        <v>438</v>
      </c>
      <c r="AH39" s="2622"/>
      <c r="AI39" s="2661"/>
      <c r="AJ39" s="2664"/>
      <c r="AK39" s="2514"/>
      <c r="AQ39" s="1073">
        <v>34</v>
      </c>
    </row>
    <row r="40" spans="1:43" s="243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102</v>
      </c>
      <c r="T40" s="1173" t="s">
        <v>103</v>
      </c>
      <c r="U40" s="1163" t="str">
        <f ca="1">OFFSET(U40,0,-1)</f>
        <v>2</v>
      </c>
      <c r="V40" s="1369">
        <f ca="1">OFFSET(V40,0,-1)+1</f>
        <v>3</v>
      </c>
      <c r="W40" s="1369">
        <f ca="1">OFFSET(W40,0,-1)+1</f>
        <v>4</v>
      </c>
      <c r="X40" s="1369">
        <f ca="1">OFFSET(X40,0,-1)+1</f>
        <v>5</v>
      </c>
      <c r="Y40" s="1369">
        <f ca="1">OFFSET(Y40,0,-1)+1</f>
        <v>6</v>
      </c>
      <c r="Z40" s="2653">
        <f ca="1">OFFSET(Z40,0,-1)+1</f>
        <v>7</v>
      </c>
      <c r="AA40" s="2653"/>
      <c r="AB40" s="1369">
        <f ca="1">OFFSET(AB40,0,-2)+1</f>
        <v>8</v>
      </c>
      <c r="AC40" s="1369">
        <f ca="1">OFFSET(AC40,0,-1)+1</f>
        <v>9</v>
      </c>
      <c r="AD40" s="1369">
        <f ca="1">OFFSET(AD40,0,-1)+1</f>
        <v>10</v>
      </c>
      <c r="AE40" s="1369">
        <f ca="1">OFFSET(AE40,0,-1)+1</f>
        <v>11</v>
      </c>
      <c r="AF40" s="1369">
        <f ca="1">OFFSET(AF40,0,-1)+1</f>
        <v>12</v>
      </c>
      <c r="AG40" s="2653">
        <f ca="1">OFFSET(AG40,0,-1)+1</f>
        <v>13</v>
      </c>
      <c r="AH40" s="2653"/>
      <c r="AI40" s="1369">
        <f ca="1">OFFSET(AI40,0,-2)+1</f>
        <v>14</v>
      </c>
      <c r="AJ40" s="1163">
        <f ca="1">OFFSET(AJ40,0,-1)</f>
        <v>14</v>
      </c>
      <c r="AK40" s="1369">
        <f ca="1">OFFSET(AK40,0,-1)+1</f>
        <v>15</v>
      </c>
      <c r="AL40" s="447"/>
      <c r="AM40" s="447"/>
      <c r="AN40" s="447"/>
      <c r="AO40" s="447"/>
      <c r="AP40" s="447"/>
      <c r="AQ40" s="432">
        <v>0</v>
      </c>
    </row>
    <row r="41" spans="1:43" ht="24" customHeight="1">
      <c r="A41" s="1281" t="s">
        <v>227</v>
      </c>
      <c r="B41" s="1281"/>
      <c r="C41" s="1281"/>
      <c r="D41" s="1281"/>
      <c r="E41" s="2642">
        <v>1</v>
      </c>
      <c r="F41" s="1281"/>
      <c r="G41" s="1281"/>
      <c r="H41" s="1281"/>
      <c r="I41" s="1281"/>
      <c r="J41" s="1281"/>
      <c r="K41" s="1281"/>
      <c r="L41" s="1282"/>
      <c r="M41" s="1283"/>
      <c r="N41" s="1283"/>
      <c r="O41" s="1283"/>
      <c r="P41" s="297"/>
      <c r="Q41" s="296"/>
      <c r="R41" s="291"/>
      <c r="S41" s="1375">
        <f>INDEX(PT_DIFFERENTIATION_NUM_NTAR,MATCH(A41,PT_DIFFERENTIATION_NTAR_ID,0))</f>
        <v>0</v>
      </c>
      <c r="T41" s="235" t="s">
        <v>116</v>
      </c>
      <c r="U41" s="237"/>
      <c r="V41" s="2636"/>
      <c r="W41" s="2637"/>
      <c r="X41" s="2637"/>
      <c r="Y41" s="2637"/>
      <c r="Z41" s="2637"/>
      <c r="AA41" s="2637"/>
      <c r="AB41" s="2638"/>
      <c r="AC41" s="2636" t="str">
        <f>INDEX(PT_DIFFERENTIATION_NTAR,MATCH(A41,PT_DIFFERENTIATION_NTAR_ID,0))</f>
        <v/>
      </c>
      <c r="AD41" s="2637"/>
      <c r="AE41" s="2637"/>
      <c r="AF41" s="2637"/>
      <c r="AG41" s="2637"/>
      <c r="AH41" s="2637"/>
      <c r="AI41" s="2637"/>
      <c r="AJ41" s="263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227</v>
      </c>
      <c r="B42" s="1281" t="s">
        <v>228</v>
      </c>
      <c r="C42" s="1281"/>
      <c r="D42" s="1281"/>
      <c r="E42" s="2643"/>
      <c r="F42" s="2642">
        <v>1</v>
      </c>
      <c r="G42" s="1281"/>
      <c r="H42" s="1281"/>
      <c r="I42" s="1281"/>
      <c r="J42" s="1281"/>
      <c r="K42" s="1281"/>
      <c r="L42" s="1282"/>
      <c r="M42" s="1283"/>
      <c r="N42" s="1283"/>
      <c r="O42" s="1283"/>
      <c r="P42" s="1371"/>
      <c r="Q42" s="288"/>
      <c r="R42" s="289"/>
      <c r="S42" s="1375" t="str">
        <f>INDEX(PT_DIFFERENTIATION_NUM_TER,MATCH(B42,PT_DIFFERENTIATION_TER_ID,0))</f>
        <v>.</v>
      </c>
      <c r="T42" s="245" t="s">
        <v>388</v>
      </c>
      <c r="U42" s="237"/>
      <c r="V42" s="2636"/>
      <c r="W42" s="2637"/>
      <c r="X42" s="2637"/>
      <c r="Y42" s="2637"/>
      <c r="Z42" s="2637"/>
      <c r="AA42" s="2637"/>
      <c r="AB42" s="2638"/>
      <c r="AC42" s="2636" t="str">
        <f>INDEX(PT_DIFFERENTIATION_TER,MATCH(B42,PT_DIFFERENTIATION_TER_ID,0))</f>
        <v/>
      </c>
      <c r="AD42" s="2637"/>
      <c r="AE42" s="2637"/>
      <c r="AF42" s="2637"/>
      <c r="AG42" s="2637"/>
      <c r="AH42" s="2637"/>
      <c r="AI42" s="2637"/>
      <c r="AJ42" s="2638"/>
      <c r="AK42" s="1176" t="s">
        <v>389</v>
      </c>
      <c r="AM42" s="436"/>
      <c r="AN42" s="436" t="str">
        <f t="shared" si="1"/>
        <v>Территория действия тарифа</v>
      </c>
      <c r="AO42" s="436"/>
      <c r="AP42" s="436"/>
      <c r="AQ42" s="1073">
        <v>23</v>
      </c>
    </row>
    <row r="43" spans="1:43" ht="24" customHeight="1">
      <c r="A43" s="1281" t="s">
        <v>227</v>
      </c>
      <c r="B43" s="1281" t="s">
        <v>228</v>
      </c>
      <c r="C43" s="1281" t="s">
        <v>229</v>
      </c>
      <c r="D43" s="1281"/>
      <c r="E43" s="2643"/>
      <c r="F43" s="2643"/>
      <c r="G43" s="2642">
        <v>1</v>
      </c>
      <c r="H43" s="1281"/>
      <c r="I43" s="1281"/>
      <c r="J43" s="1281"/>
      <c r="K43" s="1281"/>
      <c r="L43" s="1282"/>
      <c r="M43" s="1283"/>
      <c r="N43" s="1283"/>
      <c r="O43" s="1283"/>
      <c r="P43" s="290"/>
      <c r="Q43" s="288"/>
      <c r="R43" s="289"/>
      <c r="S43" s="1375" t="str">
        <f>INDEX(PT_DIFFERENTIATION_NUM_CS,MATCH(C43,PT_DIFFERENTIATION_CS_ID,0))</f>
        <v>..</v>
      </c>
      <c r="T43" s="246" t="s">
        <v>472</v>
      </c>
      <c r="U43" s="237"/>
      <c r="V43" s="2636"/>
      <c r="W43" s="2637"/>
      <c r="X43" s="2637"/>
      <c r="Y43" s="2637"/>
      <c r="Z43" s="2637"/>
      <c r="AA43" s="2637"/>
      <c r="AB43" s="2638"/>
      <c r="AC43" s="2636" t="str">
        <f>INDEX(PT_DIFFERENTIATION_CS,MATCH(C43,PT_DIFFERENTIATION_CS_ID,0))</f>
        <v/>
      </c>
      <c r="AD43" s="2637"/>
      <c r="AE43" s="2637"/>
      <c r="AF43" s="2637"/>
      <c r="AG43" s="2637"/>
      <c r="AH43" s="2637"/>
      <c r="AI43" s="2637"/>
      <c r="AJ43" s="2638"/>
      <c r="AK43" s="1176" t="s">
        <v>473</v>
      </c>
      <c r="AM43" s="436"/>
      <c r="AN43" s="436" t="str">
        <f t="shared" si="1"/>
        <v>Наименование централизованной системы холодного водоснабжения</v>
      </c>
      <c r="AO43" s="436"/>
      <c r="AP43" s="436"/>
      <c r="AQ43" s="1073">
        <v>23</v>
      </c>
    </row>
    <row r="44" spans="1:43" ht="24" customHeight="1">
      <c r="A44" s="1281" t="s">
        <v>227</v>
      </c>
      <c r="B44" s="1281" t="s">
        <v>228</v>
      </c>
      <c r="C44" s="1281" t="s">
        <v>229</v>
      </c>
      <c r="D44" s="1281" t="s">
        <v>488</v>
      </c>
      <c r="E44" s="2643"/>
      <c r="F44" s="2643"/>
      <c r="G44" s="2643"/>
      <c r="H44" s="2643"/>
      <c r="I44" s="2644" t="str">
        <f>S43&amp;".1"</f>
        <v>...1</v>
      </c>
      <c r="J44" s="1281"/>
      <c r="K44" s="1281"/>
      <c r="L44" s="1282"/>
      <c r="P44" s="2646">
        <v>1</v>
      </c>
      <c r="Q44" s="1368"/>
      <c r="R44" s="292"/>
      <c r="S44" s="1375" t="str">
        <f>$I44</f>
        <v>...1</v>
      </c>
      <c r="T44" s="222" t="s">
        <v>474</v>
      </c>
      <c r="U44" s="237"/>
      <c r="V44" s="2710"/>
      <c r="W44" s="2711"/>
      <c r="X44" s="2711"/>
      <c r="Y44" s="2711"/>
      <c r="Z44" s="2711"/>
      <c r="AA44" s="2711"/>
      <c r="AB44" s="2712"/>
      <c r="AC44" s="2713"/>
      <c r="AD44" s="2714"/>
      <c r="AE44" s="2714"/>
      <c r="AF44" s="2714"/>
      <c r="AG44" s="2714"/>
      <c r="AH44" s="2714"/>
      <c r="AI44" s="2714"/>
      <c r="AJ44" s="2715"/>
      <c r="AK44" s="1176" t="s">
        <v>475</v>
      </c>
      <c r="AM44" s="436"/>
      <c r="AN44" s="436" t="str">
        <f t="shared" si="1"/>
        <v>Наименование признака дифференциации</v>
      </c>
      <c r="AO44" s="436"/>
      <c r="AP44" s="436"/>
      <c r="AQ44" s="1073">
        <v>23</v>
      </c>
    </row>
    <row r="45" spans="1:43" ht="24" customHeight="1">
      <c r="A45" s="1281" t="s">
        <v>227</v>
      </c>
      <c r="B45" s="1281" t="s">
        <v>228</v>
      </c>
      <c r="C45" s="1281" t="s">
        <v>229</v>
      </c>
      <c r="D45" s="1281" t="s">
        <v>488</v>
      </c>
      <c r="E45" s="2643"/>
      <c r="F45" s="2643"/>
      <c r="G45" s="2643"/>
      <c r="H45" s="2643"/>
      <c r="I45" s="2645"/>
      <c r="J45" s="2644" t="str">
        <f>I44&amp;".1"</f>
        <v>...1.1</v>
      </c>
      <c r="K45" s="1281"/>
      <c r="L45" s="1282" t="s">
        <v>397</v>
      </c>
      <c r="P45" s="2646"/>
      <c r="Q45" s="2646">
        <v>1</v>
      </c>
      <c r="R45" s="293"/>
      <c r="S45" s="1375" t="str">
        <f>$J45</f>
        <v>...1.1</v>
      </c>
      <c r="T45" s="223" t="s">
        <v>398</v>
      </c>
      <c r="U45" s="237"/>
      <c r="V45" s="2630"/>
      <c r="W45" s="2631"/>
      <c r="X45" s="2631"/>
      <c r="Y45" s="2631"/>
      <c r="Z45" s="2631"/>
      <c r="AA45" s="2631"/>
      <c r="AB45" s="2632"/>
      <c r="AC45" s="2630"/>
      <c r="AD45" s="2631"/>
      <c r="AE45" s="2631"/>
      <c r="AF45" s="2631"/>
      <c r="AG45" s="2631"/>
      <c r="AH45" s="2631"/>
      <c r="AI45" s="2631"/>
      <c r="AJ45" s="2632"/>
      <c r="AK45" s="1225" t="s">
        <v>476</v>
      </c>
      <c r="AM45" s="436"/>
      <c r="AN45" s="436" t="str">
        <f t="shared" si="1"/>
        <v>Группа потребителей</v>
      </c>
      <c r="AO45" s="436"/>
      <c r="AP45" s="436"/>
      <c r="AQ45" s="1073">
        <v>23</v>
      </c>
    </row>
    <row r="46" spans="1:43" ht="24" customHeight="1">
      <c r="A46" s="1281" t="s">
        <v>227</v>
      </c>
      <c r="B46" s="1281" t="s">
        <v>228</v>
      </c>
      <c r="C46" s="1281" t="s">
        <v>229</v>
      </c>
      <c r="D46" s="1281" t="s">
        <v>488</v>
      </c>
      <c r="E46" s="2643"/>
      <c r="F46" s="2643"/>
      <c r="G46" s="2643"/>
      <c r="H46" s="2643"/>
      <c r="I46" s="2645"/>
      <c r="J46" s="2645"/>
      <c r="K46" s="2644" t="str">
        <f>J45&amp;".1"</f>
        <v>...1.1.1</v>
      </c>
      <c r="L46" s="1282"/>
      <c r="P46" s="2646"/>
      <c r="Q46" s="2646"/>
      <c r="R46" s="293">
        <v>1</v>
      </c>
      <c r="S46" s="1375" t="str">
        <f>$K46</f>
        <v>...1.1.1</v>
      </c>
      <c r="T46" s="1355"/>
      <c r="U46" s="237"/>
      <c r="V46" s="687"/>
      <c r="W46" s="687"/>
      <c r="X46" s="1175"/>
      <c r="Y46" s="2647"/>
      <c r="Z46" s="2524" t="s">
        <v>65</v>
      </c>
      <c r="AA46" s="2647"/>
      <c r="AB46" s="2524" t="s">
        <v>65</v>
      </c>
      <c r="AC46" s="687"/>
      <c r="AD46" s="687"/>
      <c r="AE46" s="1175"/>
      <c r="AF46" s="2647"/>
      <c r="AG46" s="2524" t="s">
        <v>65</v>
      </c>
      <c r="AH46" s="2649"/>
      <c r="AI46" s="2524" t="s">
        <v>65</v>
      </c>
      <c r="AJ46" s="1356"/>
      <c r="AK46"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227</v>
      </c>
      <c r="B47" s="1281" t="s">
        <v>228</v>
      </c>
      <c r="C47" s="1281" t="s">
        <v>229</v>
      </c>
      <c r="D47" s="1281" t="s">
        <v>488</v>
      </c>
      <c r="E47" s="2643"/>
      <c r="F47" s="2643"/>
      <c r="G47" s="2643"/>
      <c r="H47" s="2643"/>
      <c r="I47" s="2645"/>
      <c r="J47" s="2645"/>
      <c r="K47" s="2644"/>
      <c r="L47" s="1282"/>
      <c r="P47" s="2646"/>
      <c r="Q47" s="2646"/>
      <c r="R47" s="293"/>
      <c r="S47" s="1374"/>
      <c r="T47" s="237"/>
      <c r="U47" s="237"/>
      <c r="V47" s="262"/>
      <c r="W47" s="262"/>
      <c r="X47" s="265" t="str">
        <f>Y46&amp;"-"&amp;AA46</f>
        <v>-</v>
      </c>
      <c r="Y47" s="2648"/>
      <c r="Z47" s="2524"/>
      <c r="AA47" s="2648"/>
      <c r="AB47" s="2524"/>
      <c r="AC47" s="262"/>
      <c r="AD47" s="262"/>
      <c r="AE47" s="265" t="str">
        <f>AF46&amp;"-"&amp;AH46</f>
        <v>-</v>
      </c>
      <c r="AF47" s="2648"/>
      <c r="AG47" s="2524"/>
      <c r="AH47" s="2650"/>
      <c r="AI47" s="2524"/>
      <c r="AJ47" s="1357"/>
      <c r="AK47" s="2716"/>
      <c r="AM47" s="436"/>
      <c r="AN47" s="436" t="str">
        <f t="shared" si="1"/>
        <v/>
      </c>
      <c r="AO47" s="436"/>
      <c r="AP47" s="436"/>
      <c r="AQ47" s="1073">
        <v>0</v>
      </c>
    </row>
    <row r="48" spans="1:43" ht="21" customHeight="1">
      <c r="A48" s="1281" t="s">
        <v>227</v>
      </c>
      <c r="B48" s="1281" t="s">
        <v>228</v>
      </c>
      <c r="C48" s="1281" t="s">
        <v>229</v>
      </c>
      <c r="D48" s="1281" t="s">
        <v>488</v>
      </c>
      <c r="E48" s="2643"/>
      <c r="F48" s="2643"/>
      <c r="G48" s="2643"/>
      <c r="H48" s="2643"/>
      <c r="I48" s="2645"/>
      <c r="J48" s="2644"/>
      <c r="K48" s="1281"/>
      <c r="L48" s="1282"/>
      <c r="P48" s="2646"/>
      <c r="Q48" s="2646"/>
      <c r="R48" s="292"/>
      <c r="S48" s="1196"/>
      <c r="T48" s="224" t="s">
        <v>477</v>
      </c>
      <c r="U48" s="303"/>
      <c r="V48" s="303"/>
      <c r="W48" s="303"/>
      <c r="X48" s="303"/>
      <c r="Y48" s="303"/>
      <c r="Z48" s="303"/>
      <c r="AA48" s="303"/>
      <c r="AB48" s="303"/>
      <c r="AC48" s="303"/>
      <c r="AD48" s="303"/>
      <c r="AE48" s="303"/>
      <c r="AF48" s="303"/>
      <c r="AG48" s="303"/>
      <c r="AH48" s="303"/>
      <c r="AI48" s="303"/>
      <c r="AJ48" s="303"/>
      <c r="AK48" s="1176" t="s">
        <v>478</v>
      </c>
      <c r="AM48" s="436"/>
      <c r="AN48" s="436" t="str">
        <f t="shared" si="1"/>
        <v>Добавить значение признака дифференциации</v>
      </c>
      <c r="AO48" s="436"/>
      <c r="AP48" s="436"/>
      <c r="AQ48" s="1073">
        <v>20</v>
      </c>
    </row>
    <row r="49" spans="1:43" ht="21.95" customHeight="1">
      <c r="A49" s="1281" t="s">
        <v>227</v>
      </c>
      <c r="B49" s="1281" t="s">
        <v>228</v>
      </c>
      <c r="C49" s="1281" t="s">
        <v>229</v>
      </c>
      <c r="D49" s="1281" t="s">
        <v>488</v>
      </c>
      <c r="E49" s="2643"/>
      <c r="F49" s="2643"/>
      <c r="G49" s="2643"/>
      <c r="H49" s="2643"/>
      <c r="I49" s="2644"/>
      <c r="J49" s="1281"/>
      <c r="K49" s="1281"/>
      <c r="L49" s="1282"/>
      <c r="P49" s="2646"/>
      <c r="Q49" s="1368"/>
      <c r="R49" s="292"/>
      <c r="S49" s="1196"/>
      <c r="T49" s="301" t="s">
        <v>403</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227</v>
      </c>
      <c r="B50" s="1281" t="s">
        <v>228</v>
      </c>
      <c r="C50" s="1281" t="s">
        <v>229</v>
      </c>
      <c r="D50" s="1281" t="s">
        <v>488</v>
      </c>
      <c r="E50" s="2643"/>
      <c r="F50" s="2643"/>
      <c r="G50" s="2643"/>
      <c r="H50" s="2642"/>
      <c r="I50" s="1281"/>
      <c r="J50" s="1281"/>
      <c r="K50" s="1281"/>
      <c r="L50" s="1282"/>
      <c r="M50" s="1283"/>
      <c r="N50" s="1283"/>
      <c r="O50" s="473"/>
      <c r="P50" s="296"/>
      <c r="Q50" s="311"/>
      <c r="R50" s="291"/>
      <c r="S50" s="1196"/>
      <c r="T50" s="308" t="s">
        <v>479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7" customFormat="1" ht="0" hidden="1" customHeight="1">
      <c r="A51" s="1261" t="s">
        <v>227</v>
      </c>
      <c r="B51" s="1261" t="s">
        <v>228</v>
      </c>
      <c r="C51" s="1232"/>
      <c r="D51" s="1232"/>
      <c r="E51" s="2643"/>
      <c r="F51" s="2642"/>
      <c r="G51" s="1232"/>
      <c r="H51" s="1232"/>
      <c r="I51" s="1232"/>
      <c r="J51" s="1232"/>
      <c r="K51" s="1232"/>
      <c r="L51" s="1376"/>
      <c r="M51" s="1239"/>
      <c r="N51" s="1239"/>
      <c r="P51" s="1234"/>
      <c r="Q51" s="1235"/>
      <c r="R51" s="1234"/>
      <c r="S51" s="1240"/>
      <c r="T51" s="1243" t="s">
        <v>406</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7" customFormat="1" ht="0" hidden="1" customHeight="1">
      <c r="A52" s="1261" t="s">
        <v>227</v>
      </c>
      <c r="B52" s="1261"/>
      <c r="C52" s="1261"/>
      <c r="D52" s="1261"/>
      <c r="E52" s="2642"/>
      <c r="F52" s="1261"/>
      <c r="G52" s="1261"/>
      <c r="H52" s="1261"/>
      <c r="I52" s="1261"/>
      <c r="J52" s="1261"/>
      <c r="K52" s="1261"/>
      <c r="L52" s="1264"/>
      <c r="M52" s="1239"/>
      <c r="N52" s="1239"/>
      <c r="O52" s="454"/>
      <c r="P52" s="316"/>
      <c r="Q52" s="1262"/>
      <c r="R52" s="316"/>
      <c r="S52" s="1240"/>
      <c r="T52" s="1243" t="s">
        <v>407</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439</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641"/>
      <c r="U55" s="2641"/>
      <c r="V55" s="2641"/>
      <c r="W55" s="2641"/>
      <c r="X55" s="2641"/>
      <c r="Y55" s="2641"/>
      <c r="Z55" s="2641"/>
      <c r="AA55" s="2641"/>
      <c r="AB55" s="2641"/>
      <c r="AC55" s="2641"/>
      <c r="AD55" s="2641"/>
      <c r="AE55" s="2641"/>
      <c r="AF55" s="2641"/>
      <c r="AG55" s="2641"/>
      <c r="AH55" s="2641"/>
      <c r="AI55" s="2641"/>
      <c r="AJ55" s="2641"/>
      <c r="AK55" s="2641"/>
      <c r="AQ55" s="1073">
        <v>14</v>
      </c>
    </row>
    <row r="56" spans="1:43" ht="14.65" customHeight="1">
      <c r="O56" s="473"/>
      <c r="AQ56" s="1073">
        <v>14</v>
      </c>
    </row>
    <row r="57" spans="1:43" ht="14.65" customHeight="1">
      <c r="O57" s="473"/>
      <c r="S57" s="1171"/>
      <c r="T57" s="2641"/>
      <c r="U57" s="2641"/>
      <c r="V57" s="2641"/>
      <c r="W57" s="2641"/>
      <c r="X57" s="2641"/>
      <c r="Y57" s="2641"/>
      <c r="Z57" s="2641"/>
      <c r="AA57" s="2641"/>
      <c r="AB57" s="2641"/>
      <c r="AC57" s="2641"/>
      <c r="AD57" s="2641"/>
      <c r="AE57" s="2641"/>
      <c r="AF57" s="2641"/>
      <c r="AG57" s="2641"/>
      <c r="AH57" s="2641"/>
      <c r="AI57" s="2641"/>
      <c r="AJ57" s="2641"/>
      <c r="AK57" s="264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4.140625" style="2406" hidden="1" customWidth="1"/>
    <col min="10" max="10" width="9.85546875" style="2406" hidden="1" customWidth="1"/>
    <col min="11" max="11" width="14.7109375" style="2406" hidden="1" customWidth="1"/>
    <col min="12" max="12" width="19.140625" style="2432" hidden="1" customWidth="1"/>
    <col min="13" max="14" width="12.28515625" style="2433" hidden="1" customWidth="1"/>
    <col min="15" max="15" width="23.42578125" style="2433" hidden="1" customWidth="1"/>
    <col min="16" max="16" width="3" style="2434" customWidth="1"/>
    <col min="17" max="18" width="3" style="2435" customWidth="1"/>
    <col min="19" max="19" width="12" style="2436" customWidth="1"/>
    <col min="20" max="20" width="35" style="2400" customWidth="1"/>
    <col min="21" max="21" width="0.140625" style="2400" customWidth="1"/>
    <col min="22" max="24" width="24.7109375" style="2400" hidden="1" customWidth="1"/>
    <col min="25" max="25" width="11.7109375" style="2400" hidden="1" customWidth="1"/>
    <col min="26" max="26" width="3.7109375" style="2400" hidden="1" customWidth="1"/>
    <col min="27" max="27" width="11.7109375" style="2400" hidden="1" customWidth="1"/>
    <col min="28" max="28" width="8.5703125" style="2400" hidden="1" customWidth="1"/>
    <col min="29" max="29" width="24.7109375" style="2400" customWidth="1"/>
    <col min="30" max="31" width="24" style="2400" customWidth="1"/>
    <col min="32" max="32" width="11" style="2400" customWidth="1"/>
    <col min="33" max="33" width="3.7109375" style="2400" customWidth="1"/>
    <col min="34" max="34" width="11" style="2400" customWidth="1"/>
    <col min="35" max="35" width="8.5703125" style="2400" hidden="1" customWidth="1"/>
    <col min="36" max="36" width="4" style="2400" customWidth="1"/>
    <col min="37" max="37" width="115" style="2400" customWidth="1"/>
    <col min="38" max="42" width="10" style="2407" customWidth="1"/>
    <col min="43" max="43" width="10.5703125" style="2400" hidden="1"/>
  </cols>
  <sheetData>
    <row r="1" spans="1:43" ht="22.5" hidden="1" customHeight="1">
      <c r="X1" s="264"/>
      <c r="Y1" s="264"/>
      <c r="AE1" s="264"/>
      <c r="AF1" s="264"/>
      <c r="AQ1" s="1073" t="s">
        <v>14</v>
      </c>
    </row>
    <row r="2" spans="1:43" ht="23.25" hidden="1" customHeight="1">
      <c r="A2" s="1281"/>
      <c r="B2" s="1281"/>
      <c r="C2" s="1281"/>
      <c r="D2" s="1281"/>
      <c r="E2" s="2642">
        <v>1</v>
      </c>
      <c r="F2" s="1281"/>
      <c r="G2" s="1281"/>
      <c r="H2" s="1281"/>
      <c r="I2" s="1281"/>
      <c r="J2" s="1281"/>
      <c r="K2" s="1281"/>
      <c r="L2" s="1282"/>
      <c r="M2" s="1283"/>
      <c r="N2" s="1283"/>
      <c r="O2" s="1283"/>
      <c r="P2" s="297"/>
      <c r="Q2" s="296"/>
      <c r="R2" s="291"/>
      <c r="S2" s="1375" t="e">
        <f>INDEX(PT_DIFFERENTIATION_NUM_NTAR,MATCH(A2,PT_DIFFERENTIATION_NTAR_ID,0))</f>
        <v>#N/A</v>
      </c>
      <c r="T2" s="235" t="s">
        <v>116</v>
      </c>
      <c r="U2" s="237"/>
      <c r="V2" s="2636"/>
      <c r="W2" s="2637"/>
      <c r="X2" s="2637"/>
      <c r="Y2" s="2637"/>
      <c r="Z2" s="2637"/>
      <c r="AA2" s="2637"/>
      <c r="AB2" s="2638"/>
      <c r="AC2" s="2636" t="e">
        <f>INDEX(PT_DIFFERENTIATION_NTAR,MATCH(A2,PT_DIFFERENTIATION_NTAR_ID,0))</f>
        <v>#N/A</v>
      </c>
      <c r="AD2" s="2637"/>
      <c r="AE2" s="2637"/>
      <c r="AF2" s="2637"/>
      <c r="AG2" s="2637"/>
      <c r="AH2" s="2637"/>
      <c r="AI2" s="2637"/>
      <c r="AJ2" s="263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643"/>
      <c r="F3" s="2642">
        <v>1</v>
      </c>
      <c r="G3" s="1281"/>
      <c r="H3" s="1281"/>
      <c r="I3" s="1281"/>
      <c r="J3" s="1281"/>
      <c r="K3" s="1281"/>
      <c r="L3" s="1282"/>
      <c r="M3" s="1283"/>
      <c r="N3" s="1283"/>
      <c r="O3" s="1283"/>
      <c r="P3" s="1371"/>
      <c r="Q3" s="288"/>
      <c r="R3" s="289"/>
      <c r="S3" s="1375" t="e">
        <f>INDEX(PT_DIFFERENTIATION_NUM_TER,MATCH(B3,PT_DIFFERENTIATION_TER_ID,0))</f>
        <v>#N/A</v>
      </c>
      <c r="T3" s="245" t="s">
        <v>388</v>
      </c>
      <c r="U3" s="237"/>
      <c r="V3" s="2636"/>
      <c r="W3" s="2637"/>
      <c r="X3" s="2637"/>
      <c r="Y3" s="2637"/>
      <c r="Z3" s="2637"/>
      <c r="AA3" s="2637"/>
      <c r="AB3" s="2638"/>
      <c r="AC3" s="2636" t="e">
        <f>INDEX(PT_DIFFERENTIATION_TER,MATCH(B3,PT_DIFFERENTIATION_TER_ID,0))</f>
        <v>#N/A</v>
      </c>
      <c r="AD3" s="2637"/>
      <c r="AE3" s="2637"/>
      <c r="AF3" s="2637"/>
      <c r="AG3" s="2637"/>
      <c r="AH3" s="2637"/>
      <c r="AI3" s="2637"/>
      <c r="AJ3" s="2638"/>
      <c r="AK3" s="1176" t="s">
        <v>389</v>
      </c>
      <c r="AM3" s="436"/>
      <c r="AN3" s="436" t="str">
        <f t="shared" si="0"/>
        <v>Территория действия тарифа</v>
      </c>
      <c r="AO3" s="436"/>
      <c r="AP3" s="436"/>
      <c r="AQ3" s="1073">
        <v>0</v>
      </c>
    </row>
    <row r="4" spans="1:43" ht="23.25" hidden="1" customHeight="1">
      <c r="A4" s="1281"/>
      <c r="B4" s="1281"/>
      <c r="C4" s="1281"/>
      <c r="D4" s="1281"/>
      <c r="E4" s="2643"/>
      <c r="F4" s="2643"/>
      <c r="G4" s="2642">
        <v>1</v>
      </c>
      <c r="H4" s="1281"/>
      <c r="I4" s="1281"/>
      <c r="J4" s="1281"/>
      <c r="K4" s="1281"/>
      <c r="L4" s="1282"/>
      <c r="M4" s="1283"/>
      <c r="N4" s="1283"/>
      <c r="O4" s="1283"/>
      <c r="P4" s="290"/>
      <c r="Q4" s="288"/>
      <c r="R4" s="289"/>
      <c r="S4" s="1375" t="e">
        <f>INDEX(PT_DIFFERENTIATION_NUM_CS,MATCH(C4,PT_DIFFERENTIATION_CS_ID,0))</f>
        <v>#N/A</v>
      </c>
      <c r="T4" s="246" t="s">
        <v>472</v>
      </c>
      <c r="U4" s="237"/>
      <c r="V4" s="2636"/>
      <c r="W4" s="2637"/>
      <c r="X4" s="2637"/>
      <c r="Y4" s="2637"/>
      <c r="Z4" s="2637"/>
      <c r="AA4" s="2637"/>
      <c r="AB4" s="2638"/>
      <c r="AC4" s="2636" t="e">
        <f>INDEX(PT_DIFFERENTIATION_CS,MATCH(C4,PT_DIFFERENTIATION_CS_ID,0))</f>
        <v>#N/A</v>
      </c>
      <c r="AD4" s="2637"/>
      <c r="AE4" s="2637"/>
      <c r="AF4" s="2637"/>
      <c r="AG4" s="2637"/>
      <c r="AH4" s="2637"/>
      <c r="AI4" s="2637"/>
      <c r="AJ4" s="2638"/>
      <c r="AK4" s="1176" t="s">
        <v>473</v>
      </c>
      <c r="AM4" s="436"/>
      <c r="AN4" s="436" t="str">
        <f t="shared" si="0"/>
        <v>Наименование централизованной системы холодного водоснабжения</v>
      </c>
      <c r="AO4" s="436"/>
      <c r="AP4" s="436"/>
      <c r="AQ4" s="1073">
        <v>0</v>
      </c>
    </row>
    <row r="5" spans="1:43" ht="23.25" hidden="1" customHeight="1">
      <c r="A5" s="1281"/>
      <c r="B5" s="1281"/>
      <c r="C5" s="1281"/>
      <c r="D5" s="1281"/>
      <c r="E5" s="2643"/>
      <c r="F5" s="2643"/>
      <c r="G5" s="2643"/>
      <c r="H5" s="2643"/>
      <c r="I5" s="2644" t="e">
        <f>S4&amp;".1"</f>
        <v>#N/A</v>
      </c>
      <c r="J5" s="1281"/>
      <c r="K5" s="1281"/>
      <c r="L5" s="1282"/>
      <c r="P5" s="2646">
        <v>1</v>
      </c>
      <c r="Q5" s="1368"/>
      <c r="R5" s="292"/>
      <c r="S5" s="1375" t="e">
        <f>$I5</f>
        <v>#N/A</v>
      </c>
      <c r="T5" s="222" t="s">
        <v>474</v>
      </c>
      <c r="U5" s="237"/>
      <c r="V5" s="2710"/>
      <c r="W5" s="2711"/>
      <c r="X5" s="2711"/>
      <c r="Y5" s="2711"/>
      <c r="Z5" s="2711"/>
      <c r="AA5" s="2711"/>
      <c r="AB5" s="2712"/>
      <c r="AC5" s="2713"/>
      <c r="AD5" s="2714"/>
      <c r="AE5" s="2714"/>
      <c r="AF5" s="2714"/>
      <c r="AG5" s="2714"/>
      <c r="AH5" s="2714"/>
      <c r="AI5" s="2714"/>
      <c r="AJ5" s="2715"/>
      <c r="AK5" s="1176" t="s">
        <v>475</v>
      </c>
      <c r="AM5" s="436"/>
      <c r="AN5" s="436" t="str">
        <f t="shared" si="0"/>
        <v>Наименование признака дифференциации</v>
      </c>
      <c r="AO5" s="436"/>
      <c r="AP5" s="436"/>
      <c r="AQ5" s="1073">
        <v>0</v>
      </c>
    </row>
    <row r="6" spans="1:43" ht="23.25" hidden="1" customHeight="1">
      <c r="A6" s="1281"/>
      <c r="B6" s="1281"/>
      <c r="C6" s="1281"/>
      <c r="D6" s="1281"/>
      <c r="E6" s="2643"/>
      <c r="F6" s="2643"/>
      <c r="G6" s="2643"/>
      <c r="H6" s="2643"/>
      <c r="I6" s="2645"/>
      <c r="J6" s="2644" t="e">
        <f>I5&amp;".1"</f>
        <v>#N/A</v>
      </c>
      <c r="K6" s="1281"/>
      <c r="L6" s="1282" t="s">
        <v>397</v>
      </c>
      <c r="P6" s="2646"/>
      <c r="Q6" s="2646">
        <v>1</v>
      </c>
      <c r="R6" s="293"/>
      <c r="S6" s="1375" t="e">
        <f>$J6</f>
        <v>#N/A</v>
      </c>
      <c r="T6" s="223" t="s">
        <v>398</v>
      </c>
      <c r="U6" s="237"/>
      <c r="V6" s="2630"/>
      <c r="W6" s="2631"/>
      <c r="X6" s="2631"/>
      <c r="Y6" s="2631"/>
      <c r="Z6" s="2631"/>
      <c r="AA6" s="2631"/>
      <c r="AB6" s="2632"/>
      <c r="AC6" s="2630"/>
      <c r="AD6" s="2631"/>
      <c r="AE6" s="2631"/>
      <c r="AF6" s="2631"/>
      <c r="AG6" s="2631"/>
      <c r="AH6" s="2631"/>
      <c r="AI6" s="2631"/>
      <c r="AJ6" s="2632"/>
      <c r="AK6" s="1225" t="s">
        <v>476</v>
      </c>
      <c r="AM6" s="436"/>
      <c r="AN6" s="436" t="str">
        <f t="shared" si="0"/>
        <v>Группа потребителей</v>
      </c>
      <c r="AO6" s="436"/>
      <c r="AP6" s="436"/>
      <c r="AQ6" s="1073">
        <v>0</v>
      </c>
    </row>
    <row r="7" spans="1:43" ht="23.25" hidden="1" customHeight="1">
      <c r="A7" s="1281"/>
      <c r="B7" s="1281"/>
      <c r="C7" s="1281"/>
      <c r="D7" s="1281"/>
      <c r="E7" s="2643"/>
      <c r="F7" s="2643"/>
      <c r="G7" s="2643"/>
      <c r="H7" s="2643"/>
      <c r="I7" s="2645"/>
      <c r="J7" s="2645"/>
      <c r="K7" s="2644" t="e">
        <f>J6&amp;".1"</f>
        <v>#N/A</v>
      </c>
      <c r="L7" s="1282"/>
      <c r="P7" s="2646"/>
      <c r="Q7" s="2646"/>
      <c r="R7" s="293">
        <v>1</v>
      </c>
      <c r="S7" s="1375" t="e">
        <f>$K7</f>
        <v>#N/A</v>
      </c>
      <c r="T7" s="1355"/>
      <c r="U7" s="237"/>
      <c r="V7" s="687"/>
      <c r="W7" s="687"/>
      <c r="X7" s="1175"/>
      <c r="Y7" s="2647"/>
      <c r="Z7" s="2524" t="s">
        <v>65</v>
      </c>
      <c r="AA7" s="2647"/>
      <c r="AB7" s="2524" t="s">
        <v>65</v>
      </c>
      <c r="AC7" s="687"/>
      <c r="AD7" s="687"/>
      <c r="AE7" s="1175"/>
      <c r="AF7" s="2647"/>
      <c r="AG7" s="2524" t="s">
        <v>65</v>
      </c>
      <c r="AH7" s="2649"/>
      <c r="AI7" s="2524" t="s">
        <v>65</v>
      </c>
      <c r="AJ7" s="1356"/>
      <c r="AK7"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643"/>
      <c r="F8" s="2643"/>
      <c r="G8" s="2643"/>
      <c r="H8" s="2643"/>
      <c r="I8" s="2645"/>
      <c r="J8" s="2645"/>
      <c r="K8" s="2644"/>
      <c r="L8" s="1282"/>
      <c r="P8" s="2646"/>
      <c r="Q8" s="2646"/>
      <c r="R8" s="293"/>
      <c r="S8" s="1374"/>
      <c r="T8" s="237"/>
      <c r="U8" s="237"/>
      <c r="V8" s="262"/>
      <c r="W8" s="262"/>
      <c r="X8" s="265" t="str">
        <f>Y7&amp;"-"&amp;AA7</f>
        <v>-</v>
      </c>
      <c r="Y8" s="2648"/>
      <c r="Z8" s="2524"/>
      <c r="AA8" s="2648"/>
      <c r="AB8" s="2524"/>
      <c r="AC8" s="262"/>
      <c r="AD8" s="262"/>
      <c r="AE8" s="265" t="str">
        <f>AF7&amp;"-"&amp;AH7</f>
        <v>-</v>
      </c>
      <c r="AF8" s="2648"/>
      <c r="AG8" s="2524"/>
      <c r="AH8" s="2650"/>
      <c r="AI8" s="2524"/>
      <c r="AJ8" s="1357"/>
      <c r="AK8" s="2716"/>
      <c r="AM8" s="436"/>
      <c r="AN8" s="436" t="str">
        <f t="shared" si="0"/>
        <v/>
      </c>
      <c r="AO8" s="436"/>
      <c r="AP8" s="436"/>
      <c r="AQ8" s="1073">
        <v>0</v>
      </c>
    </row>
    <row r="9" spans="1:43" ht="21" hidden="1" customHeight="1">
      <c r="A9" s="1281"/>
      <c r="B9" s="1281"/>
      <c r="C9" s="1281"/>
      <c r="D9" s="1281"/>
      <c r="E9" s="2643"/>
      <c r="F9" s="2643"/>
      <c r="G9" s="2643"/>
      <c r="H9" s="2643"/>
      <c r="I9" s="2645"/>
      <c r="J9" s="2644"/>
      <c r="K9" s="1281"/>
      <c r="L9" s="1282"/>
      <c r="P9" s="2646"/>
      <c r="Q9" s="2646"/>
      <c r="R9" s="292"/>
      <c r="S9" s="1196"/>
      <c r="T9" s="224" t="s">
        <v>477</v>
      </c>
      <c r="U9" s="303"/>
      <c r="V9" s="303"/>
      <c r="W9" s="303"/>
      <c r="X9" s="303"/>
      <c r="Y9" s="303"/>
      <c r="Z9" s="303"/>
      <c r="AA9" s="303"/>
      <c r="AB9" s="303"/>
      <c r="AC9" s="303"/>
      <c r="AD9" s="303"/>
      <c r="AE9" s="303"/>
      <c r="AF9" s="303"/>
      <c r="AG9" s="303"/>
      <c r="AH9" s="303"/>
      <c r="AI9" s="303"/>
      <c r="AJ9" s="303"/>
      <c r="AK9" s="1176" t="s">
        <v>478</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643"/>
      <c r="F10" s="2643"/>
      <c r="G10" s="2643"/>
      <c r="H10" s="2643"/>
      <c r="I10" s="2644"/>
      <c r="J10" s="1281"/>
      <c r="K10" s="1281"/>
      <c r="L10" s="1282"/>
      <c r="P10" s="2646"/>
      <c r="Q10" s="1368"/>
      <c r="R10" s="292"/>
      <c r="S10" s="1196"/>
      <c r="T10" s="301" t="s">
        <v>403</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643"/>
      <c r="F11" s="2643"/>
      <c r="G11" s="2643"/>
      <c r="H11" s="2642"/>
      <c r="I11" s="1281"/>
      <c r="J11" s="1281"/>
      <c r="K11" s="1281"/>
      <c r="L11" s="1282"/>
      <c r="M11" s="1283"/>
      <c r="N11" s="1283"/>
      <c r="O11" s="473"/>
      <c r="P11" s="296"/>
      <c r="Q11" s="311"/>
      <c r="R11" s="291"/>
      <c r="S11" s="1196"/>
      <c r="T11" s="308" t="s">
        <v>479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7" customFormat="1" ht="14.25" hidden="1" customHeight="1">
      <c r="A12" s="1261"/>
      <c r="B12" s="1261"/>
      <c r="C12" s="1232"/>
      <c r="D12" s="1232"/>
      <c r="E12" s="2643"/>
      <c r="F12" s="2642"/>
      <c r="G12" s="1232"/>
      <c r="H12" s="1232"/>
      <c r="I12" s="1232"/>
      <c r="J12" s="1232"/>
      <c r="K12" s="1232"/>
      <c r="L12" s="1376"/>
      <c r="M12" s="1239"/>
      <c r="N12" s="1239"/>
      <c r="P12" s="1234"/>
      <c r="Q12" s="1235"/>
      <c r="R12" s="1234"/>
      <c r="S12" s="1240"/>
      <c r="T12" s="1243" t="s">
        <v>406</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7" customFormat="1" ht="14.25" hidden="1" customHeight="1">
      <c r="A13" s="1261"/>
      <c r="B13" s="1261"/>
      <c r="C13" s="1261"/>
      <c r="D13" s="1261"/>
      <c r="E13" s="2642"/>
      <c r="F13" s="1261"/>
      <c r="G13" s="1261"/>
      <c r="H13" s="1261"/>
      <c r="I13" s="1261"/>
      <c r="J13" s="1261"/>
      <c r="K13" s="1261"/>
      <c r="L13" s="1264"/>
      <c r="M13" s="1239"/>
      <c r="N13" s="1239"/>
      <c r="O13" s="454"/>
      <c r="P13" s="316"/>
      <c r="Q13" s="1262"/>
      <c r="R13" s="316"/>
      <c r="S13" s="1240"/>
      <c r="T13" s="1243" t="s">
        <v>407</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640"/>
      <c r="AG15" s="2639" t="s">
        <v>65</v>
      </c>
      <c r="AH15" s="2640"/>
      <c r="AI15" s="2639" t="s">
        <v>65</v>
      </c>
      <c r="AQ15" s="1073">
        <v>0</v>
      </c>
    </row>
    <row r="16" spans="1:43" ht="14.25" hidden="1" customHeight="1">
      <c r="AC16" s="1278"/>
      <c r="AD16" s="1278"/>
      <c r="AE16" s="265" t="str">
        <f>AF15&amp;"-"&amp;AH15</f>
        <v>-</v>
      </c>
      <c r="AF16" s="2639"/>
      <c r="AG16" s="2639"/>
      <c r="AH16" s="2639"/>
      <c r="AI16" s="2639"/>
      <c r="AQ16" s="1073">
        <v>0</v>
      </c>
    </row>
    <row r="17" spans="1:43" ht="14.25" hidden="1" customHeight="1">
      <c r="AI17" s="264"/>
      <c r="AQ17" s="1073">
        <v>0</v>
      </c>
    </row>
    <row r="18" spans="1:43" s="2406" customFormat="1" ht="22.5" hidden="1" customHeight="1">
      <c r="L18" s="1365"/>
      <c r="M18" s="1280"/>
      <c r="N18" s="1280"/>
      <c r="O18" s="1285" t="s">
        <v>408</v>
      </c>
      <c r="P18" s="1280"/>
      <c r="Q18" s="1289"/>
      <c r="R18" s="1289"/>
      <c r="S18" s="665"/>
      <c r="Y18" s="1285"/>
      <c r="AA18" s="1285"/>
      <c r="AB18" s="1284"/>
      <c r="AF18" s="1285"/>
      <c r="AH18" s="1285"/>
      <c r="AI18" s="1284"/>
      <c r="AL18" s="447"/>
      <c r="AM18" s="447"/>
      <c r="AN18" s="447"/>
      <c r="AO18" s="447"/>
      <c r="AP18" s="447"/>
      <c r="AQ18" s="1078">
        <v>0</v>
      </c>
    </row>
    <row r="19" spans="1:43" s="2406" customFormat="1" ht="14.25" hidden="1" customHeight="1">
      <c r="L19" s="1365"/>
      <c r="M19" s="1280"/>
      <c r="N19" s="1280"/>
      <c r="O19" s="1280"/>
      <c r="P19" s="1280"/>
      <c r="Q19" s="1289"/>
      <c r="R19" s="1289"/>
      <c r="S19" s="665"/>
      <c r="AB19" s="1284"/>
      <c r="AI19" s="1284"/>
      <c r="AL19" s="447"/>
      <c r="AM19" s="447"/>
      <c r="AN19" s="447"/>
      <c r="AO19" s="447"/>
      <c r="AP19" s="447"/>
      <c r="AQ19" s="1078">
        <v>0</v>
      </c>
    </row>
    <row r="20" spans="1:43" s="2406" customFormat="1" ht="12" hidden="1" customHeight="1">
      <c r="L20" s="1365"/>
      <c r="M20" s="1280"/>
      <c r="N20" s="1280"/>
      <c r="O20" s="1282" t="s">
        <v>409</v>
      </c>
      <c r="P20" s="1280"/>
      <c r="Q20" s="1360"/>
      <c r="R20" s="1360"/>
      <c r="S20" s="665"/>
      <c r="T20" s="1078" t="s">
        <v>410</v>
      </c>
      <c r="Z20" s="123" t="s">
        <v>411</v>
      </c>
      <c r="AB20" s="123" t="s">
        <v>412</v>
      </c>
      <c r="AC20" s="1078" t="s">
        <v>410</v>
      </c>
      <c r="AG20" s="123" t="s">
        <v>413</v>
      </c>
      <c r="AI20" s="123" t="s">
        <v>412</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6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23"/>
      <c r="U24" s="2623"/>
      <c r="V24" s="2623"/>
      <c r="W24" s="2623"/>
      <c r="X24" s="2623"/>
      <c r="Y24" s="2623"/>
      <c r="Z24" s="2623"/>
      <c r="AA24" s="2623"/>
      <c r="AB24" s="2623"/>
      <c r="AC24" s="2623"/>
      <c r="AD24" s="2623"/>
      <c r="AE24" s="2623"/>
      <c r="AF24" s="2623"/>
      <c r="AG24" s="2623"/>
      <c r="AH24" s="2623"/>
      <c r="AI24" s="1161"/>
      <c r="AQ24" s="1073">
        <v>14</v>
      </c>
    </row>
    <row r="25" spans="1:43" ht="14.65" customHeight="1">
      <c r="Q25" s="312"/>
      <c r="R25" s="312"/>
      <c r="S25" s="2595" t="str">
        <f>IF(org=0,"Не определено",org)</f>
        <v>ПАО "ТГК-1" (филиал "Кольский")</v>
      </c>
      <c r="T25" s="2595"/>
      <c r="U25" s="2595"/>
      <c r="V25" s="2595"/>
      <c r="W25" s="2595"/>
      <c r="X25" s="2595"/>
      <c r="Y25" s="2595"/>
      <c r="Z25" s="2595"/>
      <c r="AA25" s="2595"/>
      <c r="AB25" s="2595"/>
      <c r="AC25" s="2595"/>
      <c r="AD25" s="2595"/>
      <c r="AE25" s="2595"/>
      <c r="AF25" s="2595"/>
      <c r="AG25" s="2595"/>
      <c r="AH25" s="2595"/>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6" customFormat="1" ht="25.5" hidden="1" customHeight="1">
      <c r="A27" s="1286"/>
      <c r="B27" s="1286"/>
      <c r="C27" s="1286"/>
      <c r="D27" s="1286"/>
      <c r="E27" s="1286"/>
      <c r="F27" s="1286"/>
      <c r="G27" s="1286"/>
      <c r="H27" s="1286"/>
      <c r="I27" s="1286"/>
      <c r="J27" s="1286"/>
      <c r="K27" s="1286"/>
      <c r="L27" s="1287"/>
      <c r="M27" s="1286"/>
      <c r="N27" s="1286"/>
      <c r="O27" s="1286"/>
      <c r="S27" s="2633" t="s">
        <v>41</v>
      </c>
      <c r="T27" s="2633"/>
      <c r="U27" s="1290"/>
      <c r="V27" s="2635" t="str">
        <f>IF(TITLE_NAME_OR_PR_CHANGE="",IF(TITLE_NAME_OR_PR="","",TITLE_NAME_OR_PR),TITLE_NAME_OR_PR_CHANGE)</f>
        <v/>
      </c>
      <c r="W27" s="2635"/>
      <c r="X27" s="2635"/>
      <c r="Y27" s="2635"/>
      <c r="Z27" s="2635"/>
      <c r="AA27" s="2635"/>
      <c r="AB27" s="263"/>
      <c r="AC27" s="2635" t="str">
        <f>IF(TITLE_NAME_OR_PR_CHANGE="",IF(TITLE_NAME_OR_PR="","",TITLE_NAME_OR_PR),TITLE_NAME_OR_PR_CHANGE)</f>
        <v/>
      </c>
      <c r="AD27" s="2635"/>
      <c r="AE27" s="2635"/>
      <c r="AF27" s="2635"/>
      <c r="AG27" s="2635"/>
      <c r="AH27" s="2635"/>
      <c r="AI27" s="263"/>
      <c r="AJ27" s="263"/>
      <c r="AK27" s="217"/>
      <c r="AL27" s="304"/>
      <c r="AM27" s="304"/>
      <c r="AN27" s="304"/>
      <c r="AO27" s="304"/>
      <c r="AP27" s="304"/>
      <c r="AQ27" s="354">
        <v>0</v>
      </c>
    </row>
    <row r="28" spans="1:43" s="2416" customFormat="1" ht="18.75" hidden="1" customHeight="1">
      <c r="A28" s="1286"/>
      <c r="B28" s="1286"/>
      <c r="C28" s="1286"/>
      <c r="D28" s="1286"/>
      <c r="E28" s="1286"/>
      <c r="F28" s="1286"/>
      <c r="G28" s="1286"/>
      <c r="H28" s="1286"/>
      <c r="I28" s="1286"/>
      <c r="J28" s="1286"/>
      <c r="K28" s="1286"/>
      <c r="L28" s="1287"/>
      <c r="M28" s="1286"/>
      <c r="N28" s="1286"/>
      <c r="O28" s="1286"/>
      <c r="S28" s="2633" t="s">
        <v>414</v>
      </c>
      <c r="T28" s="2633"/>
      <c r="U28" s="1290"/>
      <c r="V28" s="2634" t="str">
        <f>IF(TITLE_DATE_PR_CHANGE="",IF(TITLE_DATE_PR="","",TITLE_DATE_PR),TITLE_DATE_PR_CHANGE)</f>
        <v/>
      </c>
      <c r="W28" s="2634"/>
      <c r="X28" s="2634"/>
      <c r="Y28" s="2634"/>
      <c r="Z28" s="2634"/>
      <c r="AA28" s="2634"/>
      <c r="AB28" s="263"/>
      <c r="AC28" s="2634" t="str">
        <f>IF(TITLE_DATE_PR_CHANGE="",IF(TITLE_DATE_PR="","",TITLE_DATE_PR),TITLE_DATE_PR_CHANGE)</f>
        <v/>
      </c>
      <c r="AD28" s="2634"/>
      <c r="AE28" s="2634"/>
      <c r="AF28" s="2634"/>
      <c r="AG28" s="2634"/>
      <c r="AH28" s="2634"/>
      <c r="AI28" s="263"/>
      <c r="AJ28" s="263"/>
      <c r="AK28" s="217"/>
      <c r="AL28" s="304"/>
      <c r="AM28" s="304"/>
      <c r="AN28" s="304"/>
      <c r="AO28" s="304"/>
      <c r="AP28" s="304"/>
      <c r="AQ28" s="354">
        <v>0</v>
      </c>
    </row>
    <row r="29" spans="1:43" s="2416" customFormat="1" ht="18.75" hidden="1" customHeight="1">
      <c r="A29" s="1286"/>
      <c r="B29" s="1286"/>
      <c r="C29" s="1286"/>
      <c r="D29" s="1286"/>
      <c r="E29" s="1286"/>
      <c r="F29" s="1286"/>
      <c r="G29" s="1286"/>
      <c r="H29" s="1286"/>
      <c r="I29" s="1286"/>
      <c r="J29" s="1286"/>
      <c r="K29" s="1286"/>
      <c r="L29" s="1287"/>
      <c r="M29" s="1286"/>
      <c r="N29" s="1286"/>
      <c r="O29" s="1286"/>
      <c r="S29" s="2633" t="s">
        <v>415</v>
      </c>
      <c r="T29" s="2633"/>
      <c r="U29" s="1290"/>
      <c r="V29" s="2635" t="str">
        <f>IF(TITLE_NUMBER_PR_CHANGE="",IF(TITLE_NUMBER_PR="","",TITLE_NUMBER_PR),TITLE_NUMBER_PR_CHANGE)</f>
        <v/>
      </c>
      <c r="W29" s="2635"/>
      <c r="X29" s="2635"/>
      <c r="Y29" s="2635"/>
      <c r="Z29" s="2635"/>
      <c r="AA29" s="2635"/>
      <c r="AB29" s="263"/>
      <c r="AC29" s="2635" t="str">
        <f>IF(TITLE_NUMBER_PR_CHANGE="",IF(TITLE_NUMBER_PR="","",TITLE_NUMBER_PR),TITLE_NUMBER_PR_CHANGE)</f>
        <v/>
      </c>
      <c r="AD29" s="2635"/>
      <c r="AE29" s="2635"/>
      <c r="AF29" s="2635"/>
      <c r="AG29" s="2635"/>
      <c r="AH29" s="2635"/>
      <c r="AI29" s="263"/>
      <c r="AJ29" s="263"/>
      <c r="AK29" s="217"/>
      <c r="AL29" s="304"/>
      <c r="AM29" s="304"/>
      <c r="AN29" s="304"/>
      <c r="AO29" s="304"/>
      <c r="AP29" s="304"/>
      <c r="AQ29" s="354">
        <v>0</v>
      </c>
    </row>
    <row r="30" spans="1:43" s="2416" customFormat="1" ht="18.75" hidden="1" customHeight="1">
      <c r="A30" s="1286"/>
      <c r="B30" s="1286"/>
      <c r="C30" s="1286"/>
      <c r="D30" s="1286"/>
      <c r="E30" s="1286"/>
      <c r="F30" s="1286"/>
      <c r="G30" s="1286"/>
      <c r="H30" s="1286"/>
      <c r="I30" s="1286"/>
      <c r="J30" s="1286"/>
      <c r="K30" s="1286"/>
      <c r="L30" s="1287"/>
      <c r="M30" s="1286"/>
      <c r="N30" s="1286"/>
      <c r="O30" s="1286"/>
      <c r="S30" s="2633" t="s">
        <v>42</v>
      </c>
      <c r="T30" s="2633"/>
      <c r="U30" s="1290"/>
      <c r="V30" s="2635" t="str">
        <f>IF(TITLE_IST_PUB_CHANGE="",IF(TITLE_IST_PUB="","",TITLE_IST_PUB),TITLE_IST_PUB_CHANGE)</f>
        <v/>
      </c>
      <c r="W30" s="2635"/>
      <c r="X30" s="2635"/>
      <c r="Y30" s="2635"/>
      <c r="Z30" s="2635"/>
      <c r="AA30" s="2635"/>
      <c r="AB30" s="263"/>
      <c r="AC30" s="2635" t="str">
        <f>IF(TITLE_IST_PUB_CHANGE="",IF(TITLE_IST_PUB="","",TITLE_IST_PUB),TITLE_IST_PUB_CHANGE)</f>
        <v/>
      </c>
      <c r="AD30" s="2635"/>
      <c r="AE30" s="2635"/>
      <c r="AF30" s="2635"/>
      <c r="AG30" s="2635"/>
      <c r="AH30" s="2635"/>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6" customFormat="1" ht="18.75" hidden="1" customHeight="1">
      <c r="A32" s="1286"/>
      <c r="B32" s="1286"/>
      <c r="C32" s="1286"/>
      <c r="D32" s="1286"/>
      <c r="E32" s="1286"/>
      <c r="F32" s="1286"/>
      <c r="G32" s="1286"/>
      <c r="H32" s="1286"/>
      <c r="I32" s="1286"/>
      <c r="J32" s="1286"/>
      <c r="K32" s="1286"/>
      <c r="L32" s="1287"/>
      <c r="M32" s="1286"/>
      <c r="N32" s="1286"/>
      <c r="O32" s="1286"/>
      <c r="S32" s="2633" t="s">
        <v>416</v>
      </c>
      <c r="T32" s="2633"/>
      <c r="U32" s="1290"/>
      <c r="V32" s="2634" t="str">
        <f>IF(TITLE_DATE_PR_CHANGE="",IF(TITLE_DATE_PR="","",TITLE_DATE_PR),TITLE_DATE_PR_CHANGE)</f>
        <v/>
      </c>
      <c r="W32" s="2634"/>
      <c r="X32" s="2634"/>
      <c r="Y32" s="2634"/>
      <c r="Z32" s="2634"/>
      <c r="AA32" s="2634"/>
      <c r="AB32" s="263"/>
      <c r="AC32" s="2634" t="str">
        <f>IF(TITLE_DATE_PR_CHANGE="",IF(TITLE_DATE_PR="","",TITLE_DATE_PR),TITLE_DATE_PR_CHANGE)</f>
        <v/>
      </c>
      <c r="AD32" s="2634"/>
      <c r="AE32" s="2634"/>
      <c r="AF32" s="2634"/>
      <c r="AG32" s="2634"/>
      <c r="AH32" s="2634"/>
      <c r="AI32" s="263"/>
      <c r="AJ32" s="263"/>
      <c r="AK32" s="217"/>
      <c r="AL32" s="304"/>
      <c r="AM32" s="304"/>
      <c r="AN32" s="304"/>
      <c r="AO32" s="304"/>
      <c r="AP32" s="304"/>
      <c r="AQ32" s="354">
        <v>0</v>
      </c>
    </row>
    <row r="33" spans="1:43" s="2416" customFormat="1" ht="18.75" hidden="1" customHeight="1">
      <c r="A33" s="1286"/>
      <c r="B33" s="1286"/>
      <c r="C33" s="1286"/>
      <c r="D33" s="1286"/>
      <c r="E33" s="1286"/>
      <c r="F33" s="1286"/>
      <c r="G33" s="1286"/>
      <c r="H33" s="1286"/>
      <c r="I33" s="1286"/>
      <c r="J33" s="1286"/>
      <c r="K33" s="1286"/>
      <c r="L33" s="1287"/>
      <c r="M33" s="1286"/>
      <c r="N33" s="1286"/>
      <c r="O33" s="1286"/>
      <c r="S33" s="2633" t="s">
        <v>417</v>
      </c>
      <c r="T33" s="2633"/>
      <c r="U33" s="1290"/>
      <c r="V33" s="2635" t="str">
        <f>IF(TITLE_NUMBER_PR_CHANGE="",IF(TITLE_NUMBER_PR="","",TITLE_NUMBER_PR),TITLE_NUMBER_PR_CHANGE)</f>
        <v/>
      </c>
      <c r="W33" s="2635"/>
      <c r="X33" s="2635"/>
      <c r="Y33" s="2635"/>
      <c r="Z33" s="2635"/>
      <c r="AA33" s="2635"/>
      <c r="AB33" s="263"/>
      <c r="AC33" s="2635" t="str">
        <f>IF(TITLE_NUMBER_PR_CHANGE="",IF(TITLE_NUMBER_PR="","",TITLE_NUMBER_PR),TITLE_NUMBER_PR_CHANGE)</f>
        <v/>
      </c>
      <c r="AD33" s="2635"/>
      <c r="AE33" s="2635"/>
      <c r="AF33" s="2635"/>
      <c r="AG33" s="2635"/>
      <c r="AH33" s="2635"/>
      <c r="AI33" s="263"/>
      <c r="AJ33" s="263"/>
      <c r="AK33" s="217"/>
      <c r="AL33" s="304"/>
      <c r="AM33" s="304"/>
      <c r="AN33" s="304"/>
      <c r="AO33" s="304"/>
      <c r="AP33" s="304"/>
      <c r="AQ33" s="354">
        <v>0</v>
      </c>
    </row>
    <row r="34" spans="1:43" s="2416" customFormat="1" ht="1.1499999999999999" customHeight="1">
      <c r="A34" s="1286"/>
      <c r="B34" s="1286"/>
      <c r="C34" s="1286"/>
      <c r="D34" s="1286"/>
      <c r="E34" s="1286"/>
      <c r="F34" s="1286"/>
      <c r="G34" s="1286"/>
      <c r="H34" s="1286"/>
      <c r="I34" s="1286"/>
      <c r="J34" s="1286"/>
      <c r="K34" s="1286"/>
      <c r="L34" s="1287"/>
      <c r="M34" s="1286"/>
      <c r="N34" s="1286"/>
      <c r="O34" s="1286"/>
      <c r="S34" s="260"/>
      <c r="T34" s="260"/>
      <c r="U34" s="1372"/>
      <c r="V34" s="263"/>
      <c r="W34" s="263"/>
      <c r="X34" s="263"/>
      <c r="Y34" s="263"/>
      <c r="Z34" s="263"/>
      <c r="AA34" s="263"/>
      <c r="AB34" s="215" t="s">
        <v>418</v>
      </c>
      <c r="AC34" s="263"/>
      <c r="AD34" s="263"/>
      <c r="AE34" s="263"/>
      <c r="AF34" s="263"/>
      <c r="AG34" s="263"/>
      <c r="AH34" s="263"/>
      <c r="AI34" s="215" t="s">
        <v>418</v>
      </c>
      <c r="AL34" s="304"/>
      <c r="AM34" s="304"/>
      <c r="AN34" s="304"/>
      <c r="AO34" s="304"/>
      <c r="AP34" s="304"/>
      <c r="AQ34" s="354">
        <v>1</v>
      </c>
    </row>
    <row r="35" spans="1:43" ht="14.65" customHeight="1">
      <c r="Q35" s="312"/>
      <c r="R35" s="312"/>
      <c r="S35" s="1193"/>
      <c r="T35" s="299"/>
      <c r="U35" s="1162"/>
      <c r="V35" s="2654"/>
      <c r="W35" s="2654"/>
      <c r="X35" s="2654"/>
      <c r="Y35" s="2654"/>
      <c r="Z35" s="2654"/>
      <c r="AA35" s="2654"/>
      <c r="AB35" s="2654"/>
      <c r="AC35" s="2654"/>
      <c r="AD35" s="2654"/>
      <c r="AE35" s="2654"/>
      <c r="AF35" s="2654"/>
      <c r="AG35" s="2654"/>
      <c r="AH35" s="2654"/>
      <c r="AI35" s="2654"/>
      <c r="AQ35" s="1073">
        <v>14</v>
      </c>
    </row>
    <row r="36" spans="1:43" ht="14.65" customHeight="1">
      <c r="Q36" s="312"/>
      <c r="R36" s="312"/>
      <c r="S36" s="2514" t="s">
        <v>291</v>
      </c>
      <c r="T36" s="2514"/>
      <c r="U36" s="2514"/>
      <c r="V36" s="2514"/>
      <c r="W36" s="2514"/>
      <c r="X36" s="2514"/>
      <c r="Y36" s="2514"/>
      <c r="Z36" s="2514"/>
      <c r="AA36" s="2514"/>
      <c r="AB36" s="2514"/>
      <c r="AC36" s="2514"/>
      <c r="AD36" s="2514"/>
      <c r="AE36" s="2514"/>
      <c r="AF36" s="2514"/>
      <c r="AG36" s="2514"/>
      <c r="AH36" s="2514"/>
      <c r="AI36" s="2514"/>
      <c r="AJ36" s="2514"/>
      <c r="AK36" s="2514" t="s">
        <v>292</v>
      </c>
      <c r="AQ36" s="1073">
        <v>14</v>
      </c>
    </row>
    <row r="37" spans="1:43" ht="14.65" customHeight="1">
      <c r="Q37" s="312"/>
      <c r="R37" s="312"/>
      <c r="S37" s="2655" t="s">
        <v>84</v>
      </c>
      <c r="T37" s="2603" t="s">
        <v>419</v>
      </c>
      <c r="U37" s="238"/>
      <c r="V37" s="2656" t="s">
        <v>420</v>
      </c>
      <c r="W37" s="2657"/>
      <c r="X37" s="2657"/>
      <c r="Y37" s="2657"/>
      <c r="Z37" s="2657"/>
      <c r="AA37" s="2658"/>
      <c r="AB37" s="2659" t="s">
        <v>421</v>
      </c>
      <c r="AC37" s="2656" t="s">
        <v>420</v>
      </c>
      <c r="AD37" s="2657"/>
      <c r="AE37" s="2657"/>
      <c r="AF37" s="2657"/>
      <c r="AG37" s="2657"/>
      <c r="AH37" s="2658"/>
      <c r="AI37" s="2659" t="s">
        <v>422</v>
      </c>
      <c r="AJ37" s="2662" t="s">
        <v>423</v>
      </c>
      <c r="AK37" s="2514"/>
      <c r="AQ37" s="1073">
        <v>14</v>
      </c>
    </row>
    <row r="38" spans="1:43" ht="35.65" customHeight="1">
      <c r="Q38" s="312"/>
      <c r="R38" s="312"/>
      <c r="S38" s="2655"/>
      <c r="T38" s="2603"/>
      <c r="U38" s="954"/>
      <c r="V38" s="1370" t="s">
        <v>480</v>
      </c>
      <c r="W38" s="2496" t="s">
        <v>426</v>
      </c>
      <c r="X38" s="2495"/>
      <c r="Y38" s="2496" t="s">
        <v>427</v>
      </c>
      <c r="Z38" s="2501"/>
      <c r="AA38" s="2495"/>
      <c r="AB38" s="2660"/>
      <c r="AC38" s="1370" t="s">
        <v>480</v>
      </c>
      <c r="AD38" s="2496" t="s">
        <v>426</v>
      </c>
      <c r="AE38" s="2495"/>
      <c r="AF38" s="2496" t="s">
        <v>427</v>
      </c>
      <c r="AG38" s="2501"/>
      <c r="AH38" s="2495"/>
      <c r="AI38" s="2660"/>
      <c r="AJ38" s="2663"/>
      <c r="AK38" s="2514"/>
      <c r="AQ38" s="1073">
        <v>34</v>
      </c>
    </row>
    <row r="39" spans="1:43" ht="35.65" customHeight="1">
      <c r="A39" s="1288"/>
      <c r="B39" s="1288" t="s">
        <v>128</v>
      </c>
      <c r="C39" s="1288" t="s">
        <v>129</v>
      </c>
      <c r="D39" s="1288" t="s">
        <v>130</v>
      </c>
      <c r="E39" s="1282" t="s">
        <v>428</v>
      </c>
      <c r="F39" s="1282" t="s">
        <v>429</v>
      </c>
      <c r="G39" s="1282" t="s">
        <v>430</v>
      </c>
      <c r="H39" s="1282"/>
      <c r="I39" s="1282" t="s">
        <v>481</v>
      </c>
      <c r="J39" s="1282" t="s">
        <v>433</v>
      </c>
      <c r="K39" s="1282" t="s">
        <v>482</v>
      </c>
      <c r="L39" s="1282" t="s">
        <v>409</v>
      </c>
      <c r="Q39" s="312"/>
      <c r="R39" s="312"/>
      <c r="S39" s="2655"/>
      <c r="T39" s="2603"/>
      <c r="U39" s="239"/>
      <c r="V39" s="1370" t="s">
        <v>483</v>
      </c>
      <c r="W39" s="1140" t="s">
        <v>484</v>
      </c>
      <c r="X39" s="1140" t="s">
        <v>485</v>
      </c>
      <c r="Y39" s="1373" t="s">
        <v>437</v>
      </c>
      <c r="Z39" s="2608" t="s">
        <v>438</v>
      </c>
      <c r="AA39" s="2622"/>
      <c r="AB39" s="2661"/>
      <c r="AC39" s="1370" t="s">
        <v>483</v>
      </c>
      <c r="AD39" s="1140" t="s">
        <v>484</v>
      </c>
      <c r="AE39" s="1140" t="s">
        <v>485</v>
      </c>
      <c r="AF39" s="1373" t="s">
        <v>437</v>
      </c>
      <c r="AG39" s="2608" t="s">
        <v>438</v>
      </c>
      <c r="AH39" s="2622"/>
      <c r="AI39" s="2661"/>
      <c r="AJ39" s="2664"/>
      <c r="AK39" s="2514"/>
      <c r="AQ39" s="1073">
        <v>34</v>
      </c>
    </row>
    <row r="40" spans="1:43" s="243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102</v>
      </c>
      <c r="T40" s="1173" t="s">
        <v>103</v>
      </c>
      <c r="U40" s="1163" t="str">
        <f ca="1">OFFSET(U40,0,-1)</f>
        <v>2</v>
      </c>
      <c r="V40" s="1369">
        <f ca="1">OFFSET(V40,0,-1)+1</f>
        <v>3</v>
      </c>
      <c r="W40" s="1369">
        <f ca="1">OFFSET(W40,0,-1)+1</f>
        <v>4</v>
      </c>
      <c r="X40" s="1369">
        <f ca="1">OFFSET(X40,0,-1)+1</f>
        <v>5</v>
      </c>
      <c r="Y40" s="1369">
        <f ca="1">OFFSET(Y40,0,-1)+1</f>
        <v>6</v>
      </c>
      <c r="Z40" s="2653">
        <f ca="1">OFFSET(Z40,0,-1)+1</f>
        <v>7</v>
      </c>
      <c r="AA40" s="2653"/>
      <c r="AB40" s="1369">
        <f ca="1">OFFSET(AB40,0,-2)+1</f>
        <v>8</v>
      </c>
      <c r="AC40" s="1369">
        <f ca="1">OFFSET(AC40,0,-1)+1</f>
        <v>9</v>
      </c>
      <c r="AD40" s="1369">
        <f ca="1">OFFSET(AD40,0,-1)+1</f>
        <v>10</v>
      </c>
      <c r="AE40" s="1369">
        <f ca="1">OFFSET(AE40,0,-1)+1</f>
        <v>11</v>
      </c>
      <c r="AF40" s="1369">
        <f ca="1">OFFSET(AF40,0,-1)+1</f>
        <v>12</v>
      </c>
      <c r="AG40" s="2653">
        <f ca="1">OFFSET(AG40,0,-1)+1</f>
        <v>13</v>
      </c>
      <c r="AH40" s="2653"/>
      <c r="AI40" s="1369">
        <f ca="1">OFFSET(AI40,0,-2)+1</f>
        <v>14</v>
      </c>
      <c r="AJ40" s="1163">
        <f ca="1">OFFSET(AJ40,0,-1)</f>
        <v>14</v>
      </c>
      <c r="AK40" s="1369">
        <f ca="1">OFFSET(AK40,0,-1)+1</f>
        <v>15</v>
      </c>
      <c r="AL40" s="447"/>
      <c r="AM40" s="447"/>
      <c r="AN40" s="447"/>
      <c r="AO40" s="447"/>
      <c r="AP40" s="447"/>
      <c r="AQ40" s="432">
        <v>0</v>
      </c>
    </row>
    <row r="41" spans="1:43" ht="24" customHeight="1">
      <c r="A41" s="1281" t="s">
        <v>232</v>
      </c>
      <c r="B41" s="1281"/>
      <c r="C41" s="1281"/>
      <c r="D41" s="1281"/>
      <c r="E41" s="2642">
        <v>1</v>
      </c>
      <c r="F41" s="1281"/>
      <c r="G41" s="1281"/>
      <c r="H41" s="1281"/>
      <c r="I41" s="1281"/>
      <c r="J41" s="1281"/>
      <c r="K41" s="1281"/>
      <c r="L41" s="1282"/>
      <c r="M41" s="1283"/>
      <c r="N41" s="1283"/>
      <c r="O41" s="1283"/>
      <c r="P41" s="297"/>
      <c r="Q41" s="296"/>
      <c r="R41" s="291"/>
      <c r="S41" s="1375">
        <f>INDEX(PT_DIFFERENTIATION_NUM_NTAR,MATCH(A41,PT_DIFFERENTIATION_NTAR_ID,0))</f>
        <v>0</v>
      </c>
      <c r="T41" s="235" t="s">
        <v>116</v>
      </c>
      <c r="U41" s="237"/>
      <c r="V41" s="2636"/>
      <c r="W41" s="2637"/>
      <c r="X41" s="2637"/>
      <c r="Y41" s="2637"/>
      <c r="Z41" s="2637"/>
      <c r="AA41" s="2637"/>
      <c r="AB41" s="2638"/>
      <c r="AC41" s="2636" t="str">
        <f>INDEX(PT_DIFFERENTIATION_NTAR,MATCH(A41,PT_DIFFERENTIATION_NTAR_ID,0))</f>
        <v/>
      </c>
      <c r="AD41" s="2637"/>
      <c r="AE41" s="2637"/>
      <c r="AF41" s="2637"/>
      <c r="AG41" s="2637"/>
      <c r="AH41" s="2637"/>
      <c r="AI41" s="2637"/>
      <c r="AJ41" s="263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232</v>
      </c>
      <c r="B42" s="1281" t="s">
        <v>233</v>
      </c>
      <c r="C42" s="1281"/>
      <c r="D42" s="1281"/>
      <c r="E42" s="2643"/>
      <c r="F42" s="2642">
        <v>1</v>
      </c>
      <c r="G42" s="1281"/>
      <c r="H42" s="1281"/>
      <c r="I42" s="1281"/>
      <c r="J42" s="1281"/>
      <c r="K42" s="1281"/>
      <c r="L42" s="1282"/>
      <c r="M42" s="1283"/>
      <c r="N42" s="1283"/>
      <c r="O42" s="1283"/>
      <c r="P42" s="1371"/>
      <c r="Q42" s="288"/>
      <c r="R42" s="289"/>
      <c r="S42" s="1375" t="str">
        <f>INDEX(PT_DIFFERENTIATION_NUM_TER,MATCH(B42,PT_DIFFERENTIATION_TER_ID,0))</f>
        <v>.</v>
      </c>
      <c r="T42" s="245" t="s">
        <v>388</v>
      </c>
      <c r="U42" s="237"/>
      <c r="V42" s="2636"/>
      <c r="W42" s="2637"/>
      <c r="X42" s="2637"/>
      <c r="Y42" s="2637"/>
      <c r="Z42" s="2637"/>
      <c r="AA42" s="2637"/>
      <c r="AB42" s="2638"/>
      <c r="AC42" s="2636" t="str">
        <f>INDEX(PT_DIFFERENTIATION_TER,MATCH(B42,PT_DIFFERENTIATION_TER_ID,0))</f>
        <v/>
      </c>
      <c r="AD42" s="2637"/>
      <c r="AE42" s="2637"/>
      <c r="AF42" s="2637"/>
      <c r="AG42" s="2637"/>
      <c r="AH42" s="2637"/>
      <c r="AI42" s="2637"/>
      <c r="AJ42" s="2638"/>
      <c r="AK42" s="1176" t="s">
        <v>389</v>
      </c>
      <c r="AM42" s="436"/>
      <c r="AN42" s="436" t="str">
        <f t="shared" si="1"/>
        <v>Территория действия тарифа</v>
      </c>
      <c r="AO42" s="436"/>
      <c r="AP42" s="436"/>
      <c r="AQ42" s="1073">
        <v>23</v>
      </c>
    </row>
    <row r="43" spans="1:43" ht="24" customHeight="1">
      <c r="A43" s="1281" t="s">
        <v>232</v>
      </c>
      <c r="B43" s="1281" t="s">
        <v>233</v>
      </c>
      <c r="C43" s="1281" t="s">
        <v>234</v>
      </c>
      <c r="D43" s="1281"/>
      <c r="E43" s="2643"/>
      <c r="F43" s="2643"/>
      <c r="G43" s="2642">
        <v>1</v>
      </c>
      <c r="H43" s="1281"/>
      <c r="I43" s="1281"/>
      <c r="J43" s="1281"/>
      <c r="K43" s="1281"/>
      <c r="L43" s="1282"/>
      <c r="M43" s="1283"/>
      <c r="N43" s="1283"/>
      <c r="O43" s="1283"/>
      <c r="P43" s="290"/>
      <c r="Q43" s="288"/>
      <c r="R43" s="289"/>
      <c r="S43" s="1375" t="str">
        <f>INDEX(PT_DIFFERENTIATION_NUM_CS,MATCH(C43,PT_DIFFERENTIATION_CS_ID,0))</f>
        <v>..</v>
      </c>
      <c r="T43" s="246" t="s">
        <v>472</v>
      </c>
      <c r="U43" s="237"/>
      <c r="V43" s="2636"/>
      <c r="W43" s="2637"/>
      <c r="X43" s="2637"/>
      <c r="Y43" s="2637"/>
      <c r="Z43" s="2637"/>
      <c r="AA43" s="2637"/>
      <c r="AB43" s="2638"/>
      <c r="AC43" s="2636" t="str">
        <f>INDEX(PT_DIFFERENTIATION_CS,MATCH(C43,PT_DIFFERENTIATION_CS_ID,0))</f>
        <v/>
      </c>
      <c r="AD43" s="2637"/>
      <c r="AE43" s="2637"/>
      <c r="AF43" s="2637"/>
      <c r="AG43" s="2637"/>
      <c r="AH43" s="2637"/>
      <c r="AI43" s="2637"/>
      <c r="AJ43" s="2638"/>
      <c r="AK43" s="1176" t="s">
        <v>473</v>
      </c>
      <c r="AM43" s="436"/>
      <c r="AN43" s="436" t="str">
        <f t="shared" si="1"/>
        <v>Наименование централизованной системы холодного водоснабжения</v>
      </c>
      <c r="AO43" s="436"/>
      <c r="AP43" s="436"/>
      <c r="AQ43" s="1073">
        <v>23</v>
      </c>
    </row>
    <row r="44" spans="1:43" ht="24" customHeight="1">
      <c r="A44" s="1281" t="s">
        <v>232</v>
      </c>
      <c r="B44" s="1281" t="s">
        <v>233</v>
      </c>
      <c r="C44" s="1281" t="s">
        <v>234</v>
      </c>
      <c r="D44" s="1281" t="s">
        <v>489</v>
      </c>
      <c r="E44" s="2643"/>
      <c r="F44" s="2643"/>
      <c r="G44" s="2643"/>
      <c r="H44" s="2643"/>
      <c r="I44" s="2644" t="str">
        <f>S43&amp;".1"</f>
        <v>...1</v>
      </c>
      <c r="J44" s="1281"/>
      <c r="K44" s="1281"/>
      <c r="L44" s="1282"/>
      <c r="P44" s="2646">
        <v>1</v>
      </c>
      <c r="Q44" s="1368"/>
      <c r="R44" s="292"/>
      <c r="S44" s="1375" t="str">
        <f>$I44</f>
        <v>...1</v>
      </c>
      <c r="T44" s="222" t="s">
        <v>474</v>
      </c>
      <c r="U44" s="237"/>
      <c r="V44" s="2710"/>
      <c r="W44" s="2711"/>
      <c r="X44" s="2711"/>
      <c r="Y44" s="2711"/>
      <c r="Z44" s="2711"/>
      <c r="AA44" s="2711"/>
      <c r="AB44" s="2712"/>
      <c r="AC44" s="2713"/>
      <c r="AD44" s="2714"/>
      <c r="AE44" s="2714"/>
      <c r="AF44" s="2714"/>
      <c r="AG44" s="2714"/>
      <c r="AH44" s="2714"/>
      <c r="AI44" s="2714"/>
      <c r="AJ44" s="2715"/>
      <c r="AK44" s="1176" t="s">
        <v>475</v>
      </c>
      <c r="AM44" s="436"/>
      <c r="AN44" s="436" t="str">
        <f t="shared" si="1"/>
        <v>Наименование признака дифференциации</v>
      </c>
      <c r="AO44" s="436"/>
      <c r="AP44" s="436"/>
      <c r="AQ44" s="1073">
        <v>23</v>
      </c>
    </row>
    <row r="45" spans="1:43" ht="24" customHeight="1">
      <c r="A45" s="1281" t="s">
        <v>232</v>
      </c>
      <c r="B45" s="1281" t="s">
        <v>233</v>
      </c>
      <c r="C45" s="1281" t="s">
        <v>234</v>
      </c>
      <c r="D45" s="1281" t="s">
        <v>489</v>
      </c>
      <c r="E45" s="2643"/>
      <c r="F45" s="2643"/>
      <c r="G45" s="2643"/>
      <c r="H45" s="2643"/>
      <c r="I45" s="2645"/>
      <c r="J45" s="2644" t="str">
        <f>I44&amp;".1"</f>
        <v>...1.1</v>
      </c>
      <c r="K45" s="1281"/>
      <c r="L45" s="1282" t="s">
        <v>397</v>
      </c>
      <c r="P45" s="2646"/>
      <c r="Q45" s="2646">
        <v>1</v>
      </c>
      <c r="R45" s="293"/>
      <c r="S45" s="1375" t="str">
        <f>$J45</f>
        <v>...1.1</v>
      </c>
      <c r="T45" s="223" t="s">
        <v>398</v>
      </c>
      <c r="U45" s="237"/>
      <c r="V45" s="2630"/>
      <c r="W45" s="2631"/>
      <c r="X45" s="2631"/>
      <c r="Y45" s="2631"/>
      <c r="Z45" s="2631"/>
      <c r="AA45" s="2631"/>
      <c r="AB45" s="2632"/>
      <c r="AC45" s="2630"/>
      <c r="AD45" s="2631"/>
      <c r="AE45" s="2631"/>
      <c r="AF45" s="2631"/>
      <c r="AG45" s="2631"/>
      <c r="AH45" s="2631"/>
      <c r="AI45" s="2631"/>
      <c r="AJ45" s="2632"/>
      <c r="AK45" s="1225" t="s">
        <v>476</v>
      </c>
      <c r="AM45" s="436"/>
      <c r="AN45" s="436" t="str">
        <f t="shared" si="1"/>
        <v>Группа потребителей</v>
      </c>
      <c r="AO45" s="436"/>
      <c r="AP45" s="436"/>
      <c r="AQ45" s="1073">
        <v>23</v>
      </c>
    </row>
    <row r="46" spans="1:43" ht="24" customHeight="1">
      <c r="A46" s="1281" t="s">
        <v>232</v>
      </c>
      <c r="B46" s="1281" t="s">
        <v>233</v>
      </c>
      <c r="C46" s="1281" t="s">
        <v>234</v>
      </c>
      <c r="D46" s="1281" t="s">
        <v>489</v>
      </c>
      <c r="E46" s="2643"/>
      <c r="F46" s="2643"/>
      <c r="G46" s="2643"/>
      <c r="H46" s="2643"/>
      <c r="I46" s="2645"/>
      <c r="J46" s="2645"/>
      <c r="K46" s="2644" t="str">
        <f>J45&amp;".1"</f>
        <v>...1.1.1</v>
      </c>
      <c r="L46" s="1282"/>
      <c r="P46" s="2646"/>
      <c r="Q46" s="2646"/>
      <c r="R46" s="293">
        <v>1</v>
      </c>
      <c r="S46" s="1375" t="str">
        <f>$K46</f>
        <v>...1.1.1</v>
      </c>
      <c r="T46" s="1355"/>
      <c r="U46" s="237"/>
      <c r="V46" s="687"/>
      <c r="W46" s="687"/>
      <c r="X46" s="1175"/>
      <c r="Y46" s="2647"/>
      <c r="Z46" s="2524" t="s">
        <v>65</v>
      </c>
      <c r="AA46" s="2647"/>
      <c r="AB46" s="2524" t="s">
        <v>65</v>
      </c>
      <c r="AC46" s="687"/>
      <c r="AD46" s="687"/>
      <c r="AE46" s="1175"/>
      <c r="AF46" s="2647"/>
      <c r="AG46" s="2524" t="s">
        <v>65</v>
      </c>
      <c r="AH46" s="2649"/>
      <c r="AI46" s="2524" t="s">
        <v>65</v>
      </c>
      <c r="AJ46" s="1356"/>
      <c r="AK46"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232</v>
      </c>
      <c r="B47" s="1281" t="s">
        <v>233</v>
      </c>
      <c r="C47" s="1281" t="s">
        <v>234</v>
      </c>
      <c r="D47" s="1281" t="s">
        <v>489</v>
      </c>
      <c r="E47" s="2643"/>
      <c r="F47" s="2643"/>
      <c r="G47" s="2643"/>
      <c r="H47" s="2643"/>
      <c r="I47" s="2645"/>
      <c r="J47" s="2645"/>
      <c r="K47" s="2644"/>
      <c r="L47" s="1282"/>
      <c r="P47" s="2646"/>
      <c r="Q47" s="2646"/>
      <c r="R47" s="293"/>
      <c r="S47" s="1374"/>
      <c r="T47" s="237"/>
      <c r="U47" s="237"/>
      <c r="V47" s="262"/>
      <c r="W47" s="262"/>
      <c r="X47" s="265" t="str">
        <f>Y46&amp;"-"&amp;AA46</f>
        <v>-</v>
      </c>
      <c r="Y47" s="2648"/>
      <c r="Z47" s="2524"/>
      <c r="AA47" s="2648"/>
      <c r="AB47" s="2524"/>
      <c r="AC47" s="262"/>
      <c r="AD47" s="262"/>
      <c r="AE47" s="265" t="str">
        <f>AF46&amp;"-"&amp;AH46</f>
        <v>-</v>
      </c>
      <c r="AF47" s="2648"/>
      <c r="AG47" s="2524"/>
      <c r="AH47" s="2650"/>
      <c r="AI47" s="2524"/>
      <c r="AJ47" s="1357"/>
      <c r="AK47" s="2716"/>
      <c r="AM47" s="436"/>
      <c r="AN47" s="436" t="str">
        <f t="shared" si="1"/>
        <v/>
      </c>
      <c r="AO47" s="436"/>
      <c r="AP47" s="436"/>
      <c r="AQ47" s="1073">
        <v>0</v>
      </c>
    </row>
    <row r="48" spans="1:43" ht="21" customHeight="1">
      <c r="A48" s="1281" t="s">
        <v>232</v>
      </c>
      <c r="B48" s="1281" t="s">
        <v>233</v>
      </c>
      <c r="C48" s="1281" t="s">
        <v>234</v>
      </c>
      <c r="D48" s="1281" t="s">
        <v>489</v>
      </c>
      <c r="E48" s="2643"/>
      <c r="F48" s="2643"/>
      <c r="G48" s="2643"/>
      <c r="H48" s="2643"/>
      <c r="I48" s="2645"/>
      <c r="J48" s="2644"/>
      <c r="K48" s="1281"/>
      <c r="L48" s="1282"/>
      <c r="P48" s="2646"/>
      <c r="Q48" s="2646"/>
      <c r="R48" s="292"/>
      <c r="S48" s="1196"/>
      <c r="T48" s="224" t="s">
        <v>477</v>
      </c>
      <c r="U48" s="303"/>
      <c r="V48" s="303"/>
      <c r="W48" s="303"/>
      <c r="X48" s="303"/>
      <c r="Y48" s="303"/>
      <c r="Z48" s="303"/>
      <c r="AA48" s="303"/>
      <c r="AB48" s="303"/>
      <c r="AC48" s="303"/>
      <c r="AD48" s="303"/>
      <c r="AE48" s="303"/>
      <c r="AF48" s="303"/>
      <c r="AG48" s="303"/>
      <c r="AH48" s="303"/>
      <c r="AI48" s="303"/>
      <c r="AJ48" s="303"/>
      <c r="AK48" s="1176" t="s">
        <v>478</v>
      </c>
      <c r="AM48" s="436"/>
      <c r="AN48" s="436" t="str">
        <f t="shared" si="1"/>
        <v>Добавить значение признака дифференциации</v>
      </c>
      <c r="AO48" s="436"/>
      <c r="AP48" s="436"/>
      <c r="AQ48" s="1073">
        <v>20</v>
      </c>
    </row>
    <row r="49" spans="1:43" ht="21.95" customHeight="1">
      <c r="A49" s="1281" t="s">
        <v>232</v>
      </c>
      <c r="B49" s="1281" t="s">
        <v>233</v>
      </c>
      <c r="C49" s="1281" t="s">
        <v>234</v>
      </c>
      <c r="D49" s="1281" t="s">
        <v>489</v>
      </c>
      <c r="E49" s="2643"/>
      <c r="F49" s="2643"/>
      <c r="G49" s="2643"/>
      <c r="H49" s="2643"/>
      <c r="I49" s="2644"/>
      <c r="J49" s="1281"/>
      <c r="K49" s="1281"/>
      <c r="L49" s="1282"/>
      <c r="P49" s="2646"/>
      <c r="Q49" s="1368"/>
      <c r="R49" s="292"/>
      <c r="S49" s="1196"/>
      <c r="T49" s="301" t="s">
        <v>403</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232</v>
      </c>
      <c r="B50" s="1281" t="s">
        <v>233</v>
      </c>
      <c r="C50" s="1281" t="s">
        <v>234</v>
      </c>
      <c r="D50" s="1281" t="s">
        <v>489</v>
      </c>
      <c r="E50" s="2643"/>
      <c r="F50" s="2643"/>
      <c r="G50" s="2643"/>
      <c r="H50" s="2642"/>
      <c r="I50" s="1281"/>
      <c r="J50" s="1281"/>
      <c r="K50" s="1281"/>
      <c r="L50" s="1282"/>
      <c r="M50" s="1283"/>
      <c r="N50" s="1283"/>
      <c r="O50" s="473"/>
      <c r="P50" s="296"/>
      <c r="Q50" s="311"/>
      <c r="R50" s="291"/>
      <c r="S50" s="1196"/>
      <c r="T50" s="308" t="s">
        <v>479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7" customFormat="1" ht="0" hidden="1" customHeight="1">
      <c r="A51" s="1261" t="s">
        <v>232</v>
      </c>
      <c r="B51" s="1261" t="s">
        <v>233</v>
      </c>
      <c r="C51" s="1232"/>
      <c r="D51" s="1232"/>
      <c r="E51" s="2643"/>
      <c r="F51" s="2642"/>
      <c r="G51" s="1232"/>
      <c r="H51" s="1232"/>
      <c r="I51" s="1232"/>
      <c r="J51" s="1232"/>
      <c r="K51" s="1232"/>
      <c r="L51" s="1376"/>
      <c r="M51" s="1239"/>
      <c r="N51" s="1239"/>
      <c r="P51" s="1234"/>
      <c r="Q51" s="1235"/>
      <c r="R51" s="1234"/>
      <c r="S51" s="1240"/>
      <c r="T51" s="1243" t="s">
        <v>406</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7" customFormat="1" ht="0" hidden="1" customHeight="1">
      <c r="A52" s="1261" t="s">
        <v>232</v>
      </c>
      <c r="B52" s="1261"/>
      <c r="C52" s="1261"/>
      <c r="D52" s="1261"/>
      <c r="E52" s="2642"/>
      <c r="F52" s="1261"/>
      <c r="G52" s="1261"/>
      <c r="H52" s="1261"/>
      <c r="I52" s="1261"/>
      <c r="J52" s="1261"/>
      <c r="K52" s="1261"/>
      <c r="L52" s="1264"/>
      <c r="M52" s="1239"/>
      <c r="N52" s="1239"/>
      <c r="O52" s="454"/>
      <c r="P52" s="316"/>
      <c r="Q52" s="1262"/>
      <c r="R52" s="316"/>
      <c r="S52" s="1240"/>
      <c r="T52" s="1243" t="s">
        <v>407</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439</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641"/>
      <c r="U55" s="2641"/>
      <c r="V55" s="2641"/>
      <c r="W55" s="2641"/>
      <c r="X55" s="2641"/>
      <c r="Y55" s="2641"/>
      <c r="Z55" s="2641"/>
      <c r="AA55" s="2641"/>
      <c r="AB55" s="2641"/>
      <c r="AC55" s="2641"/>
      <c r="AD55" s="2641"/>
      <c r="AE55" s="2641"/>
      <c r="AF55" s="2641"/>
      <c r="AG55" s="2641"/>
      <c r="AH55" s="2641"/>
      <c r="AI55" s="2641"/>
      <c r="AJ55" s="2641"/>
      <c r="AK55" s="2641"/>
      <c r="AQ55" s="1073">
        <v>14</v>
      </c>
    </row>
    <row r="56" spans="1:43" ht="14.65" customHeight="1">
      <c r="O56" s="473"/>
      <c r="AQ56" s="1073">
        <v>14</v>
      </c>
    </row>
    <row r="57" spans="1:43" ht="14.65" customHeight="1">
      <c r="O57" s="473"/>
      <c r="S57" s="1171"/>
      <c r="T57" s="2641"/>
      <c r="U57" s="2641"/>
      <c r="V57" s="2641"/>
      <c r="W57" s="2641"/>
      <c r="X57" s="2641"/>
      <c r="Y57" s="2641"/>
      <c r="Z57" s="2641"/>
      <c r="AA57" s="2641"/>
      <c r="AB57" s="2641"/>
      <c r="AC57" s="2641"/>
      <c r="AD57" s="2641"/>
      <c r="AE57" s="2641"/>
      <c r="AF57" s="2641"/>
      <c r="AG57" s="2641"/>
      <c r="AH57" s="2641"/>
      <c r="AI57" s="2641"/>
      <c r="AJ57" s="2641"/>
      <c r="AK57" s="264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400" hidden="1" customWidth="1"/>
    <col min="4" max="4" width="11.85546875" style="2400" hidden="1" customWidth="1"/>
    <col min="5" max="11" width="10.140625" style="2400" hidden="1" customWidth="1"/>
    <col min="12" max="12" width="10.140625" style="2404" hidden="1" customWidth="1"/>
    <col min="13" max="15" width="10.140625" style="2434" hidden="1" customWidth="1"/>
    <col min="16" max="16" width="3" style="2433" customWidth="1"/>
    <col min="17" max="17" width="3" style="2438" customWidth="1"/>
    <col min="18" max="18" width="3" style="2435" customWidth="1"/>
    <col min="19" max="19" width="12" style="2436" customWidth="1"/>
    <col min="20" max="20" width="31" style="2400" customWidth="1"/>
    <col min="21" max="21" width="0.140625" style="2400" customWidth="1"/>
    <col min="22" max="23" width="21.7109375" style="2400" hidden="1" customWidth="1"/>
    <col min="24" max="24" width="11.7109375" style="2400" hidden="1" customWidth="1"/>
    <col min="25" max="25" width="3.7109375" style="2400" hidden="1" customWidth="1"/>
    <col min="26" max="26" width="11.7109375" style="2400" hidden="1" customWidth="1"/>
    <col min="27" max="27" width="8.5703125" style="2400" hidden="1" customWidth="1"/>
    <col min="28" max="28" width="27" style="2400" customWidth="1"/>
    <col min="29" max="29" width="24.5703125" style="2400" customWidth="1"/>
    <col min="30" max="31" width="21" style="2400" customWidth="1"/>
    <col min="32" max="32" width="11" style="2400" customWidth="1"/>
    <col min="33" max="33" width="3.7109375" style="2400" customWidth="1"/>
    <col min="34" max="34" width="11" style="2400" customWidth="1"/>
    <col min="35" max="35" width="8.5703125" style="2400" hidden="1" customWidth="1"/>
    <col min="36" max="36" width="4" style="2400" customWidth="1"/>
    <col min="37" max="37" width="115" style="2400" customWidth="1"/>
    <col min="38" max="42" width="10" style="2407" customWidth="1"/>
    <col min="43" max="43" width="10.5703125" style="2400" hidden="1"/>
  </cols>
  <sheetData>
    <row r="1" spans="1:43" ht="0.75" hidden="1" customHeight="1">
      <c r="AQ1" s="1549" t="s">
        <v>14</v>
      </c>
    </row>
    <row r="2" spans="1:43" ht="21" hidden="1" customHeight="1">
      <c r="A2" s="1185"/>
      <c r="B2" s="1185"/>
      <c r="C2" s="1185"/>
      <c r="D2" s="1185"/>
      <c r="E2" s="2668">
        <v>1</v>
      </c>
      <c r="F2" s="1185"/>
      <c r="G2" s="1185"/>
      <c r="H2" s="1185"/>
      <c r="I2" s="1185"/>
      <c r="J2" s="1185"/>
      <c r="K2" s="1185"/>
      <c r="L2" s="1228"/>
      <c r="M2" s="1528"/>
      <c r="N2" s="1528"/>
      <c r="O2" s="1528"/>
      <c r="P2" s="1327"/>
      <c r="Q2" s="799"/>
      <c r="R2" s="291"/>
      <c r="S2" s="1870" t="e">
        <f>INDEX(PT_DIFFERENTIATION_NUM_NTAR,MATCH(A2,PT_DIFFERENTIATION_NTAR_ID,0))</f>
        <v>#N/A</v>
      </c>
      <c r="T2" s="1443" t="s">
        <v>116</v>
      </c>
      <c r="U2" s="237"/>
      <c r="V2" s="2637"/>
      <c r="W2" s="2637"/>
      <c r="X2" s="2637"/>
      <c r="Y2" s="2637"/>
      <c r="Z2" s="2637"/>
      <c r="AA2" s="2638"/>
      <c r="AB2" s="1864"/>
      <c r="AC2" s="2637" t="e">
        <f>INDEX(PT_DIFFERENTIATION_NTAR,MATCH(A2,PT_DIFFERENTIATION_NTAR_ID,0))</f>
        <v>#N/A</v>
      </c>
      <c r="AD2" s="2637"/>
      <c r="AE2" s="2637"/>
      <c r="AF2" s="2637"/>
      <c r="AG2" s="2637"/>
      <c r="AH2" s="2637"/>
      <c r="AI2" s="2637"/>
      <c r="AJ2" s="2638"/>
      <c r="AK2" s="1176" t="s">
        <v>387</v>
      </c>
      <c r="AM2" s="1542"/>
      <c r="AN2" s="1542" t="str">
        <f t="shared" ref="AN2:AN14" si="0">IF(T2="","",T2)</f>
        <v>Наименование тарифа</v>
      </c>
      <c r="AO2" s="1542"/>
      <c r="AP2" s="1542"/>
      <c r="AQ2" s="1549">
        <v>0</v>
      </c>
    </row>
    <row r="3" spans="1:43" ht="21" hidden="1" customHeight="1">
      <c r="A3" s="1185"/>
      <c r="B3" s="1185"/>
      <c r="C3" s="1185"/>
      <c r="D3" s="1185"/>
      <c r="E3" s="2669"/>
      <c r="F3" s="2668">
        <v>1</v>
      </c>
      <c r="G3" s="1185"/>
      <c r="H3" s="1185"/>
      <c r="I3" s="1185"/>
      <c r="J3" s="1185"/>
      <c r="K3" s="1185"/>
      <c r="L3" s="1228"/>
      <c r="M3" s="1528"/>
      <c r="N3" s="1528"/>
      <c r="O3" s="1528"/>
      <c r="P3" s="1881"/>
      <c r="Q3" s="1329"/>
      <c r="R3" s="289"/>
      <c r="S3" s="1870" t="e">
        <f>INDEX(PT_DIFFERENTIATION_NUM_TER,MATCH(B3,PT_DIFFERENTIATION_TER_ID,0))</f>
        <v>#N/A</v>
      </c>
      <c r="T3" s="1440" t="s">
        <v>388</v>
      </c>
      <c r="U3" s="237"/>
      <c r="V3" s="2637"/>
      <c r="W3" s="2637"/>
      <c r="X3" s="2637"/>
      <c r="Y3" s="2637"/>
      <c r="Z3" s="2637"/>
      <c r="AA3" s="2638"/>
      <c r="AB3" s="1864"/>
      <c r="AC3" s="2637" t="e">
        <f>INDEX(PT_DIFFERENTIATION_TER,MATCH(B3,PT_DIFFERENTIATION_TER_ID,0))</f>
        <v>#N/A</v>
      </c>
      <c r="AD3" s="2637"/>
      <c r="AE3" s="2637"/>
      <c r="AF3" s="2637"/>
      <c r="AG3" s="2637"/>
      <c r="AH3" s="2637"/>
      <c r="AI3" s="2637"/>
      <c r="AJ3" s="2638"/>
      <c r="AK3" s="1176" t="s">
        <v>389</v>
      </c>
      <c r="AM3" s="1542"/>
      <c r="AN3" s="1542" t="str">
        <f t="shared" si="0"/>
        <v>Территория действия тарифа</v>
      </c>
      <c r="AO3" s="1542"/>
      <c r="AP3" s="1542"/>
      <c r="AQ3" s="1549">
        <v>0</v>
      </c>
    </row>
    <row r="4" spans="1:43" ht="22.5" hidden="1" customHeight="1">
      <c r="A4" s="1185"/>
      <c r="B4" s="1185"/>
      <c r="C4" s="1185"/>
      <c r="D4" s="1185"/>
      <c r="E4" s="2669"/>
      <c r="F4" s="2669"/>
      <c r="G4" s="2668">
        <v>1</v>
      </c>
      <c r="H4" s="1185"/>
      <c r="I4" s="1185"/>
      <c r="J4" s="1185"/>
      <c r="K4" s="1185"/>
      <c r="L4" s="1228"/>
      <c r="M4" s="1528"/>
      <c r="N4" s="1528"/>
      <c r="O4" s="1528"/>
      <c r="P4" s="1330"/>
      <c r="Q4" s="1329"/>
      <c r="R4" s="289"/>
      <c r="S4" s="1870" t="e">
        <f>INDEX(PT_DIFFERENTIATION_NUM_CS,MATCH(C4,PT_DIFFERENTIATION_CS_ID,0))</f>
        <v>#N/A</v>
      </c>
      <c r="T4" s="246" t="s">
        <v>390</v>
      </c>
      <c r="U4" s="237"/>
      <c r="V4" s="2637"/>
      <c r="W4" s="2637"/>
      <c r="X4" s="2637"/>
      <c r="Y4" s="2637"/>
      <c r="Z4" s="2637"/>
      <c r="AA4" s="2638"/>
      <c r="AB4" s="1864"/>
      <c r="AC4" s="2637" t="e">
        <f>INDEX(PT_DIFFERENTIATION_CS,MATCH(C4,PT_DIFFERENTIATION_CS_ID,0))</f>
        <v>#N/A</v>
      </c>
      <c r="AD4" s="2637"/>
      <c r="AE4" s="2637"/>
      <c r="AF4" s="2637"/>
      <c r="AG4" s="2637"/>
      <c r="AH4" s="2637"/>
      <c r="AI4" s="2637"/>
      <c r="AJ4" s="2638"/>
      <c r="AK4" s="1176" t="s">
        <v>391</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669"/>
      <c r="F5" s="2669"/>
      <c r="G5" s="2669"/>
      <c r="H5" s="2668">
        <v>1</v>
      </c>
      <c r="I5" s="1185"/>
      <c r="J5" s="1185"/>
      <c r="K5" s="1185"/>
      <c r="L5" s="1228"/>
      <c r="M5" s="1528"/>
      <c r="N5" s="1528"/>
      <c r="O5" s="1528"/>
      <c r="P5" s="1330"/>
      <c r="Q5" s="1329"/>
      <c r="R5" s="289"/>
      <c r="S5" s="1870" t="e">
        <f>INDEX(PT_DIFFERENTIATION_NUM_IST_TE,MATCH(D5,PT_DIFFERENTIATION_IST_TE_ID,0))</f>
        <v>#N/A</v>
      </c>
      <c r="T5" s="247" t="s">
        <v>392</v>
      </c>
      <c r="U5" s="237"/>
      <c r="V5" s="2637"/>
      <c r="W5" s="2637"/>
      <c r="X5" s="2637"/>
      <c r="Y5" s="2637"/>
      <c r="Z5" s="2637"/>
      <c r="AA5" s="2638"/>
      <c r="AB5" s="1864"/>
      <c r="AC5" s="2637" t="e">
        <f>INDEX(PT_DIFFERENTIATION_IST_TE,MATCH(D5,PT_DIFFERENTIATION_IST_TE_ID,0))</f>
        <v>#N/A</v>
      </c>
      <c r="AD5" s="2637"/>
      <c r="AE5" s="2637"/>
      <c r="AF5" s="2637"/>
      <c r="AG5" s="2637"/>
      <c r="AH5" s="2637"/>
      <c r="AI5" s="2637"/>
      <c r="AJ5" s="2638"/>
      <c r="AK5" s="1176" t="s">
        <v>393</v>
      </c>
      <c r="AM5" s="1542"/>
      <c r="AN5" s="1542" t="str">
        <f t="shared" si="0"/>
        <v xml:space="preserve">Источник тепловой энергии  </v>
      </c>
      <c r="AO5" s="1542"/>
      <c r="AP5" s="1542"/>
      <c r="AQ5" s="1549">
        <v>0</v>
      </c>
    </row>
    <row r="6" spans="1:43" s="2407" customFormat="1" ht="0.75" hidden="1" customHeight="1">
      <c r="A6" s="1293"/>
      <c r="B6" s="1293"/>
      <c r="C6" s="1293"/>
      <c r="D6" s="1293"/>
      <c r="E6" s="2669"/>
      <c r="F6" s="2669"/>
      <c r="G6" s="2669"/>
      <c r="H6" s="2669"/>
      <c r="I6" s="2514" t="e">
        <f>S5&amp;".1"</f>
        <v>#N/A</v>
      </c>
      <c r="J6" s="1293"/>
      <c r="K6" s="1293"/>
      <c r="L6" s="1299" t="s">
        <v>394</v>
      </c>
      <c r="M6" s="1164"/>
      <c r="N6" s="1164"/>
      <c r="O6" s="1164"/>
      <c r="P6" s="2646">
        <v>1</v>
      </c>
      <c r="Q6" s="1866"/>
      <c r="R6" s="292"/>
      <c r="S6" s="965"/>
      <c r="T6" s="1301"/>
      <c r="U6" s="1302"/>
      <c r="V6" s="2674"/>
      <c r="W6" s="2674"/>
      <c r="X6" s="2674"/>
      <c r="Y6" s="2674"/>
      <c r="Z6" s="2674"/>
      <c r="AA6" s="2675"/>
      <c r="AB6" s="1872"/>
      <c r="AC6" s="2674"/>
      <c r="AD6" s="2674"/>
      <c r="AE6" s="2674"/>
      <c r="AF6" s="2674"/>
      <c r="AG6" s="2674"/>
      <c r="AH6" s="2674"/>
      <c r="AI6" s="2674"/>
      <c r="AJ6" s="2675"/>
      <c r="AK6" s="1303"/>
      <c r="AM6" s="1542"/>
      <c r="AN6" s="1542" t="str">
        <f t="shared" si="0"/>
        <v/>
      </c>
      <c r="AO6" s="1542"/>
      <c r="AP6" s="1542"/>
      <c r="AQ6" s="1554">
        <v>0</v>
      </c>
    </row>
    <row r="7" spans="1:43" s="2407" customFormat="1" ht="0.75" hidden="1" customHeight="1">
      <c r="A7" s="1293"/>
      <c r="B7" s="1293"/>
      <c r="C7" s="1293"/>
      <c r="D7" s="1293"/>
      <c r="E7" s="2669"/>
      <c r="F7" s="2669"/>
      <c r="G7" s="2669"/>
      <c r="H7" s="2669"/>
      <c r="I7" s="2496"/>
      <c r="J7" s="2514" t="e">
        <f>S5&amp;".1"</f>
        <v>#N/A</v>
      </c>
      <c r="K7" s="1293"/>
      <c r="L7" s="1299"/>
      <c r="M7" s="1164"/>
      <c r="N7" s="1164"/>
      <c r="O7" s="1164"/>
      <c r="P7" s="2646"/>
      <c r="Q7" s="2646">
        <v>1</v>
      </c>
      <c r="R7" s="293"/>
      <c r="S7" s="965"/>
      <c r="T7" s="1317"/>
      <c r="U7" s="1302"/>
      <c r="V7" s="2674"/>
      <c r="W7" s="2674"/>
      <c r="X7" s="2674"/>
      <c r="Y7" s="2674"/>
      <c r="Z7" s="2674"/>
      <c r="AA7" s="2675"/>
      <c r="AB7" s="1872"/>
      <c r="AC7" s="2674"/>
      <c r="AD7" s="2674"/>
      <c r="AE7" s="2674"/>
      <c r="AF7" s="2674"/>
      <c r="AG7" s="2674"/>
      <c r="AH7" s="2674"/>
      <c r="AI7" s="2674"/>
      <c r="AJ7" s="2675"/>
      <c r="AK7" s="1303"/>
      <c r="AM7" s="1542"/>
      <c r="AN7" s="1542" t="str">
        <f t="shared" si="0"/>
        <v/>
      </c>
      <c r="AO7" s="1542"/>
      <c r="AP7" s="1542"/>
      <c r="AQ7" s="1554">
        <v>0</v>
      </c>
    </row>
    <row r="8" spans="1:43" ht="21" hidden="1" customHeight="1">
      <c r="A8" s="1185"/>
      <c r="B8" s="1185"/>
      <c r="C8" s="1185"/>
      <c r="D8" s="1185"/>
      <c r="E8" s="2669"/>
      <c r="F8" s="2669"/>
      <c r="G8" s="2669"/>
      <c r="H8" s="2669"/>
      <c r="I8" s="2496"/>
      <c r="J8" s="2496"/>
      <c r="K8" s="1903" t="e">
        <f>S5&amp;".1"</f>
        <v>#N/A</v>
      </c>
      <c r="L8" s="1228"/>
      <c r="P8" s="2646"/>
      <c r="Q8" s="2646"/>
      <c r="R8" s="1907">
        <v>1</v>
      </c>
      <c r="S8" s="1905" t="e">
        <f>$K8</f>
        <v>#N/A</v>
      </c>
      <c r="T8" s="1906"/>
      <c r="U8" s="237"/>
      <c r="V8" s="687"/>
      <c r="W8" s="1175"/>
      <c r="X8" s="1904"/>
      <c r="Y8" s="1902" t="s">
        <v>65</v>
      </c>
      <c r="Z8" s="1904"/>
      <c r="AA8" s="1902" t="s">
        <v>65</v>
      </c>
      <c r="AB8" s="1908"/>
      <c r="AC8" s="1909" t="s">
        <v>22</v>
      </c>
      <c r="AD8" s="687"/>
      <c r="AE8" s="1175"/>
      <c r="AF8" s="1867"/>
      <c r="AG8" s="1854" t="s">
        <v>65</v>
      </c>
      <c r="AH8" s="1867"/>
      <c r="AI8" s="1854" t="s">
        <v>65</v>
      </c>
      <c r="AJ8" s="1266"/>
      <c r="AK8" s="2665" t="s">
        <v>455</v>
      </c>
      <c r="AL8" s="1554" t="e">
        <f ca="1">STRCHECKDATE(#REF!)</f>
        <v>#NAME?</v>
      </c>
      <c r="AM8" s="1542"/>
      <c r="AN8" s="1542" t="str">
        <f t="shared" si="0"/>
        <v/>
      </c>
      <c r="AO8" s="1542"/>
      <c r="AP8" s="1542"/>
      <c r="AQ8" s="1549">
        <v>0</v>
      </c>
    </row>
    <row r="9" spans="1:43" ht="11.25" hidden="1" customHeight="1">
      <c r="A9" s="1185"/>
      <c r="B9" s="1185"/>
      <c r="C9" s="1185"/>
      <c r="D9" s="1185"/>
      <c r="E9" s="2669"/>
      <c r="F9" s="2669"/>
      <c r="G9" s="2669"/>
      <c r="H9" s="2669"/>
      <c r="I9" s="2496"/>
      <c r="J9" s="2514"/>
      <c r="K9" s="1185"/>
      <c r="L9" s="1228"/>
      <c r="P9" s="2646"/>
      <c r="Q9" s="2646"/>
      <c r="R9" s="292"/>
      <c r="S9" s="1196"/>
      <c r="T9" s="224" t="s">
        <v>459</v>
      </c>
      <c r="U9" s="536"/>
      <c r="V9" s="536"/>
      <c r="W9" s="536"/>
      <c r="X9" s="536"/>
      <c r="Y9" s="536"/>
      <c r="Z9" s="536"/>
      <c r="AA9" s="536"/>
      <c r="AB9" s="536"/>
      <c r="AC9" s="536"/>
      <c r="AD9" s="536"/>
      <c r="AE9" s="536"/>
      <c r="AF9" s="536"/>
      <c r="AG9" s="536"/>
      <c r="AH9" s="536"/>
      <c r="AI9" s="536"/>
      <c r="AJ9" s="261"/>
      <c r="AK9" s="2667"/>
      <c r="AM9" s="1542"/>
      <c r="AN9" s="1542" t="str">
        <f t="shared" si="0"/>
        <v>Добавить строку</v>
      </c>
      <c r="AO9" s="1542"/>
      <c r="AP9" s="1542"/>
      <c r="AQ9" s="1549">
        <v>0</v>
      </c>
    </row>
    <row r="10" spans="1:43" s="2407" customFormat="1" ht="0.75" hidden="1" customHeight="1">
      <c r="A10" s="1293"/>
      <c r="B10" s="1293"/>
      <c r="C10" s="1293"/>
      <c r="D10" s="1293"/>
      <c r="E10" s="2669"/>
      <c r="F10" s="2669"/>
      <c r="G10" s="2669"/>
      <c r="H10" s="2669"/>
      <c r="I10" s="2514"/>
      <c r="J10" s="1293"/>
      <c r="K10" s="1293"/>
      <c r="L10" s="1299"/>
      <c r="M10" s="1164"/>
      <c r="N10" s="1164"/>
      <c r="O10" s="1164"/>
      <c r="P10" s="2646"/>
      <c r="Q10" s="1866"/>
      <c r="R10" s="292"/>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407" customFormat="1" ht="0.75" hidden="1" customHeight="1">
      <c r="A11" s="1293"/>
      <c r="B11" s="1293"/>
      <c r="C11" s="1293"/>
      <c r="D11" s="1293"/>
      <c r="E11" s="2669"/>
      <c r="F11" s="2669"/>
      <c r="G11" s="2669"/>
      <c r="H11" s="2668"/>
      <c r="I11" s="1293"/>
      <c r="J11" s="1293"/>
      <c r="K11" s="1293"/>
      <c r="L11" s="1299"/>
      <c r="M11" s="1296"/>
      <c r="N11" s="1296"/>
      <c r="O11" s="287"/>
      <c r="P11" s="316"/>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407" customFormat="1" ht="0.75" hidden="1" customHeight="1">
      <c r="A12" s="1293"/>
      <c r="B12" s="1293"/>
      <c r="C12" s="1293"/>
      <c r="D12" s="1292"/>
      <c r="E12" s="2669"/>
      <c r="F12" s="2669"/>
      <c r="G12" s="2668"/>
      <c r="H12" s="1292"/>
      <c r="I12" s="1292"/>
      <c r="J12" s="1292"/>
      <c r="K12" s="1292"/>
      <c r="L12" s="1295"/>
      <c r="M12" s="1296"/>
      <c r="N12" s="1296"/>
      <c r="O12" s="287"/>
      <c r="P12" s="1234"/>
      <c r="Q12" s="1235"/>
      <c r="R12" s="1234"/>
      <c r="S12" s="1240"/>
      <c r="T12" s="1243" t="s">
        <v>405</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407" customFormat="1" ht="0.75" hidden="1" customHeight="1">
      <c r="A13" s="1293"/>
      <c r="B13" s="1293"/>
      <c r="C13" s="1292"/>
      <c r="D13" s="1292"/>
      <c r="E13" s="2669"/>
      <c r="F13" s="2668"/>
      <c r="G13" s="1292"/>
      <c r="H13" s="1292"/>
      <c r="I13" s="1292"/>
      <c r="J13" s="1292"/>
      <c r="K13" s="1292"/>
      <c r="L13" s="1295"/>
      <c r="M13" s="1297"/>
      <c r="N13" s="1297"/>
      <c r="O13" s="287"/>
      <c r="P13" s="1234"/>
      <c r="Q13" s="1235"/>
      <c r="R13" s="1234"/>
      <c r="S13" s="1240"/>
      <c r="T13" s="1243" t="s">
        <v>406</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407" customFormat="1" ht="0.75" hidden="1" customHeight="1">
      <c r="A14" s="1293"/>
      <c r="B14" s="1293"/>
      <c r="C14" s="1293"/>
      <c r="D14" s="1293"/>
      <c r="E14" s="2668"/>
      <c r="F14" s="1293"/>
      <c r="G14" s="1293"/>
      <c r="H14" s="1293"/>
      <c r="I14" s="1293"/>
      <c r="J14" s="1293"/>
      <c r="K14" s="1293"/>
      <c r="L14" s="1299"/>
      <c r="M14" s="1297"/>
      <c r="N14" s="1297"/>
      <c r="O14" s="287"/>
      <c r="P14" s="316"/>
      <c r="Q14" s="1262"/>
      <c r="R14" s="316"/>
      <c r="S14" s="1240"/>
      <c r="T14" s="1243" t="s">
        <v>407</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65</v>
      </c>
      <c r="AH16" s="1653"/>
      <c r="AI16" s="1878" t="s">
        <v>65</v>
      </c>
      <c r="AQ16" s="1549">
        <v>0</v>
      </c>
    </row>
    <row r="17" spans="1:43" ht="14.25" hidden="1" customHeight="1">
      <c r="AL17" s="1559"/>
      <c r="AM17" s="1559"/>
      <c r="AN17" s="1559"/>
      <c r="AO17" s="1559"/>
      <c r="AP17" s="1559"/>
      <c r="AQ17" s="1549">
        <v>0</v>
      </c>
    </row>
    <row r="18" spans="1:43" ht="14.25" hidden="1" customHeight="1">
      <c r="O18" s="1263" t="s">
        <v>408</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437" customFormat="1" ht="14.25" hidden="1" customHeight="1">
      <c r="A20" s="1883"/>
      <c r="B20" s="1883"/>
      <c r="C20" s="1883"/>
      <c r="D20" s="1883"/>
      <c r="E20" s="1883"/>
      <c r="F20" s="1883"/>
      <c r="G20" s="1883"/>
      <c r="H20" s="1883"/>
      <c r="I20" s="1883"/>
      <c r="J20" s="1883"/>
      <c r="K20" s="1883"/>
      <c r="L20" s="1883"/>
      <c r="M20" s="1884"/>
      <c r="N20" s="1884"/>
      <c r="O20" s="1885" t="s">
        <v>409</v>
      </c>
      <c r="P20" s="1426"/>
      <c r="Q20" s="1428"/>
      <c r="R20" s="1428"/>
      <c r="Y20" s="1425" t="s">
        <v>411</v>
      </c>
      <c r="AA20" s="1425" t="s">
        <v>412</v>
      </c>
      <c r="AC20" s="1425" t="s">
        <v>461</v>
      </c>
      <c r="AG20" s="1425" t="s">
        <v>411</v>
      </c>
      <c r="AI20" s="1425" t="s">
        <v>412</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8"/>
      <c r="R23" s="312"/>
      <c r="S23" s="1193"/>
      <c r="T23" s="393"/>
      <c r="U23" s="393"/>
      <c r="V23" s="1553"/>
      <c r="W23" s="1553"/>
      <c r="X23" s="1553"/>
      <c r="Y23" s="1553"/>
      <c r="Z23" s="1553"/>
      <c r="AA23" s="1553"/>
      <c r="AB23" s="1553"/>
      <c r="AC23" s="1553"/>
      <c r="AD23" s="1553"/>
      <c r="AE23" s="1553"/>
      <c r="AF23" s="1553"/>
      <c r="AG23" s="1553"/>
      <c r="AH23" s="1553"/>
      <c r="AI23" s="1553"/>
      <c r="AQ23" s="1549">
        <v>14</v>
      </c>
    </row>
    <row r="24" spans="1:43" ht="39.75" customHeight="1">
      <c r="Q24" s="228"/>
      <c r="R24" s="312"/>
      <c r="S24" s="262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23"/>
      <c r="U24" s="2623"/>
      <c r="V24" s="2623"/>
      <c r="W24" s="2623"/>
      <c r="X24" s="2623"/>
      <c r="Y24" s="2623"/>
      <c r="Z24" s="2623"/>
      <c r="AA24" s="2623"/>
      <c r="AB24" s="2623"/>
      <c r="AC24" s="2623"/>
      <c r="AD24" s="2623"/>
      <c r="AE24" s="2623"/>
      <c r="AF24" s="2623"/>
      <c r="AG24" s="2623"/>
      <c r="AH24" s="2623"/>
      <c r="AI24" s="1161"/>
      <c r="AQ24" s="1549">
        <v>38</v>
      </c>
    </row>
    <row r="25" spans="1:43" ht="14.65" customHeight="1">
      <c r="Q25" s="228"/>
      <c r="R25" s="312"/>
      <c r="S25" s="2595" t="str">
        <f>IF(org=0,"Не определено",org)</f>
        <v>ПАО "ТГК-1" (филиал "Кольский")</v>
      </c>
      <c r="T25" s="2595"/>
      <c r="U25" s="2595"/>
      <c r="V25" s="2595"/>
      <c r="W25" s="2595"/>
      <c r="X25" s="2595"/>
      <c r="Y25" s="2595"/>
      <c r="Z25" s="2595"/>
      <c r="AA25" s="2595"/>
      <c r="AB25" s="2595"/>
      <c r="AC25" s="2595"/>
      <c r="AD25" s="2595"/>
      <c r="AE25" s="2595"/>
      <c r="AF25" s="2595"/>
      <c r="AG25" s="2595"/>
      <c r="AH25" s="2595"/>
      <c r="AI25" s="1161"/>
      <c r="AQ25" s="1549">
        <v>14</v>
      </c>
    </row>
    <row r="26" spans="1:43" ht="14.25" hidden="1" customHeight="1">
      <c r="Q26" s="228"/>
      <c r="R26" s="312"/>
      <c r="S26" s="1193"/>
      <c r="T26" s="393"/>
      <c r="U26" s="393"/>
      <c r="V26" s="259"/>
      <c r="W26" s="259"/>
      <c r="X26" s="259"/>
      <c r="Y26" s="259"/>
      <c r="Z26" s="259"/>
      <c r="AA26" s="259"/>
      <c r="AB26" s="259"/>
      <c r="AC26" s="259"/>
      <c r="AD26" s="259"/>
      <c r="AE26" s="259"/>
      <c r="AF26" s="259"/>
      <c r="AG26" s="259"/>
      <c r="AH26" s="259"/>
      <c r="AI26" s="259"/>
      <c r="AJ26" s="1553"/>
      <c r="AQ26" s="1549">
        <v>0</v>
      </c>
    </row>
    <row r="27" spans="1:43" s="2416" customFormat="1" ht="25.5" hidden="1" customHeight="1">
      <c r="A27" s="1166"/>
      <c r="B27" s="1166"/>
      <c r="C27" s="1166"/>
      <c r="D27" s="1166"/>
      <c r="E27" s="1166"/>
      <c r="F27" s="1166"/>
      <c r="G27" s="1166"/>
      <c r="H27" s="1166"/>
      <c r="I27" s="1166"/>
      <c r="J27" s="1166"/>
      <c r="K27" s="1166"/>
      <c r="L27" s="1298"/>
      <c r="M27" s="1166"/>
      <c r="N27" s="1166"/>
      <c r="O27" s="1166"/>
      <c r="P27" s="1286"/>
      <c r="Q27" s="1286"/>
      <c r="S27" s="2633" t="s">
        <v>41</v>
      </c>
      <c r="T27" s="2633"/>
      <c r="U27" s="1290"/>
      <c r="V27" s="2635" t="str">
        <f>IF(TITLE_NAME_OR_PR_CHANGE="",IF(TITLE_NAME_OR_PR="","",TITLE_NAME_OR_PR),TITLE_NAME_OR_PR_CHANGE)</f>
        <v/>
      </c>
      <c r="W27" s="2635"/>
      <c r="X27" s="2635"/>
      <c r="Y27" s="2635"/>
      <c r="Z27" s="2635"/>
      <c r="AA27" s="1553"/>
      <c r="AB27" s="1553"/>
      <c r="AC27" s="2635"/>
      <c r="AD27" s="2635"/>
      <c r="AE27" s="2635"/>
      <c r="AF27" s="2635"/>
      <c r="AG27" s="2635"/>
      <c r="AH27" s="2635"/>
      <c r="AI27" s="1553"/>
      <c r="AJ27" s="1553"/>
      <c r="AK27" s="217"/>
      <c r="AL27" s="304"/>
      <c r="AM27" s="304"/>
      <c r="AN27" s="304"/>
      <c r="AO27" s="304"/>
      <c r="AP27" s="304"/>
      <c r="AQ27" s="354">
        <v>0</v>
      </c>
    </row>
    <row r="28" spans="1:43" s="2416" customFormat="1" ht="18.75" hidden="1" customHeight="1">
      <c r="A28" s="1166"/>
      <c r="B28" s="1166"/>
      <c r="C28" s="1166"/>
      <c r="D28" s="1166"/>
      <c r="E28" s="1166"/>
      <c r="F28" s="1166"/>
      <c r="G28" s="1166"/>
      <c r="H28" s="1166"/>
      <c r="I28" s="1166"/>
      <c r="J28" s="1166"/>
      <c r="K28" s="1166"/>
      <c r="L28" s="1298"/>
      <c r="M28" s="1166"/>
      <c r="N28" s="1166"/>
      <c r="O28" s="1166"/>
      <c r="P28" s="1286"/>
      <c r="Q28" s="1286"/>
      <c r="S28" s="2633" t="s">
        <v>414</v>
      </c>
      <c r="T28" s="2633"/>
      <c r="U28" s="1290"/>
      <c r="V28" s="2634" t="str">
        <f>IF(TITLE_DATE_PR_CHANGE="",IF(TITLE_DATE_PR="","",TITLE_DATE_PR),TITLE_DATE_PR_CHANGE)</f>
        <v/>
      </c>
      <c r="W28" s="2634"/>
      <c r="X28" s="2634"/>
      <c r="Y28" s="2634"/>
      <c r="Z28" s="2634"/>
      <c r="AA28" s="1553"/>
      <c r="AB28" s="1553"/>
      <c r="AC28" s="2634"/>
      <c r="AD28" s="2634"/>
      <c r="AE28" s="2634"/>
      <c r="AF28" s="2634"/>
      <c r="AG28" s="2634"/>
      <c r="AH28" s="2634"/>
      <c r="AI28" s="1553"/>
      <c r="AJ28" s="1553"/>
      <c r="AK28" s="217"/>
      <c r="AL28" s="304"/>
      <c r="AM28" s="304"/>
      <c r="AN28" s="304"/>
      <c r="AO28" s="304"/>
      <c r="AP28" s="304"/>
      <c r="AQ28" s="354">
        <v>0</v>
      </c>
    </row>
    <row r="29" spans="1:43" s="2416" customFormat="1" ht="18.75" hidden="1" customHeight="1">
      <c r="A29" s="1166"/>
      <c r="B29" s="1166"/>
      <c r="C29" s="1166"/>
      <c r="D29" s="1166"/>
      <c r="E29" s="1166"/>
      <c r="F29" s="1166"/>
      <c r="G29" s="1166"/>
      <c r="H29" s="1166"/>
      <c r="I29" s="1166"/>
      <c r="J29" s="1166"/>
      <c r="K29" s="1166"/>
      <c r="L29" s="1298"/>
      <c r="M29" s="1166"/>
      <c r="N29" s="1166"/>
      <c r="O29" s="1166"/>
      <c r="P29" s="1286"/>
      <c r="Q29" s="1286"/>
      <c r="S29" s="2633" t="s">
        <v>415</v>
      </c>
      <c r="T29" s="2633"/>
      <c r="U29" s="1290"/>
      <c r="V29" s="2635" t="str">
        <f>IF(TITLE_NUMBER_PR_CHANGE="",IF(TITLE_NUMBER_PR="","",TITLE_NUMBER_PR),TITLE_NUMBER_PR_CHANGE)</f>
        <v/>
      </c>
      <c r="W29" s="2635"/>
      <c r="X29" s="2635"/>
      <c r="Y29" s="2635"/>
      <c r="Z29" s="2635"/>
      <c r="AA29" s="1553"/>
      <c r="AB29" s="1553"/>
      <c r="AC29" s="2635"/>
      <c r="AD29" s="2635"/>
      <c r="AE29" s="2635"/>
      <c r="AF29" s="2635"/>
      <c r="AG29" s="2635"/>
      <c r="AH29" s="2635"/>
      <c r="AI29" s="1553"/>
      <c r="AJ29" s="1553"/>
      <c r="AK29" s="217"/>
      <c r="AL29" s="304"/>
      <c r="AM29" s="304"/>
      <c r="AN29" s="304"/>
      <c r="AO29" s="304"/>
      <c r="AP29" s="304"/>
      <c r="AQ29" s="354">
        <v>0</v>
      </c>
    </row>
    <row r="30" spans="1:43" s="2416" customFormat="1" ht="18.75" hidden="1" customHeight="1">
      <c r="A30" s="1166"/>
      <c r="B30" s="1166"/>
      <c r="C30" s="1166"/>
      <c r="D30" s="1166"/>
      <c r="E30" s="1166"/>
      <c r="F30" s="1166"/>
      <c r="G30" s="1166"/>
      <c r="H30" s="1166"/>
      <c r="I30" s="1166"/>
      <c r="J30" s="1166"/>
      <c r="K30" s="1166"/>
      <c r="L30" s="1298"/>
      <c r="M30" s="1166"/>
      <c r="N30" s="1166"/>
      <c r="O30" s="1166"/>
      <c r="P30" s="1286"/>
      <c r="Q30" s="1286"/>
      <c r="S30" s="2633" t="s">
        <v>42</v>
      </c>
      <c r="T30" s="2633"/>
      <c r="U30" s="1290"/>
      <c r="V30" s="2635" t="str">
        <f>IF(TITLE_IST_PUB_CHANGE="",IF(TITLE_IST_PUB="","",TITLE_IST_PUB),TITLE_IST_PUB_CHANGE)</f>
        <v/>
      </c>
      <c r="W30" s="2635"/>
      <c r="X30" s="2635"/>
      <c r="Y30" s="2635"/>
      <c r="Z30" s="2635"/>
      <c r="AA30" s="1553"/>
      <c r="AB30" s="1553"/>
      <c r="AC30" s="2635"/>
      <c r="AD30" s="2635"/>
      <c r="AE30" s="2635"/>
      <c r="AF30" s="2635"/>
      <c r="AG30" s="2635"/>
      <c r="AH30" s="2635"/>
      <c r="AI30" s="1553"/>
      <c r="AJ30" s="1553"/>
      <c r="AK30" s="217"/>
      <c r="AL30" s="304"/>
      <c r="AM30" s="304"/>
      <c r="AN30" s="304"/>
      <c r="AO30" s="304"/>
      <c r="AP30" s="304"/>
      <c r="AQ30" s="354">
        <v>0</v>
      </c>
    </row>
    <row r="31" spans="1:43" ht="14.25" hidden="1" customHeight="1">
      <c r="Q31" s="228"/>
      <c r="R31" s="312"/>
      <c r="S31" s="1193"/>
      <c r="T31" s="393"/>
      <c r="U31" s="393"/>
      <c r="V31" s="259"/>
      <c r="W31" s="259"/>
      <c r="X31" s="259"/>
      <c r="Y31" s="259"/>
      <c r="Z31" s="259"/>
      <c r="AA31" s="259"/>
      <c r="AB31" s="259"/>
      <c r="AC31" s="259"/>
      <c r="AD31" s="259"/>
      <c r="AE31" s="259"/>
      <c r="AF31" s="259"/>
      <c r="AG31" s="259"/>
      <c r="AH31" s="259"/>
      <c r="AI31" s="259"/>
      <c r="AJ31" s="1553"/>
      <c r="AQ31" s="1549">
        <v>0</v>
      </c>
    </row>
    <row r="32" spans="1:43" s="2416" customFormat="1" ht="18.75" hidden="1" customHeight="1">
      <c r="A32" s="1166"/>
      <c r="B32" s="1166"/>
      <c r="C32" s="1166"/>
      <c r="D32" s="1166"/>
      <c r="E32" s="1166"/>
      <c r="F32" s="1166"/>
      <c r="G32" s="1166"/>
      <c r="H32" s="1166"/>
      <c r="I32" s="1166"/>
      <c r="J32" s="1166"/>
      <c r="K32" s="1166"/>
      <c r="L32" s="1298"/>
      <c r="M32" s="1166"/>
      <c r="N32" s="1166"/>
      <c r="O32" s="1166"/>
      <c r="P32" s="1286"/>
      <c r="Q32" s="1286"/>
      <c r="S32" s="2633" t="s">
        <v>414</v>
      </c>
      <c r="T32" s="2633"/>
      <c r="U32" s="1290"/>
      <c r="V32" s="2634" t="str">
        <f>IF(TITLE_DATE_PR_CHANGE="",IF(TITLE_DATE_PR="","",TITLE_DATE_PR),TITLE_DATE_PR_CHANGE)</f>
        <v/>
      </c>
      <c r="W32" s="2634"/>
      <c r="X32" s="2634"/>
      <c r="Y32" s="2634"/>
      <c r="Z32" s="2634"/>
      <c r="AA32" s="1553"/>
      <c r="AB32" s="1553"/>
      <c r="AC32" s="2634"/>
      <c r="AD32" s="2634"/>
      <c r="AE32" s="2634"/>
      <c r="AF32" s="2634"/>
      <c r="AG32" s="2634"/>
      <c r="AH32" s="2634"/>
      <c r="AI32" s="1553"/>
      <c r="AJ32" s="1553"/>
      <c r="AK32" s="217"/>
      <c r="AL32" s="304"/>
      <c r="AM32" s="304"/>
      <c r="AN32" s="304"/>
      <c r="AO32" s="304"/>
      <c r="AP32" s="304"/>
      <c r="AQ32" s="354">
        <v>0</v>
      </c>
    </row>
    <row r="33" spans="1:43" s="2416" customFormat="1" ht="18" hidden="1" customHeight="1">
      <c r="A33" s="1166"/>
      <c r="B33" s="1166"/>
      <c r="C33" s="1166"/>
      <c r="D33" s="1166"/>
      <c r="E33" s="1166"/>
      <c r="F33" s="1166"/>
      <c r="G33" s="1166"/>
      <c r="H33" s="1166"/>
      <c r="I33" s="1166"/>
      <c r="J33" s="1166"/>
      <c r="K33" s="1166"/>
      <c r="L33" s="1298"/>
      <c r="M33" s="1166"/>
      <c r="N33" s="1166"/>
      <c r="O33" s="1166"/>
      <c r="P33" s="1286"/>
      <c r="Q33" s="1286"/>
      <c r="S33" s="2633" t="s">
        <v>415</v>
      </c>
      <c r="T33" s="2633"/>
      <c r="U33" s="1290"/>
      <c r="V33" s="2635" t="str">
        <f>IF(TITLE_NUMBER_PR_CHANGE="",IF(TITLE_NUMBER_PR="","",TITLE_NUMBER_PR),TITLE_NUMBER_PR_CHANGE)</f>
        <v/>
      </c>
      <c r="W33" s="2635"/>
      <c r="X33" s="2635"/>
      <c r="Y33" s="2635"/>
      <c r="Z33" s="2635"/>
      <c r="AA33" s="1553"/>
      <c r="AB33" s="1553"/>
      <c r="AC33" s="2635"/>
      <c r="AD33" s="2635"/>
      <c r="AE33" s="2635"/>
      <c r="AF33" s="2635"/>
      <c r="AG33" s="2635"/>
      <c r="AH33" s="2635"/>
      <c r="AI33" s="1553"/>
      <c r="AJ33" s="1553"/>
      <c r="AK33" s="217"/>
      <c r="AL33" s="304"/>
      <c r="AM33" s="304"/>
      <c r="AN33" s="304"/>
      <c r="AO33" s="304"/>
      <c r="AP33" s="304"/>
      <c r="AQ33" s="354">
        <v>0</v>
      </c>
    </row>
    <row r="34" spans="1:43" s="2416"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418</v>
      </c>
      <c r="AB34" s="1560"/>
      <c r="AC34" s="1553"/>
      <c r="AD34" s="1553"/>
      <c r="AE34" s="1553"/>
      <c r="AF34" s="1553"/>
      <c r="AG34" s="1553"/>
      <c r="AH34" s="1553"/>
      <c r="AI34" s="1560" t="s">
        <v>418</v>
      </c>
      <c r="AL34" s="304"/>
      <c r="AM34" s="304"/>
      <c r="AN34" s="304"/>
      <c r="AO34" s="304"/>
      <c r="AP34" s="304"/>
      <c r="AQ34" s="354">
        <v>1</v>
      </c>
    </row>
    <row r="35" spans="1:43" ht="14.65" customHeight="1">
      <c r="Q35" s="228"/>
      <c r="R35" s="312"/>
      <c r="S35" s="1193"/>
      <c r="T35" s="393"/>
      <c r="U35" s="1162"/>
      <c r="V35" s="2654"/>
      <c r="W35" s="2654"/>
      <c r="X35" s="2654"/>
      <c r="Y35" s="2654"/>
      <c r="Z35" s="2654"/>
      <c r="AA35" s="2654"/>
      <c r="AB35" s="1869"/>
      <c r="AC35" s="2654"/>
      <c r="AD35" s="2654"/>
      <c r="AE35" s="2654"/>
      <c r="AF35" s="2654"/>
      <c r="AG35" s="2654"/>
      <c r="AH35" s="2654"/>
      <c r="AI35" s="2654"/>
      <c r="AQ35" s="1549">
        <v>14</v>
      </c>
    </row>
    <row r="36" spans="1:43" ht="14.65" customHeight="1">
      <c r="Q36" s="228"/>
      <c r="R36" s="312"/>
      <c r="S36" s="2514" t="s">
        <v>291</v>
      </c>
      <c r="T36" s="2514"/>
      <c r="U36" s="2514"/>
      <c r="V36" s="2514"/>
      <c r="W36" s="2514"/>
      <c r="X36" s="2514"/>
      <c r="Y36" s="2514"/>
      <c r="Z36" s="2514"/>
      <c r="AA36" s="2573"/>
      <c r="AB36" s="2573"/>
      <c r="AC36" s="2573"/>
      <c r="AD36" s="2514"/>
      <c r="AE36" s="2514"/>
      <c r="AF36" s="2514"/>
      <c r="AG36" s="2514"/>
      <c r="AH36" s="2514"/>
      <c r="AI36" s="2514"/>
      <c r="AJ36" s="2514"/>
      <c r="AK36" s="2514" t="s">
        <v>292</v>
      </c>
      <c r="AQ36" s="1549">
        <v>14</v>
      </c>
    </row>
    <row r="37" spans="1:43" ht="14.65" customHeight="1">
      <c r="Q37" s="228"/>
      <c r="R37" s="312"/>
      <c r="S37" s="2655" t="s">
        <v>84</v>
      </c>
      <c r="T37" s="2603" t="s">
        <v>490</v>
      </c>
      <c r="U37" s="274"/>
      <c r="V37" s="2657"/>
      <c r="W37" s="2657"/>
      <c r="X37" s="2657"/>
      <c r="Y37" s="2657"/>
      <c r="Z37" s="2657"/>
      <c r="AA37" s="2603" t="s">
        <v>421</v>
      </c>
      <c r="AB37" s="2602" t="s">
        <v>491</v>
      </c>
      <c r="AC37" s="2602" t="s">
        <v>465</v>
      </c>
      <c r="AD37" s="2672" t="s">
        <v>420</v>
      </c>
      <c r="AE37" s="2672"/>
      <c r="AF37" s="2657"/>
      <c r="AG37" s="2657"/>
      <c r="AH37" s="2658"/>
      <c r="AI37" s="2659" t="s">
        <v>421</v>
      </c>
      <c r="AJ37" s="2662" t="s">
        <v>423</v>
      </c>
      <c r="AK37" s="2514"/>
      <c r="AQ37" s="1549">
        <v>14</v>
      </c>
    </row>
    <row r="38" spans="1:43" ht="35.65" customHeight="1">
      <c r="Q38" s="228"/>
      <c r="R38" s="312"/>
      <c r="S38" s="2655"/>
      <c r="T38" s="2603"/>
      <c r="U38" s="954"/>
      <c r="V38" s="2495" t="s">
        <v>468</v>
      </c>
      <c r="W38" s="2514"/>
      <c r="X38" s="2574" t="s">
        <v>427</v>
      </c>
      <c r="Y38" s="2684"/>
      <c r="Z38" s="2684"/>
      <c r="AA38" s="2603"/>
      <c r="AB38" s="2602"/>
      <c r="AC38" s="2602"/>
      <c r="AD38" s="2495" t="s">
        <v>468</v>
      </c>
      <c r="AE38" s="2514"/>
      <c r="AF38" s="2684" t="s">
        <v>427</v>
      </c>
      <c r="AG38" s="2684"/>
      <c r="AH38" s="2575"/>
      <c r="AI38" s="2660"/>
      <c r="AJ38" s="2663"/>
      <c r="AK38" s="2514"/>
      <c r="AQ38" s="1549">
        <v>34</v>
      </c>
    </row>
    <row r="39" spans="1:43" ht="14.65" customHeight="1">
      <c r="Q39" s="228"/>
      <c r="R39" s="312"/>
      <c r="S39" s="2655"/>
      <c r="T39" s="2603"/>
      <c r="U39" s="954"/>
      <c r="V39" s="2708" t="str">
        <f>IF($AD$39&lt;&gt;"",$AD$39,"")</f>
        <v/>
      </c>
      <c r="W39" s="2708"/>
      <c r="X39" s="2579"/>
      <c r="Y39" s="2685"/>
      <c r="Z39" s="2685"/>
      <c r="AA39" s="2603"/>
      <c r="AB39" s="2602"/>
      <c r="AC39" s="2602"/>
      <c r="AD39" s="2717"/>
      <c r="AE39" s="2707"/>
      <c r="AF39" s="2685"/>
      <c r="AG39" s="2685"/>
      <c r="AH39" s="2580"/>
      <c r="AI39" s="2660"/>
      <c r="AJ39" s="2663"/>
      <c r="AK39" s="2514"/>
      <c r="AQ39" s="1549">
        <v>14</v>
      </c>
    </row>
    <row r="40" spans="1:43" ht="14.65" customHeight="1">
      <c r="A40" s="1184"/>
      <c r="B40" s="1184" t="s">
        <v>128</v>
      </c>
      <c r="C40" s="1184" t="s">
        <v>129</v>
      </c>
      <c r="D40" s="1184" t="s">
        <v>130</v>
      </c>
      <c r="E40" s="1228" t="s">
        <v>428</v>
      </c>
      <c r="F40" s="1228" t="s">
        <v>429</v>
      </c>
      <c r="G40" s="1228" t="s">
        <v>430</v>
      </c>
      <c r="H40" s="1228" t="s">
        <v>431</v>
      </c>
      <c r="I40" s="1228" t="s">
        <v>432</v>
      </c>
      <c r="J40" s="1228" t="s">
        <v>433</v>
      </c>
      <c r="K40" s="1228" t="s">
        <v>434</v>
      </c>
      <c r="L40" s="1228" t="s">
        <v>409</v>
      </c>
      <c r="Q40" s="228"/>
      <c r="R40" s="312"/>
      <c r="S40" s="2655"/>
      <c r="T40" s="2603"/>
      <c r="U40" s="239"/>
      <c r="V40" s="1862" t="s">
        <v>469</v>
      </c>
      <c r="W40" s="1862" t="s">
        <v>470</v>
      </c>
      <c r="X40" s="1850" t="s">
        <v>437</v>
      </c>
      <c r="Y40" s="2608" t="s">
        <v>438</v>
      </c>
      <c r="Z40" s="2621"/>
      <c r="AA40" s="2603"/>
      <c r="AB40" s="2602"/>
      <c r="AC40" s="2602"/>
      <c r="AD40" s="1880" t="s">
        <v>469</v>
      </c>
      <c r="AE40" s="1871" t="s">
        <v>470</v>
      </c>
      <c r="AF40" s="1850" t="s">
        <v>437</v>
      </c>
      <c r="AG40" s="2608" t="s">
        <v>438</v>
      </c>
      <c r="AH40" s="2622"/>
      <c r="AI40" s="2661"/>
      <c r="AJ40" s="2664"/>
      <c r="AK40" s="2514"/>
      <c r="AQ40" s="1549">
        <v>14</v>
      </c>
    </row>
    <row r="41" spans="1:43" s="2431" customFormat="1" ht="11.25" hidden="1" customHeight="1">
      <c r="A41" s="1184"/>
      <c r="B41" s="1184"/>
      <c r="C41" s="1184"/>
      <c r="D41" s="1184"/>
      <c r="E41" s="1184"/>
      <c r="F41" s="1184"/>
      <c r="G41" s="1184"/>
      <c r="H41" s="1184"/>
      <c r="I41" s="1184"/>
      <c r="J41" s="1184"/>
      <c r="K41" s="1184"/>
      <c r="L41" s="1228"/>
      <c r="M41" s="1877"/>
      <c r="N41" s="1877"/>
      <c r="O41" s="1877"/>
      <c r="P41" s="446"/>
      <c r="Q41" s="1172"/>
      <c r="R41" s="1172">
        <v>1</v>
      </c>
      <c r="S41" s="1195" t="s">
        <v>102</v>
      </c>
      <c r="T41" s="1173" t="s">
        <v>103</v>
      </c>
      <c r="U41" s="1163" t="str">
        <f ca="1">OFFSET(U41,0,-1)</f>
        <v>2</v>
      </c>
      <c r="V41" s="1868">
        <f ca="1">OFFSET(V41,0,-1)+1</f>
        <v>3</v>
      </c>
      <c r="W41" s="1868">
        <f ca="1">OFFSET(W41,0,-1)+1</f>
        <v>4</v>
      </c>
      <c r="X41" s="1868">
        <f ca="1">OFFSET(X41,0,-1)+1</f>
        <v>5</v>
      </c>
      <c r="Y41" s="2653">
        <f ca="1">OFFSET(Y41,0,-1)+1</f>
        <v>6</v>
      </c>
      <c r="Z41" s="2653"/>
      <c r="AA41" s="1259">
        <f ca="1">OFFSET(AA41,0,-2)+1</f>
        <v>7</v>
      </c>
      <c r="AB41" s="1259"/>
      <c r="AC41" s="1259"/>
      <c r="AD41" s="1868">
        <f ca="1">OFFSET(AD41,0,-1)+1</f>
        <v>1</v>
      </c>
      <c r="AE41" s="1868">
        <f ca="1">OFFSET(AE41,0,-1)+1</f>
        <v>2</v>
      </c>
      <c r="AF41" s="1868">
        <f ca="1">OFFSET(AF41,0,-1)+1</f>
        <v>3</v>
      </c>
      <c r="AG41" s="2653">
        <f ca="1">OFFSET(AG41,0,-1)+1</f>
        <v>4</v>
      </c>
      <c r="AH41" s="2653"/>
      <c r="AI41" s="1868">
        <f ca="1">OFFSET(AI41,0,-2)+1</f>
        <v>5</v>
      </c>
      <c r="AJ41" s="1163">
        <f ca="1">OFFSET(AJ41,0,-1)</f>
        <v>5</v>
      </c>
      <c r="AK41" s="1868">
        <f ca="1">OFFSET(AK41,0,-1)+1</f>
        <v>6</v>
      </c>
      <c r="AL41" s="1554"/>
      <c r="AM41" s="1554"/>
      <c r="AN41" s="1554"/>
      <c r="AO41" s="1554"/>
      <c r="AP41" s="1554"/>
      <c r="AQ41" s="1559">
        <v>0</v>
      </c>
    </row>
    <row r="42" spans="1:43" ht="107.25" customHeight="1">
      <c r="A42" s="1185" t="s">
        <v>197</v>
      </c>
      <c r="B42" s="1185"/>
      <c r="C42" s="1185"/>
      <c r="D42" s="1185"/>
      <c r="E42" s="2668">
        <v>1</v>
      </c>
      <c r="F42" s="1185"/>
      <c r="G42" s="1185"/>
      <c r="H42" s="1185"/>
      <c r="I42" s="1185"/>
      <c r="J42" s="1185"/>
      <c r="K42" s="1185"/>
      <c r="L42" s="1228"/>
      <c r="M42" s="1528"/>
      <c r="N42" s="1528"/>
      <c r="O42" s="1528"/>
      <c r="P42" s="1327"/>
      <c r="Q42" s="799"/>
      <c r="R42" s="291"/>
      <c r="S42" s="1870">
        <f>INDEX(PT_DIFFERENTIATION_NUM_NTAR,MATCH(A42,PT_DIFFERENTIATION_NTAR_ID,0))</f>
        <v>0</v>
      </c>
      <c r="T42" s="1443" t="s">
        <v>116</v>
      </c>
      <c r="U42" s="237"/>
      <c r="V42" s="2637"/>
      <c r="W42" s="2637"/>
      <c r="X42" s="2637"/>
      <c r="Y42" s="2637"/>
      <c r="Z42" s="2637"/>
      <c r="AA42" s="2638"/>
      <c r="AB42" s="1864"/>
      <c r="AC42" s="2637" t="str">
        <f>INDEX(PT_DIFFERENTIATION_NTAR,MATCH(A42,PT_DIFFERENTIATION_NTAR_ID,0))</f>
        <v/>
      </c>
      <c r="AD42" s="2637"/>
      <c r="AE42" s="2637"/>
      <c r="AF42" s="2637"/>
      <c r="AG42" s="2637"/>
      <c r="AH42" s="2637"/>
      <c r="AI42" s="2637"/>
      <c r="AJ42" s="2638"/>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197</v>
      </c>
      <c r="B43" s="1185" t="s">
        <v>198</v>
      </c>
      <c r="C43" s="1185"/>
      <c r="D43" s="1185"/>
      <c r="E43" s="2669"/>
      <c r="F43" s="2668">
        <v>1</v>
      </c>
      <c r="G43" s="1185"/>
      <c r="H43" s="1185"/>
      <c r="I43" s="1185"/>
      <c r="J43" s="1185"/>
      <c r="K43" s="1185"/>
      <c r="L43" s="1228"/>
      <c r="M43" s="1528"/>
      <c r="N43" s="1528"/>
      <c r="O43" s="1528"/>
      <c r="P43" s="1881"/>
      <c r="Q43" s="1329"/>
      <c r="R43" s="289"/>
      <c r="S43" s="1870" t="str">
        <f>INDEX(PT_DIFFERENTIATION_NUM_TER,MATCH(B43,PT_DIFFERENTIATION_TER_ID,0))</f>
        <v>.</v>
      </c>
      <c r="T43" s="1440" t="s">
        <v>388</v>
      </c>
      <c r="U43" s="237"/>
      <c r="V43" s="2637"/>
      <c r="W43" s="2637"/>
      <c r="X43" s="2637"/>
      <c r="Y43" s="2637"/>
      <c r="Z43" s="2637"/>
      <c r="AA43" s="2638"/>
      <c r="AB43" s="1864"/>
      <c r="AC43" s="2637" t="str">
        <f>INDEX(PT_DIFFERENTIATION_TER,MATCH(B43,PT_DIFFERENTIATION_TER_ID,0))</f>
        <v/>
      </c>
      <c r="AD43" s="2637"/>
      <c r="AE43" s="2637"/>
      <c r="AF43" s="2637"/>
      <c r="AG43" s="2637"/>
      <c r="AH43" s="2637"/>
      <c r="AI43" s="2637"/>
      <c r="AJ43" s="2638"/>
      <c r="AK43" s="1176" t="s">
        <v>389</v>
      </c>
      <c r="AM43" s="1542"/>
      <c r="AN43" s="1542" t="str">
        <f t="shared" si="1"/>
        <v>Территория действия тарифа</v>
      </c>
      <c r="AO43" s="1542"/>
      <c r="AP43" s="1542"/>
      <c r="AQ43" s="1549">
        <v>21</v>
      </c>
    </row>
    <row r="44" spans="1:43" ht="24" customHeight="1">
      <c r="A44" s="1185" t="s">
        <v>197</v>
      </c>
      <c r="B44" s="1185" t="s">
        <v>198</v>
      </c>
      <c r="C44" s="1185" t="s">
        <v>199</v>
      </c>
      <c r="D44" s="1185"/>
      <c r="E44" s="2669"/>
      <c r="F44" s="2669"/>
      <c r="G44" s="2668">
        <v>1</v>
      </c>
      <c r="H44" s="1185"/>
      <c r="I44" s="1185"/>
      <c r="J44" s="1185"/>
      <c r="K44" s="1185"/>
      <c r="L44" s="1228"/>
      <c r="M44" s="1528"/>
      <c r="N44" s="1528"/>
      <c r="O44" s="1528"/>
      <c r="P44" s="1330"/>
      <c r="Q44" s="1329"/>
      <c r="R44" s="289"/>
      <c r="S44" s="1870" t="str">
        <f>INDEX(PT_DIFFERENTIATION_NUM_CS,MATCH(C44,PT_DIFFERENTIATION_CS_ID,0))</f>
        <v>..</v>
      </c>
      <c r="T44" s="246" t="s">
        <v>390</v>
      </c>
      <c r="U44" s="237"/>
      <c r="V44" s="2637"/>
      <c r="W44" s="2637"/>
      <c r="X44" s="2637"/>
      <c r="Y44" s="2637"/>
      <c r="Z44" s="2637"/>
      <c r="AA44" s="2638"/>
      <c r="AB44" s="1864"/>
      <c r="AC44" s="2637" t="str">
        <f>INDEX(PT_DIFFERENTIATION_CS,MATCH(C44,PT_DIFFERENTIATION_CS_ID,0))</f>
        <v/>
      </c>
      <c r="AD44" s="2637"/>
      <c r="AE44" s="2637"/>
      <c r="AF44" s="2637"/>
      <c r="AG44" s="2637"/>
      <c r="AH44" s="2637"/>
      <c r="AI44" s="2637"/>
      <c r="AJ44" s="2638"/>
      <c r="AK44" s="1176" t="s">
        <v>391</v>
      </c>
      <c r="AM44" s="1542"/>
      <c r="AN44" s="1542" t="str">
        <f t="shared" si="1"/>
        <v xml:space="preserve">Наименование системы теплоснабжения </v>
      </c>
      <c r="AO44" s="1542"/>
      <c r="AP44" s="1542"/>
      <c r="AQ44" s="1549">
        <v>23</v>
      </c>
    </row>
    <row r="45" spans="1:43" ht="21.95" customHeight="1">
      <c r="A45" s="1185" t="s">
        <v>197</v>
      </c>
      <c r="B45" s="1185" t="s">
        <v>198</v>
      </c>
      <c r="C45" s="1185" t="s">
        <v>199</v>
      </c>
      <c r="D45" s="1185" t="s">
        <v>200</v>
      </c>
      <c r="E45" s="2669"/>
      <c r="F45" s="2669"/>
      <c r="G45" s="2669"/>
      <c r="H45" s="2668">
        <v>1</v>
      </c>
      <c r="I45" s="1185"/>
      <c r="J45" s="1185"/>
      <c r="K45" s="1185"/>
      <c r="L45" s="1228"/>
      <c r="M45" s="1528"/>
      <c r="N45" s="1528"/>
      <c r="O45" s="1528"/>
      <c r="P45" s="1330"/>
      <c r="Q45" s="1329"/>
      <c r="R45" s="289"/>
      <c r="S45" s="1870" t="str">
        <f>INDEX(PT_DIFFERENTIATION_NUM_IST_TE,MATCH(D45,PT_DIFFERENTIATION_IST_TE_ID,0))</f>
        <v>...</v>
      </c>
      <c r="T45" s="247" t="s">
        <v>392</v>
      </c>
      <c r="U45" s="237"/>
      <c r="V45" s="2637"/>
      <c r="W45" s="2637"/>
      <c r="X45" s="2637"/>
      <c r="Y45" s="2637"/>
      <c r="Z45" s="2637"/>
      <c r="AA45" s="2638"/>
      <c r="AB45" s="1864"/>
      <c r="AC45" s="2637" t="str">
        <f>INDEX(PT_DIFFERENTIATION_IST_TE,MATCH(D45,PT_DIFFERENTIATION_IST_TE_ID,0))</f>
        <v/>
      </c>
      <c r="AD45" s="2637"/>
      <c r="AE45" s="2637"/>
      <c r="AF45" s="2637"/>
      <c r="AG45" s="2637"/>
      <c r="AH45" s="2637"/>
      <c r="AI45" s="2637"/>
      <c r="AJ45" s="2638"/>
      <c r="AK45" s="1176" t="s">
        <v>393</v>
      </c>
      <c r="AM45" s="1542"/>
      <c r="AN45" s="1542" t="str">
        <f t="shared" si="1"/>
        <v xml:space="preserve">Источник тепловой энергии  </v>
      </c>
      <c r="AO45" s="1542"/>
      <c r="AP45" s="1542"/>
      <c r="AQ45" s="1549">
        <v>21</v>
      </c>
    </row>
    <row r="46" spans="1:43" s="2407" customFormat="1" ht="0" hidden="1" customHeight="1">
      <c r="A46" s="1293" t="s">
        <v>197</v>
      </c>
      <c r="B46" s="1293" t="s">
        <v>198</v>
      </c>
      <c r="C46" s="1293" t="s">
        <v>199</v>
      </c>
      <c r="D46" s="1293" t="s">
        <v>200</v>
      </c>
      <c r="E46" s="2669"/>
      <c r="F46" s="2669"/>
      <c r="G46" s="2669"/>
      <c r="H46" s="2669"/>
      <c r="I46" s="2514" t="str">
        <f>S45&amp;".1"</f>
        <v>....1</v>
      </c>
      <c r="J46" s="1293"/>
      <c r="K46" s="1293"/>
      <c r="L46" s="1299" t="s">
        <v>394</v>
      </c>
      <c r="M46" s="1164"/>
      <c r="N46" s="1164"/>
      <c r="O46" s="1164"/>
      <c r="P46" s="2646">
        <v>1</v>
      </c>
      <c r="Q46" s="1866"/>
      <c r="R46" s="292"/>
      <c r="S46" s="965"/>
      <c r="T46" s="1301"/>
      <c r="U46" s="1302"/>
      <c r="V46" s="2674"/>
      <c r="W46" s="2674"/>
      <c r="X46" s="2674"/>
      <c r="Y46" s="2674"/>
      <c r="Z46" s="2674"/>
      <c r="AA46" s="2675"/>
      <c r="AB46" s="1872"/>
      <c r="AC46" s="2674"/>
      <c r="AD46" s="2674"/>
      <c r="AE46" s="2674"/>
      <c r="AF46" s="2674"/>
      <c r="AG46" s="2674"/>
      <c r="AH46" s="2674"/>
      <c r="AI46" s="2674"/>
      <c r="AJ46" s="2675"/>
      <c r="AK46" s="1303"/>
      <c r="AM46" s="1542"/>
      <c r="AN46" s="1542" t="str">
        <f t="shared" si="1"/>
        <v/>
      </c>
      <c r="AO46" s="1542"/>
      <c r="AP46" s="1542"/>
      <c r="AQ46" s="1554">
        <v>0</v>
      </c>
    </row>
    <row r="47" spans="1:43" s="2407" customFormat="1" ht="0" hidden="1" customHeight="1">
      <c r="A47" s="1293" t="s">
        <v>197</v>
      </c>
      <c r="B47" s="1293" t="s">
        <v>198</v>
      </c>
      <c r="C47" s="1293" t="s">
        <v>199</v>
      </c>
      <c r="D47" s="1293" t="s">
        <v>200</v>
      </c>
      <c r="E47" s="2669"/>
      <c r="F47" s="2669"/>
      <c r="G47" s="2669"/>
      <c r="H47" s="2669"/>
      <c r="I47" s="2496"/>
      <c r="J47" s="2514" t="str">
        <f>S45&amp;".1"</f>
        <v>....1</v>
      </c>
      <c r="K47" s="1293"/>
      <c r="L47" s="1299"/>
      <c r="M47" s="1164"/>
      <c r="N47" s="1164"/>
      <c r="O47" s="1164"/>
      <c r="P47" s="2646"/>
      <c r="Q47" s="2646">
        <v>1</v>
      </c>
      <c r="R47" s="293"/>
      <c r="S47" s="965"/>
      <c r="T47" s="1317"/>
      <c r="U47" s="1302"/>
      <c r="V47" s="2674"/>
      <c r="W47" s="2674"/>
      <c r="X47" s="2674"/>
      <c r="Y47" s="2674"/>
      <c r="Z47" s="2674"/>
      <c r="AA47" s="2675"/>
      <c r="AB47" s="1872"/>
      <c r="AC47" s="2674"/>
      <c r="AD47" s="2674"/>
      <c r="AE47" s="2674"/>
      <c r="AF47" s="2674"/>
      <c r="AG47" s="2674"/>
      <c r="AH47" s="2674"/>
      <c r="AI47" s="2674"/>
      <c r="AJ47" s="2675"/>
      <c r="AK47" s="1303"/>
      <c r="AM47" s="1542"/>
      <c r="AN47" s="1542" t="str">
        <f t="shared" si="1"/>
        <v/>
      </c>
      <c r="AO47" s="1542"/>
      <c r="AP47" s="1542"/>
      <c r="AQ47" s="1554">
        <v>0</v>
      </c>
    </row>
    <row r="48" spans="1:43" ht="21.95" customHeight="1">
      <c r="A48" s="1185" t="s">
        <v>197</v>
      </c>
      <c r="B48" s="1185" t="s">
        <v>198</v>
      </c>
      <c r="C48" s="1185" t="s">
        <v>199</v>
      </c>
      <c r="D48" s="1185" t="s">
        <v>200</v>
      </c>
      <c r="E48" s="2669"/>
      <c r="F48" s="2669"/>
      <c r="G48" s="2669"/>
      <c r="H48" s="2669"/>
      <c r="I48" s="2496"/>
      <c r="J48" s="2496"/>
      <c r="K48" s="1853" t="str">
        <f>S45&amp;".1"</f>
        <v>....1</v>
      </c>
      <c r="L48" s="1228"/>
      <c r="P48" s="2646"/>
      <c r="Q48" s="2646"/>
      <c r="R48" s="293">
        <v>1</v>
      </c>
      <c r="S48" s="1874" t="str">
        <f>$K48</f>
        <v>....1</v>
      </c>
      <c r="T48" s="1873"/>
      <c r="U48" s="237"/>
      <c r="V48" s="687"/>
      <c r="W48" s="1175"/>
      <c r="X48" s="1867"/>
      <c r="Y48" s="1854" t="s">
        <v>65</v>
      </c>
      <c r="Z48" s="1867"/>
      <c r="AA48" s="1854" t="s">
        <v>65</v>
      </c>
      <c r="AB48" s="1876"/>
      <c r="AC48" s="1875" t="s">
        <v>22</v>
      </c>
      <c r="AD48" s="687"/>
      <c r="AE48" s="1175"/>
      <c r="AF48" s="1867"/>
      <c r="AG48" s="1854" t="s">
        <v>65</v>
      </c>
      <c r="AH48" s="1867"/>
      <c r="AI48" s="1854" t="s">
        <v>65</v>
      </c>
      <c r="AJ48" s="1266"/>
      <c r="AK48" s="2665" t="s">
        <v>471</v>
      </c>
      <c r="AL48" s="1554" t="e">
        <f ca="1">STRCHECKDATE(#REF!)</f>
        <v>#NAME?</v>
      </c>
      <c r="AM48" s="1542"/>
      <c r="AN48" s="1542" t="str">
        <f t="shared" si="1"/>
        <v/>
      </c>
      <c r="AO48" s="1542"/>
      <c r="AP48" s="1542"/>
      <c r="AQ48" s="1549">
        <v>21</v>
      </c>
    </row>
    <row r="49" spans="1:43" ht="11.45" customHeight="1">
      <c r="A49" s="1185" t="s">
        <v>197</v>
      </c>
      <c r="B49" s="1185" t="s">
        <v>198</v>
      </c>
      <c r="C49" s="1185" t="s">
        <v>199</v>
      </c>
      <c r="D49" s="1185" t="s">
        <v>200</v>
      </c>
      <c r="E49" s="2669"/>
      <c r="F49" s="2669"/>
      <c r="G49" s="2669"/>
      <c r="H49" s="2669"/>
      <c r="I49" s="2496"/>
      <c r="J49" s="2514"/>
      <c r="K49" s="1185"/>
      <c r="L49" s="1228"/>
      <c r="P49" s="2646"/>
      <c r="Q49" s="2646"/>
      <c r="R49" s="292"/>
      <c r="S49" s="1196"/>
      <c r="T49" s="224" t="s">
        <v>459</v>
      </c>
      <c r="U49" s="536"/>
      <c r="V49" s="536"/>
      <c r="W49" s="536"/>
      <c r="X49" s="536"/>
      <c r="Y49" s="536"/>
      <c r="Z49" s="536"/>
      <c r="AA49" s="261"/>
      <c r="AB49" s="536"/>
      <c r="AC49" s="536"/>
      <c r="AD49" s="536"/>
      <c r="AE49" s="536"/>
      <c r="AF49" s="536"/>
      <c r="AG49" s="536"/>
      <c r="AH49" s="536"/>
      <c r="AI49" s="536"/>
      <c r="AJ49" s="261"/>
      <c r="AK49" s="2667"/>
      <c r="AM49" s="1542"/>
      <c r="AN49" s="1542" t="str">
        <f t="shared" si="1"/>
        <v>Добавить строку</v>
      </c>
      <c r="AO49" s="1542"/>
      <c r="AP49" s="1542"/>
      <c r="AQ49" s="1549">
        <v>11</v>
      </c>
    </row>
    <row r="50" spans="1:43" s="2407" customFormat="1" ht="1.1499999999999999" customHeight="1">
      <c r="A50" s="1293" t="s">
        <v>197</v>
      </c>
      <c r="B50" s="1293" t="s">
        <v>198</v>
      </c>
      <c r="C50" s="1293" t="s">
        <v>199</v>
      </c>
      <c r="D50" s="1293" t="s">
        <v>200</v>
      </c>
      <c r="E50" s="2669"/>
      <c r="F50" s="2669"/>
      <c r="G50" s="2669"/>
      <c r="H50" s="2669"/>
      <c r="I50" s="2514"/>
      <c r="J50" s="1293"/>
      <c r="K50" s="1293"/>
      <c r="L50" s="1299"/>
      <c r="M50" s="1164"/>
      <c r="N50" s="1164"/>
      <c r="O50" s="1164"/>
      <c r="P50" s="2646"/>
      <c r="Q50" s="1866"/>
      <c r="R50" s="292"/>
      <c r="S50" s="1304"/>
      <c r="T50" s="1305" t="s">
        <v>403</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431" customFormat="1" ht="1.1499999999999999" customHeight="1">
      <c r="A51" s="1293" t="s">
        <v>197</v>
      </c>
      <c r="B51" s="1293" t="s">
        <v>198</v>
      </c>
      <c r="C51" s="1293" t="s">
        <v>199</v>
      </c>
      <c r="D51" s="1293" t="s">
        <v>200</v>
      </c>
      <c r="E51" s="2669"/>
      <c r="F51" s="2669"/>
      <c r="G51" s="2669"/>
      <c r="H51" s="2668"/>
      <c r="I51" s="1293"/>
      <c r="J51" s="1293"/>
      <c r="K51" s="1293"/>
      <c r="L51" s="1299"/>
      <c r="M51" s="1296"/>
      <c r="N51" s="1296"/>
      <c r="O51" s="287"/>
      <c r="P51" s="316"/>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407" customFormat="1" ht="1.1499999999999999" customHeight="1">
      <c r="A52" s="1293" t="s">
        <v>197</v>
      </c>
      <c r="B52" s="1293" t="s">
        <v>198</v>
      </c>
      <c r="C52" s="1293" t="s">
        <v>199</v>
      </c>
      <c r="D52" s="1292"/>
      <c r="E52" s="2669"/>
      <c r="F52" s="2669"/>
      <c r="G52" s="2668"/>
      <c r="H52" s="1292"/>
      <c r="I52" s="1292"/>
      <c r="J52" s="1292"/>
      <c r="K52" s="1292"/>
      <c r="L52" s="1295"/>
      <c r="M52" s="1296"/>
      <c r="N52" s="1296"/>
      <c r="O52" s="287"/>
      <c r="P52" s="1234"/>
      <c r="Q52" s="1235"/>
      <c r="R52" s="1234"/>
      <c r="S52" s="1240"/>
      <c r="T52" s="1243" t="s">
        <v>405</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407" customFormat="1" ht="1.1499999999999999" customHeight="1">
      <c r="A53" s="1293" t="s">
        <v>197</v>
      </c>
      <c r="B53" s="1293" t="s">
        <v>198</v>
      </c>
      <c r="C53" s="1292"/>
      <c r="D53" s="1292"/>
      <c r="E53" s="2669"/>
      <c r="F53" s="2668"/>
      <c r="G53" s="1292"/>
      <c r="H53" s="1292"/>
      <c r="I53" s="1292"/>
      <c r="J53" s="1292"/>
      <c r="K53" s="1292"/>
      <c r="L53" s="1295"/>
      <c r="M53" s="1297"/>
      <c r="N53" s="1297"/>
      <c r="O53" s="287"/>
      <c r="P53" s="1234"/>
      <c r="Q53" s="1235"/>
      <c r="R53" s="1234"/>
      <c r="S53" s="1240"/>
      <c r="T53" s="1243" t="s">
        <v>406</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407" customFormat="1" ht="1.1499999999999999" customHeight="1">
      <c r="A54" s="1293" t="s">
        <v>197</v>
      </c>
      <c r="B54" s="1293"/>
      <c r="C54" s="1293"/>
      <c r="D54" s="1293"/>
      <c r="E54" s="2669"/>
      <c r="F54" s="1293"/>
      <c r="G54" s="1293"/>
      <c r="H54" s="1293"/>
      <c r="I54" s="1293"/>
      <c r="J54" s="1293"/>
      <c r="K54" s="1293"/>
      <c r="L54" s="1299"/>
      <c r="M54" s="1297"/>
      <c r="N54" s="1297"/>
      <c r="O54" s="287"/>
      <c r="P54" s="316"/>
      <c r="Q54" s="1262"/>
      <c r="R54" s="316"/>
      <c r="S54" s="1240"/>
      <c r="T54" s="1243" t="s">
        <v>407</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407" customFormat="1" ht="1.1499999999999999" customHeight="1">
      <c r="A55" s="1293" t="s">
        <v>197</v>
      </c>
      <c r="B55" s="1293"/>
      <c r="C55" s="1293"/>
      <c r="D55" s="1293"/>
      <c r="E55" s="2668"/>
      <c r="F55" s="1293"/>
      <c r="G55" s="1293"/>
      <c r="H55" s="1293"/>
      <c r="I55" s="1293"/>
      <c r="J55" s="1293"/>
      <c r="K55" s="1293"/>
      <c r="L55" s="1299"/>
      <c r="M55" s="1297"/>
      <c r="N55" s="1297"/>
      <c r="O55" s="287"/>
      <c r="P55" s="316"/>
      <c r="Q55" s="1262"/>
      <c r="R55" s="316"/>
      <c r="S55" s="1240"/>
      <c r="T55" s="1243" t="s">
        <v>407</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407" customFormat="1" ht="1.1499999999999999" customHeight="1">
      <c r="A56" s="1292"/>
      <c r="B56" s="1292"/>
      <c r="C56" s="1292"/>
      <c r="D56" s="1292"/>
      <c r="E56" s="1293"/>
      <c r="F56" s="1292"/>
      <c r="G56" s="1292"/>
      <c r="H56" s="1292"/>
      <c r="I56" s="1292"/>
      <c r="J56" s="1292"/>
      <c r="K56" s="1292"/>
      <c r="L56" s="1295"/>
      <c r="M56" s="1297"/>
      <c r="N56" s="1297"/>
      <c r="O56" s="287"/>
      <c r="P56" s="1234"/>
      <c r="Q56" s="1235"/>
      <c r="R56" s="1234"/>
      <c r="S56" s="1240"/>
      <c r="T56" s="1243" t="s">
        <v>439</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641"/>
      <c r="U58" s="2641"/>
      <c r="V58" s="2641"/>
      <c r="W58" s="2641"/>
      <c r="X58" s="2641"/>
      <c r="Y58" s="2641"/>
      <c r="Z58" s="2641"/>
      <c r="AA58" s="2641"/>
      <c r="AB58" s="2641"/>
      <c r="AC58" s="2641"/>
      <c r="AD58" s="2641"/>
      <c r="AE58" s="2641"/>
      <c r="AF58" s="2641"/>
      <c r="AG58" s="2641"/>
      <c r="AH58" s="2641"/>
      <c r="AI58" s="2641"/>
      <c r="AJ58" s="2641"/>
      <c r="AK58" s="2641"/>
      <c r="AQ58" s="1549">
        <v>19</v>
      </c>
    </row>
    <row r="59" spans="1:43" ht="21" customHeight="1">
      <c r="O59" s="1553"/>
      <c r="T59" s="2641"/>
      <c r="U59" s="2641"/>
      <c r="V59" s="2641"/>
      <c r="W59" s="2641"/>
      <c r="X59" s="2641"/>
      <c r="Y59" s="2641"/>
      <c r="Z59" s="2641"/>
      <c r="AA59" s="2641"/>
      <c r="AB59" s="2641"/>
      <c r="AC59" s="2641"/>
      <c r="AD59" s="2641"/>
      <c r="AE59" s="2641"/>
      <c r="AF59" s="2641"/>
      <c r="AG59" s="2641"/>
      <c r="AH59" s="2641"/>
      <c r="AI59" s="2641"/>
      <c r="AJ59" s="2641"/>
      <c r="AK59" s="2641"/>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641"/>
      <c r="U61" s="2641"/>
      <c r="V61" s="2641"/>
      <c r="W61" s="2641"/>
      <c r="X61" s="2641"/>
      <c r="Y61" s="2641"/>
      <c r="Z61" s="2641"/>
      <c r="AA61" s="2641"/>
      <c r="AB61" s="2641"/>
      <c r="AC61" s="2641"/>
      <c r="AD61" s="2641"/>
      <c r="AE61" s="2641"/>
      <c r="AF61" s="2641"/>
      <c r="AG61" s="2641"/>
      <c r="AH61" s="2641"/>
      <c r="AI61" s="2641"/>
      <c r="AJ61" s="2641"/>
      <c r="AK61" s="2641"/>
      <c r="AQ61" s="1549">
        <v>19</v>
      </c>
    </row>
    <row r="62" spans="1:43" ht="16.899999999999999" customHeight="1">
      <c r="O62" s="1553"/>
      <c r="T62" s="2641"/>
      <c r="U62" s="2641"/>
      <c r="V62" s="2641"/>
      <c r="W62" s="2641"/>
      <c r="X62" s="2641"/>
      <c r="Y62" s="2641"/>
      <c r="Z62" s="2641"/>
      <c r="AA62" s="2641"/>
      <c r="AB62" s="2641"/>
      <c r="AC62" s="2641"/>
      <c r="AD62" s="2641"/>
      <c r="AE62" s="2641"/>
      <c r="AF62" s="2641"/>
      <c r="AG62" s="2641"/>
      <c r="AH62" s="2641"/>
      <c r="AI62" s="2641"/>
      <c r="AJ62" s="2641"/>
      <c r="AK62" s="2641"/>
      <c r="AQ62" s="1549">
        <v>16</v>
      </c>
    </row>
    <row r="63" spans="1:43" ht="14.65" customHeight="1">
      <c r="O63" s="1553"/>
      <c r="AQ63" s="1549">
        <v>14</v>
      </c>
    </row>
    <row r="64" spans="1:43" ht="22.5" hidden="1" customHeight="1">
      <c r="A64" s="1549" t="s">
        <v>78</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1">
        <v>3</v>
      </c>
      <c r="S64" s="517">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06" hidden="1" customWidth="1"/>
    <col min="2" max="2" width="11" style="2406" hidden="1" customWidth="1"/>
    <col min="3" max="3" width="10.5703125" style="2406" hidden="1"/>
    <col min="4" max="4" width="12.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2" style="2406" hidden="1" customWidth="1"/>
    <col min="10" max="10" width="9.85546875" style="2406" hidden="1" customWidth="1"/>
    <col min="11" max="11" width="11.42578125" style="2406" hidden="1" customWidth="1"/>
    <col min="12" max="12" width="19.140625" style="2432" hidden="1" customWidth="1"/>
    <col min="13" max="14" width="12.28515625" style="2433" hidden="1" customWidth="1"/>
    <col min="15" max="15" width="23.42578125" style="2433" hidden="1" customWidth="1"/>
    <col min="16" max="16" width="3.7109375" style="2433" hidden="1" customWidth="1"/>
    <col min="17" max="17" width="3.7109375" style="2438" hidden="1" customWidth="1"/>
    <col min="18" max="18" width="3" style="2435" customWidth="1"/>
    <col min="19" max="19" width="12" style="2436" customWidth="1"/>
    <col min="20" max="20" width="31" style="2400" customWidth="1"/>
    <col min="21" max="21" width="0.140625" style="2400" customWidth="1"/>
    <col min="22" max="25" width="21.7109375" style="2400" hidden="1" customWidth="1"/>
    <col min="26" max="26" width="11.7109375" style="2400" hidden="1" customWidth="1"/>
    <col min="27" max="27" width="3.7109375" style="2400" hidden="1" customWidth="1"/>
    <col min="28" max="28" width="11.7109375" style="2400" hidden="1" customWidth="1"/>
    <col min="29" max="29" width="8.5703125" style="2400" hidden="1" customWidth="1"/>
    <col min="30" max="30" width="3.7109375" style="2400" customWidth="1"/>
    <col min="31" max="32" width="3" style="2400" customWidth="1"/>
    <col min="33" max="33" width="24" style="2400" customWidth="1"/>
    <col min="34" max="34" width="3.7109375" style="2400" customWidth="1"/>
    <col min="35" max="36" width="3" style="2400" customWidth="1"/>
    <col min="37" max="37" width="24" style="2400" customWidth="1"/>
    <col min="38" max="38" width="3.7109375" style="2400" customWidth="1"/>
    <col min="39" max="40" width="3" style="2400" customWidth="1"/>
    <col min="41" max="41" width="18" style="2400" customWidth="1"/>
    <col min="42" max="42" width="3.7109375" style="2400" customWidth="1"/>
    <col min="43" max="44" width="3" style="2400" customWidth="1"/>
    <col min="45" max="45" width="18" style="2400" customWidth="1"/>
    <col min="46" max="49" width="21" style="2400" customWidth="1"/>
    <col min="50" max="50" width="11" style="2400" customWidth="1"/>
    <col min="51" max="51" width="3.7109375" style="2400" customWidth="1"/>
    <col min="52" max="52" width="11" style="2400" customWidth="1"/>
    <col min="53" max="53" width="8.5703125" style="2400" hidden="1" customWidth="1"/>
    <col min="54" max="54" width="4" style="2400" customWidth="1"/>
    <col min="55" max="55" width="115" style="2400" customWidth="1"/>
    <col min="56" max="60" width="10" style="2407" customWidth="1"/>
    <col min="61" max="61" width="10.5703125" style="2400" hidden="1"/>
  </cols>
  <sheetData>
    <row r="1" spans="1:61" ht="22.5" hidden="1" customHeight="1">
      <c r="W1" s="264"/>
      <c r="Y1" s="264"/>
      <c r="Z1" s="264"/>
      <c r="AW1" s="264"/>
      <c r="AX1" s="264"/>
      <c r="BI1" s="1073" t="s">
        <v>14</v>
      </c>
    </row>
    <row r="2" spans="1:61" ht="21" hidden="1" customHeight="1">
      <c r="A2" s="1281"/>
      <c r="B2" s="1281"/>
      <c r="C2" s="1281"/>
      <c r="D2" s="1281"/>
      <c r="E2" s="2642">
        <v>1</v>
      </c>
      <c r="F2" s="1281"/>
      <c r="G2" s="1281"/>
      <c r="H2" s="1281"/>
      <c r="I2" s="1281"/>
      <c r="J2" s="1281"/>
      <c r="K2" s="1281"/>
      <c r="L2" s="1282"/>
      <c r="M2" s="1283"/>
      <c r="N2" s="1283"/>
      <c r="O2" s="1283"/>
      <c r="P2" s="1327"/>
      <c r="Q2" s="799"/>
      <c r="R2" s="291"/>
      <c r="S2" s="1383" t="e">
        <f>INDEX(PT_DIFFERENTIATION_NUM_NTAR,MATCH(A2,PT_DIFFERENTIATION_NTAR_ID,0))</f>
        <v>#N/A</v>
      </c>
      <c r="T2" s="235" t="s">
        <v>116</v>
      </c>
      <c r="U2" s="237"/>
      <c r="V2" s="2637"/>
      <c r="W2" s="2637"/>
      <c r="X2" s="2637"/>
      <c r="Y2" s="2637"/>
      <c r="Z2" s="2637"/>
      <c r="AA2" s="2637"/>
      <c r="AB2" s="2637"/>
      <c r="AC2" s="2638"/>
      <c r="AD2" s="2636" t="e">
        <f>INDEX(PT_DIFFERENTIATION_NTAR,MATCH(A2,PT_DIFFERENTIATION_NTAR_ID,0))</f>
        <v>#N/A</v>
      </c>
      <c r="AE2" s="2637"/>
      <c r="AF2" s="2637"/>
      <c r="AG2" s="2637"/>
      <c r="AH2" s="2637"/>
      <c r="AI2" s="2637"/>
      <c r="AJ2" s="2637"/>
      <c r="AK2" s="2637"/>
      <c r="AL2" s="2637"/>
      <c r="AM2" s="2637"/>
      <c r="AN2" s="2637"/>
      <c r="AO2" s="2637"/>
      <c r="AP2" s="2637"/>
      <c r="AQ2" s="2637"/>
      <c r="AR2" s="2637"/>
      <c r="AS2" s="2637"/>
      <c r="AT2" s="2637"/>
      <c r="AU2" s="2637"/>
      <c r="AV2" s="2637"/>
      <c r="AW2" s="2637"/>
      <c r="AX2" s="2637"/>
      <c r="AY2" s="2637"/>
      <c r="AZ2" s="2637"/>
      <c r="BA2" s="2637"/>
      <c r="BB2" s="263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643"/>
      <c r="F3" s="2642">
        <v>1</v>
      </c>
      <c r="G3" s="1281"/>
      <c r="H3" s="1281"/>
      <c r="I3" s="1281"/>
      <c r="J3" s="1281"/>
      <c r="K3" s="1281"/>
      <c r="L3" s="1282"/>
      <c r="M3" s="1283"/>
      <c r="N3" s="1283"/>
      <c r="O3" s="1283"/>
      <c r="P3" s="1328"/>
      <c r="Q3" s="1329"/>
      <c r="R3" s="289"/>
      <c r="S3" s="1383" t="e">
        <f>INDEX(PT_DIFFERENTIATION_NUM_TER,MATCH(B3,PT_DIFFERENTIATION_TER_ID,0))</f>
        <v>#N/A</v>
      </c>
      <c r="T3" s="245" t="s">
        <v>388</v>
      </c>
      <c r="U3" s="237"/>
      <c r="V3" s="2637"/>
      <c r="W3" s="2637"/>
      <c r="X3" s="2637"/>
      <c r="Y3" s="2637"/>
      <c r="Z3" s="2637"/>
      <c r="AA3" s="2637"/>
      <c r="AB3" s="2637"/>
      <c r="AC3" s="2638"/>
      <c r="AD3" s="2636" t="e">
        <f>INDEX(PT_DIFFERENTIATION_TER,MATCH(B3,PT_DIFFERENTIATION_TER_ID,0))</f>
        <v>#N/A</v>
      </c>
      <c r="AE3" s="2637"/>
      <c r="AF3" s="2637"/>
      <c r="AG3" s="2637"/>
      <c r="AH3" s="2637"/>
      <c r="AI3" s="2637"/>
      <c r="AJ3" s="2637"/>
      <c r="AK3" s="2637"/>
      <c r="AL3" s="2637"/>
      <c r="AM3" s="2637"/>
      <c r="AN3" s="2637"/>
      <c r="AO3" s="2637"/>
      <c r="AP3" s="2637"/>
      <c r="AQ3" s="2637"/>
      <c r="AR3" s="2637"/>
      <c r="AS3" s="2637"/>
      <c r="AT3" s="2637"/>
      <c r="AU3" s="2637"/>
      <c r="AV3" s="2637"/>
      <c r="AW3" s="2637"/>
      <c r="AX3" s="2637"/>
      <c r="AY3" s="2637"/>
      <c r="AZ3" s="2637"/>
      <c r="BA3" s="2637"/>
      <c r="BB3" s="2638"/>
      <c r="BC3" s="1176" t="s">
        <v>389</v>
      </c>
      <c r="BE3" s="436"/>
      <c r="BF3" s="436" t="str">
        <f t="shared" si="0"/>
        <v>Территория действия тарифа</v>
      </c>
      <c r="BG3" s="436"/>
      <c r="BH3" s="436"/>
      <c r="BI3" s="1073">
        <v>0</v>
      </c>
    </row>
    <row r="4" spans="1:61" ht="42" hidden="1" customHeight="1">
      <c r="A4" s="1281"/>
      <c r="B4" s="1281"/>
      <c r="C4" s="1281"/>
      <c r="D4" s="1281"/>
      <c r="E4" s="2643"/>
      <c r="F4" s="2643"/>
      <c r="G4" s="2642">
        <v>1</v>
      </c>
      <c r="H4" s="1281"/>
      <c r="I4" s="1281"/>
      <c r="J4" s="1281"/>
      <c r="K4" s="1281"/>
      <c r="L4" s="1282"/>
      <c r="M4" s="1283"/>
      <c r="N4" s="1283"/>
      <c r="O4" s="1283"/>
      <c r="P4" s="1330"/>
      <c r="Q4" s="1329"/>
      <c r="R4" s="289"/>
      <c r="S4" s="1383" t="e">
        <f>INDEX(PT_DIFFERENTIATION_NUM_CS,MATCH(C4,PT_DIFFERENTIATION_CS_ID,0))</f>
        <v>#N/A</v>
      </c>
      <c r="T4" s="246" t="s">
        <v>472</v>
      </c>
      <c r="U4" s="237"/>
      <c r="V4" s="2637"/>
      <c r="W4" s="2637"/>
      <c r="X4" s="2637"/>
      <c r="Y4" s="2637"/>
      <c r="Z4" s="2637"/>
      <c r="AA4" s="2637"/>
      <c r="AB4" s="2637"/>
      <c r="AC4" s="2638"/>
      <c r="AD4" s="2636" t="e">
        <f>INDEX(PT_DIFFERENTIATION_CS,MATCH(C4,PT_DIFFERENTIATION_CS_ID,0))</f>
        <v>#N/A</v>
      </c>
      <c r="AE4" s="2637"/>
      <c r="AF4" s="2637"/>
      <c r="AG4" s="2637"/>
      <c r="AH4" s="2637"/>
      <c r="AI4" s="2637"/>
      <c r="AJ4" s="2637"/>
      <c r="AK4" s="2637"/>
      <c r="AL4" s="2637"/>
      <c r="AM4" s="2637"/>
      <c r="AN4" s="2637"/>
      <c r="AO4" s="2637"/>
      <c r="AP4" s="2637"/>
      <c r="AQ4" s="2637"/>
      <c r="AR4" s="2637"/>
      <c r="AS4" s="2637"/>
      <c r="AT4" s="2637"/>
      <c r="AU4" s="2637"/>
      <c r="AV4" s="2637"/>
      <c r="AW4" s="2637"/>
      <c r="AX4" s="2637"/>
      <c r="AY4" s="2637"/>
      <c r="AZ4" s="2637"/>
      <c r="BA4" s="2637"/>
      <c r="BB4" s="2638"/>
      <c r="BC4" s="1176" t="s">
        <v>473</v>
      </c>
      <c r="BE4" s="436"/>
      <c r="BF4" s="436" t="str">
        <f t="shared" si="0"/>
        <v>Наименование централизованной системы холодного водоснабжения</v>
      </c>
      <c r="BG4" s="436"/>
      <c r="BH4" s="436"/>
      <c r="BI4" s="1073">
        <v>0</v>
      </c>
    </row>
    <row r="5" spans="1:61" s="2407" customFormat="1" ht="14.25" hidden="1" customHeight="1">
      <c r="A5" s="1261"/>
      <c r="B5" s="1261"/>
      <c r="C5" s="1261"/>
      <c r="D5" s="1261"/>
      <c r="E5" s="2643"/>
      <c r="F5" s="2643"/>
      <c r="G5" s="2643"/>
      <c r="H5" s="2642">
        <v>1</v>
      </c>
      <c r="I5" s="1261"/>
      <c r="J5" s="1261"/>
      <c r="K5" s="1261"/>
      <c r="L5" s="1264"/>
      <c r="M5" s="1233"/>
      <c r="N5" s="1233"/>
      <c r="O5" s="1233"/>
      <c r="P5" s="1415"/>
      <c r="Q5" s="1416"/>
      <c r="R5" s="293"/>
      <c r="S5" s="965"/>
      <c r="T5" s="1417"/>
      <c r="U5" s="1302"/>
      <c r="V5" s="2674"/>
      <c r="W5" s="2674"/>
      <c r="X5" s="2674"/>
      <c r="Y5" s="2674"/>
      <c r="Z5" s="2674"/>
      <c r="AA5" s="2674"/>
      <c r="AB5" s="2674"/>
      <c r="AC5" s="2675"/>
      <c r="AD5" s="2673"/>
      <c r="AE5" s="2674"/>
      <c r="AF5" s="2674"/>
      <c r="AG5" s="2674"/>
      <c r="AH5" s="2674"/>
      <c r="AI5" s="2674"/>
      <c r="AJ5" s="2674"/>
      <c r="AK5" s="2674"/>
      <c r="AL5" s="2674"/>
      <c r="AM5" s="2674"/>
      <c r="AN5" s="2674"/>
      <c r="AO5" s="2674"/>
      <c r="AP5" s="2674"/>
      <c r="AQ5" s="2674"/>
      <c r="AR5" s="2674"/>
      <c r="AS5" s="2674"/>
      <c r="AT5" s="2674"/>
      <c r="AU5" s="2674"/>
      <c r="AV5" s="2674"/>
      <c r="AW5" s="2674"/>
      <c r="AX5" s="2674"/>
      <c r="AY5" s="2674"/>
      <c r="AZ5" s="2674"/>
      <c r="BA5" s="2674"/>
      <c r="BB5" s="2675"/>
      <c r="BC5" s="1303" t="s">
        <v>393</v>
      </c>
      <c r="BE5" s="436"/>
      <c r="BF5" s="436" t="str">
        <f t="shared" si="0"/>
        <v/>
      </c>
      <c r="BG5" s="436"/>
      <c r="BH5" s="436"/>
      <c r="BI5" s="447">
        <v>0</v>
      </c>
    </row>
    <row r="6" spans="1:61" s="2407" customFormat="1" ht="14.25" hidden="1" customHeight="1">
      <c r="A6" s="1261"/>
      <c r="B6" s="1261"/>
      <c r="C6" s="1261"/>
      <c r="D6" s="1261"/>
      <c r="E6" s="2643"/>
      <c r="F6" s="2643"/>
      <c r="G6" s="2643"/>
      <c r="H6" s="2643"/>
      <c r="I6" s="2644" t="str">
        <f>S5&amp;".1"</f>
        <v>.1</v>
      </c>
      <c r="J6" s="1261"/>
      <c r="K6" s="1261"/>
      <c r="L6" s="1264" t="s">
        <v>394</v>
      </c>
      <c r="M6" s="446"/>
      <c r="N6" s="446"/>
      <c r="O6" s="446"/>
      <c r="P6" s="2646">
        <v>1</v>
      </c>
      <c r="Q6" s="1380"/>
      <c r="R6" s="292"/>
      <c r="S6" s="965"/>
      <c r="T6" s="1301"/>
      <c r="U6" s="1302"/>
      <c r="V6" s="2674"/>
      <c r="W6" s="2674"/>
      <c r="X6" s="2674"/>
      <c r="Y6" s="2674"/>
      <c r="Z6" s="2674"/>
      <c r="AA6" s="2674"/>
      <c r="AB6" s="2674"/>
      <c r="AC6" s="2675"/>
      <c r="AD6" s="2673"/>
      <c r="AE6" s="2674"/>
      <c r="AF6" s="2674"/>
      <c r="AG6" s="2674"/>
      <c r="AH6" s="2674"/>
      <c r="AI6" s="2674"/>
      <c r="AJ6" s="2674"/>
      <c r="AK6" s="2674"/>
      <c r="AL6" s="2674"/>
      <c r="AM6" s="2674"/>
      <c r="AN6" s="2674"/>
      <c r="AO6" s="2674"/>
      <c r="AP6" s="2674"/>
      <c r="AQ6" s="2674"/>
      <c r="AR6" s="2674"/>
      <c r="AS6" s="2674"/>
      <c r="AT6" s="2674"/>
      <c r="AU6" s="2674"/>
      <c r="AV6" s="2674"/>
      <c r="AW6" s="2674"/>
      <c r="AX6" s="2674"/>
      <c r="AY6" s="2674"/>
      <c r="AZ6" s="2674"/>
      <c r="BA6" s="2674"/>
      <c r="BB6" s="2675"/>
      <c r="BC6" s="1303"/>
      <c r="BE6" s="436"/>
      <c r="BF6" s="436" t="str">
        <f t="shared" si="0"/>
        <v/>
      </c>
      <c r="BG6" s="436"/>
      <c r="BH6" s="436"/>
      <c r="BI6" s="447">
        <v>0</v>
      </c>
    </row>
    <row r="7" spans="1:61" s="2407" customFormat="1" ht="14.25" hidden="1" customHeight="1">
      <c r="A7" s="1261"/>
      <c r="B7" s="1261"/>
      <c r="C7" s="1261"/>
      <c r="D7" s="1261"/>
      <c r="E7" s="2643"/>
      <c r="F7" s="2643"/>
      <c r="G7" s="2643"/>
      <c r="H7" s="2643"/>
      <c r="I7" s="2645"/>
      <c r="J7" s="2644" t="str">
        <f>S5&amp;".1"</f>
        <v>.1</v>
      </c>
      <c r="K7" s="1261"/>
      <c r="L7" s="1264"/>
      <c r="M7" s="446"/>
      <c r="N7" s="446"/>
      <c r="O7" s="446"/>
      <c r="P7" s="2646"/>
      <c r="Q7" s="2646">
        <v>1</v>
      </c>
      <c r="R7" s="293"/>
      <c r="S7" s="965"/>
      <c r="T7" s="1317"/>
      <c r="U7" s="1302"/>
      <c r="V7" s="2674"/>
      <c r="W7" s="2674"/>
      <c r="X7" s="2674"/>
      <c r="Y7" s="2674"/>
      <c r="Z7" s="2674"/>
      <c r="AA7" s="2674"/>
      <c r="AB7" s="2674"/>
      <c r="AC7" s="2675"/>
      <c r="AD7" s="2673"/>
      <c r="AE7" s="2674"/>
      <c r="AF7" s="2674"/>
      <c r="AG7" s="2674"/>
      <c r="AH7" s="2674"/>
      <c r="AI7" s="2674"/>
      <c r="AJ7" s="2674"/>
      <c r="AK7" s="2674"/>
      <c r="AL7" s="2674"/>
      <c r="AM7" s="2674"/>
      <c r="AN7" s="2674"/>
      <c r="AO7" s="2674"/>
      <c r="AP7" s="2674"/>
      <c r="AQ7" s="2674"/>
      <c r="AR7" s="2674"/>
      <c r="AS7" s="2674"/>
      <c r="AT7" s="2674"/>
      <c r="AU7" s="2674"/>
      <c r="AV7" s="2674"/>
      <c r="AW7" s="2674"/>
      <c r="AX7" s="2674"/>
      <c r="AY7" s="2674"/>
      <c r="AZ7" s="2674"/>
      <c r="BA7" s="2674"/>
      <c r="BB7" s="2675"/>
      <c r="BC7" s="1303"/>
      <c r="BE7" s="436"/>
      <c r="BF7" s="436" t="str">
        <f t="shared" si="0"/>
        <v/>
      </c>
      <c r="BG7" s="436"/>
      <c r="BH7" s="436"/>
      <c r="BI7" s="447">
        <v>0</v>
      </c>
    </row>
    <row r="8" spans="1:61" ht="11.25" hidden="1" customHeight="1">
      <c r="A8" s="1281"/>
      <c r="B8" s="1281"/>
      <c r="C8" s="1281"/>
      <c r="D8" s="1281"/>
      <c r="E8" s="2643"/>
      <c r="F8" s="2643"/>
      <c r="G8" s="2643"/>
      <c r="H8" s="2643"/>
      <c r="I8" s="2645"/>
      <c r="J8" s="2645"/>
      <c r="K8" s="2644" t="e">
        <f>S4&amp;".1"</f>
        <v>#N/A</v>
      </c>
      <c r="L8" s="1282"/>
      <c r="P8" s="2646"/>
      <c r="Q8" s="2646"/>
      <c r="R8" s="2702">
        <v>1</v>
      </c>
      <c r="S8" s="2699" t="e">
        <f>$K8</f>
        <v>#N/A</v>
      </c>
      <c r="T8" s="2719"/>
      <c r="U8" s="237"/>
      <c r="V8" s="687"/>
      <c r="W8" s="1175"/>
      <c r="X8" s="687"/>
      <c r="Y8" s="1175"/>
      <c r="Z8" s="1651"/>
      <c r="AA8" s="1377" t="s">
        <v>65</v>
      </c>
      <c r="AB8" s="1651"/>
      <c r="AC8" s="1377" t="s">
        <v>65</v>
      </c>
      <c r="AD8" s="2586" t="s">
        <v>65</v>
      </c>
      <c r="AE8" s="2695"/>
      <c r="AF8" s="2599">
        <v>1</v>
      </c>
      <c r="AG8" s="2718"/>
      <c r="AH8" s="2524" t="s">
        <v>65</v>
      </c>
      <c r="AI8" s="2695"/>
      <c r="AJ8" s="2599">
        <v>1</v>
      </c>
      <c r="AK8" s="2709" t="s">
        <v>22</v>
      </c>
      <c r="AL8" s="2524" t="s">
        <v>65</v>
      </c>
      <c r="AM8" s="2574"/>
      <c r="AN8" s="2599">
        <v>1</v>
      </c>
      <c r="AO8" s="2722"/>
      <c r="AP8" s="2723" t="s">
        <v>65</v>
      </c>
      <c r="AQ8" s="248"/>
      <c r="AR8" s="1381">
        <v>1</v>
      </c>
      <c r="AS8" s="1384" t="s">
        <v>22</v>
      </c>
      <c r="AT8" s="687"/>
      <c r="AU8" s="1175"/>
      <c r="AV8" s="687"/>
      <c r="AW8" s="1175"/>
      <c r="AX8" s="1651"/>
      <c r="AY8" s="1377" t="s">
        <v>65</v>
      </c>
      <c r="AZ8" s="1651"/>
      <c r="BA8" s="1377" t="s">
        <v>65</v>
      </c>
      <c r="BB8" s="1266"/>
      <c r="BC8" s="2665" t="s">
        <v>492</v>
      </c>
      <c r="BE8" s="436"/>
      <c r="BF8" s="436" t="str">
        <f t="shared" si="0"/>
        <v/>
      </c>
      <c r="BG8" s="436"/>
      <c r="BH8" s="436"/>
      <c r="BI8" s="1073">
        <v>0</v>
      </c>
    </row>
    <row r="9" spans="1:61" ht="11.25" hidden="1" customHeight="1">
      <c r="A9" s="1281"/>
      <c r="B9" s="1281"/>
      <c r="C9" s="1281"/>
      <c r="D9" s="1281"/>
      <c r="E9" s="2643"/>
      <c r="F9" s="2643"/>
      <c r="G9" s="2643"/>
      <c r="H9" s="2643"/>
      <c r="I9" s="2645"/>
      <c r="J9" s="2645"/>
      <c r="K9" s="2644"/>
      <c r="L9" s="1282"/>
      <c r="P9" s="2646"/>
      <c r="Q9" s="2646"/>
      <c r="R9" s="2702"/>
      <c r="S9" s="2700"/>
      <c r="T9" s="2720"/>
      <c r="U9" s="237"/>
      <c r="V9" s="1311"/>
      <c r="W9" s="1414"/>
      <c r="X9" s="1311"/>
      <c r="Y9" s="1414"/>
      <c r="Z9" s="1311"/>
      <c r="AA9" s="1311"/>
      <c r="AB9" s="1311"/>
      <c r="AC9" s="1311"/>
      <c r="AD9" s="2587"/>
      <c r="AE9" s="2695"/>
      <c r="AF9" s="2599"/>
      <c r="AG9" s="2718"/>
      <c r="AH9" s="2524"/>
      <c r="AI9" s="2695"/>
      <c r="AJ9" s="2599"/>
      <c r="AK9" s="2709"/>
      <c r="AL9" s="2524"/>
      <c r="AM9" s="2579"/>
      <c r="AN9" s="2599"/>
      <c r="AO9" s="2722"/>
      <c r="AP9" s="2724"/>
      <c r="AQ9" s="253"/>
      <c r="AR9" s="352"/>
      <c r="AS9" s="352" t="s">
        <v>493</v>
      </c>
      <c r="AT9" s="1311"/>
      <c r="AU9" s="1414"/>
      <c r="AV9" s="1311"/>
      <c r="AW9" s="1414"/>
      <c r="AX9" s="1311"/>
      <c r="AY9" s="1311"/>
      <c r="AZ9" s="1311"/>
      <c r="BA9" s="1311"/>
      <c r="BB9" s="1315"/>
      <c r="BC9" s="2666"/>
      <c r="BE9" s="436"/>
      <c r="BF9" s="436"/>
      <c r="BG9" s="436"/>
      <c r="BH9" s="436"/>
      <c r="BI9" s="1073">
        <v>0</v>
      </c>
    </row>
    <row r="10" spans="1:61" ht="11.25" hidden="1" customHeight="1">
      <c r="A10" s="1281"/>
      <c r="B10" s="1281"/>
      <c r="C10" s="1281"/>
      <c r="D10" s="1281"/>
      <c r="E10" s="2643"/>
      <c r="F10" s="2643"/>
      <c r="G10" s="2643"/>
      <c r="H10" s="2643"/>
      <c r="I10" s="2645"/>
      <c r="J10" s="2645"/>
      <c r="K10" s="2644"/>
      <c r="L10" s="1282"/>
      <c r="P10" s="2646"/>
      <c r="Q10" s="2646"/>
      <c r="R10" s="2702"/>
      <c r="S10" s="2700"/>
      <c r="T10" s="2720"/>
      <c r="U10" s="237"/>
      <c r="V10" s="1311"/>
      <c r="W10" s="1414"/>
      <c r="X10" s="1311"/>
      <c r="Y10" s="1414"/>
      <c r="Z10" s="1311"/>
      <c r="AA10" s="1311"/>
      <c r="AB10" s="1311"/>
      <c r="AC10" s="1311"/>
      <c r="AD10" s="2587"/>
      <c r="AE10" s="2695"/>
      <c r="AF10" s="2599"/>
      <c r="AG10" s="2718"/>
      <c r="AH10" s="2524"/>
      <c r="AI10" s="2695"/>
      <c r="AJ10" s="2599"/>
      <c r="AK10" s="2709"/>
      <c r="AL10" s="2524"/>
      <c r="AM10" s="253"/>
      <c r="AN10" s="1418"/>
      <c r="AO10" s="1418" t="s">
        <v>494</v>
      </c>
      <c r="AP10" s="352"/>
      <c r="AQ10" s="352"/>
      <c r="AR10" s="352"/>
      <c r="AS10" s="1311"/>
      <c r="AT10" s="1311"/>
      <c r="AU10" s="1414"/>
      <c r="AV10" s="1311"/>
      <c r="AW10" s="1414"/>
      <c r="AX10" s="1311"/>
      <c r="AY10" s="1311"/>
      <c r="AZ10" s="1311"/>
      <c r="BA10" s="1311"/>
      <c r="BB10" s="1315"/>
      <c r="BC10" s="2666"/>
      <c r="BE10" s="436"/>
      <c r="BF10" s="436"/>
      <c r="BG10" s="436"/>
      <c r="BH10" s="436"/>
      <c r="BI10" s="1073">
        <v>0</v>
      </c>
    </row>
    <row r="11" spans="1:61" ht="11.25" hidden="1" customHeight="1">
      <c r="A11" s="1281"/>
      <c r="B11" s="1281"/>
      <c r="C11" s="1281"/>
      <c r="D11" s="1281"/>
      <c r="E11" s="2643"/>
      <c r="F11" s="2643"/>
      <c r="G11" s="2643"/>
      <c r="H11" s="2643"/>
      <c r="I11" s="2645"/>
      <c r="J11" s="2645"/>
      <c r="K11" s="2644"/>
      <c r="L11" s="1282"/>
      <c r="P11" s="2646"/>
      <c r="Q11" s="2646"/>
      <c r="R11" s="2702"/>
      <c r="S11" s="2700"/>
      <c r="T11" s="2720"/>
      <c r="U11" s="237"/>
      <c r="V11" s="1311"/>
      <c r="W11" s="1414"/>
      <c r="X11" s="1311"/>
      <c r="Y11" s="1414"/>
      <c r="Z11" s="1311"/>
      <c r="AA11" s="1311"/>
      <c r="AB11" s="1311"/>
      <c r="AC11" s="1311"/>
      <c r="AD11" s="2587"/>
      <c r="AE11" s="2695"/>
      <c r="AF11" s="2599"/>
      <c r="AG11" s="2718"/>
      <c r="AH11" s="2524"/>
      <c r="AI11" s="231"/>
      <c r="AJ11" s="351"/>
      <c r="AK11" s="250" t="s">
        <v>495</v>
      </c>
      <c r="AL11" s="1311"/>
      <c r="AM11" s="1311"/>
      <c r="AN11" s="1311"/>
      <c r="AO11" s="1311"/>
      <c r="AP11" s="1311"/>
      <c r="AQ11" s="1311"/>
      <c r="AR11" s="1311"/>
      <c r="AS11" s="1311"/>
      <c r="AT11" s="1311"/>
      <c r="AU11" s="1414"/>
      <c r="AV11" s="1311"/>
      <c r="AW11" s="1414"/>
      <c r="AX11" s="1311"/>
      <c r="AY11" s="1311"/>
      <c r="AZ11" s="1311"/>
      <c r="BA11" s="1311"/>
      <c r="BB11" s="1315"/>
      <c r="BC11" s="2666"/>
      <c r="BE11" s="436"/>
      <c r="BF11" s="436"/>
      <c r="BG11" s="436"/>
      <c r="BH11" s="436"/>
      <c r="BI11" s="1073">
        <v>0</v>
      </c>
    </row>
    <row r="12" spans="1:61" ht="11.25" hidden="1" customHeight="1">
      <c r="A12" s="1281"/>
      <c r="B12" s="1281"/>
      <c r="C12" s="1281"/>
      <c r="D12" s="1281"/>
      <c r="E12" s="2643"/>
      <c r="F12" s="2643"/>
      <c r="G12" s="2643"/>
      <c r="H12" s="2643"/>
      <c r="I12" s="2645"/>
      <c r="J12" s="2645"/>
      <c r="K12" s="2644"/>
      <c r="L12" s="1282"/>
      <c r="P12" s="2646"/>
      <c r="Q12" s="2646"/>
      <c r="R12" s="2702"/>
      <c r="S12" s="2701"/>
      <c r="T12" s="2721"/>
      <c r="U12" s="237"/>
      <c r="V12" s="1311"/>
      <c r="W12" s="1312" t="str">
        <f>Z8&amp;"-"&amp;AB8</f>
        <v>-</v>
      </c>
      <c r="X12" s="1311"/>
      <c r="Y12" s="1312" t="str">
        <f>AB8&amp;"-"&amp;AD8</f>
        <v>-да</v>
      </c>
      <c r="Z12" s="1311"/>
      <c r="AA12" s="1311"/>
      <c r="AB12" s="1311"/>
      <c r="AC12" s="1311"/>
      <c r="AD12" s="2529"/>
      <c r="AE12" s="249"/>
      <c r="AF12" s="251"/>
      <c r="AG12" s="352" t="s">
        <v>496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66"/>
      <c r="BE12" s="436"/>
      <c r="BF12" s="436" t="str">
        <f t="shared" ref="BF12:BF18" si="1">IF(T12="","",T12)</f>
        <v/>
      </c>
      <c r="BG12" s="436"/>
      <c r="BH12" s="436"/>
      <c r="BI12" s="1073">
        <v>0</v>
      </c>
    </row>
    <row r="13" spans="1:61" ht="11.25" hidden="1" customHeight="1">
      <c r="A13" s="1281"/>
      <c r="B13" s="1281"/>
      <c r="C13" s="1281"/>
      <c r="D13" s="1281"/>
      <c r="E13" s="2643"/>
      <c r="F13" s="2643"/>
      <c r="G13" s="2643"/>
      <c r="H13" s="2643"/>
      <c r="I13" s="2645"/>
      <c r="J13" s="2644"/>
      <c r="K13" s="1281"/>
      <c r="L13" s="1282"/>
      <c r="P13" s="2646"/>
      <c r="Q13" s="2646"/>
      <c r="R13" s="292"/>
      <c r="S13" s="1196"/>
      <c r="T13" s="224" t="s">
        <v>459</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7"/>
      <c r="BE13" s="436"/>
      <c r="BF13" s="436" t="str">
        <f t="shared" si="1"/>
        <v>Добавить строку</v>
      </c>
      <c r="BG13" s="436"/>
      <c r="BH13" s="436"/>
      <c r="BI13" s="1073">
        <v>0</v>
      </c>
    </row>
    <row r="14" spans="1:61" s="2407" customFormat="1" ht="14.25" hidden="1" customHeight="1">
      <c r="A14" s="1261"/>
      <c r="B14" s="1261"/>
      <c r="C14" s="1261"/>
      <c r="D14" s="1261"/>
      <c r="E14" s="2643"/>
      <c r="F14" s="2643"/>
      <c r="G14" s="2643"/>
      <c r="H14" s="2643"/>
      <c r="I14" s="2644"/>
      <c r="J14" s="1261"/>
      <c r="K14" s="1261"/>
      <c r="L14" s="1264"/>
      <c r="M14" s="446"/>
      <c r="N14" s="446"/>
      <c r="O14" s="446"/>
      <c r="P14" s="2646"/>
      <c r="Q14" s="1380"/>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407" customFormat="1" ht="14.25" hidden="1" customHeight="1">
      <c r="A15" s="1261"/>
      <c r="B15" s="1261"/>
      <c r="C15" s="1261"/>
      <c r="D15" s="1261"/>
      <c r="E15" s="2643"/>
      <c r="F15" s="2643"/>
      <c r="G15" s="2643"/>
      <c r="H15" s="2642"/>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407" customFormat="1" ht="14.25" hidden="1" customHeight="1">
      <c r="A16" s="1261"/>
      <c r="B16" s="1261"/>
      <c r="C16" s="1261"/>
      <c r="D16" s="1232"/>
      <c r="E16" s="2643"/>
      <c r="F16" s="2643"/>
      <c r="G16" s="2642"/>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407" customFormat="1" ht="14.25" hidden="1" customHeight="1">
      <c r="A17" s="1261"/>
      <c r="B17" s="1261"/>
      <c r="C17" s="1232"/>
      <c r="D17" s="1232"/>
      <c r="E17" s="2643"/>
      <c r="F17" s="2642"/>
      <c r="G17" s="1232"/>
      <c r="H17" s="1232"/>
      <c r="I17" s="1232"/>
      <c r="J17" s="1232"/>
      <c r="K17" s="1232"/>
      <c r="L17" s="1382"/>
      <c r="M17" s="1239"/>
      <c r="N17" s="1239"/>
      <c r="P17" s="1234"/>
      <c r="Q17" s="1235"/>
      <c r="R17" s="1234"/>
      <c r="S17" s="1240"/>
      <c r="T17" s="1243" t="s">
        <v>406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407" customFormat="1" ht="14.25" hidden="1" customHeight="1">
      <c r="A18" s="1261"/>
      <c r="B18" s="1261"/>
      <c r="C18" s="1261"/>
      <c r="D18" s="1261"/>
      <c r="E18" s="2642"/>
      <c r="F18" s="1261"/>
      <c r="G18" s="1261"/>
      <c r="H18" s="1261"/>
      <c r="I18" s="1261"/>
      <c r="J18" s="1261"/>
      <c r="K18" s="1261"/>
      <c r="L18" s="1264"/>
      <c r="M18" s="1239"/>
      <c r="N18" s="1239"/>
      <c r="O18" s="454"/>
      <c r="P18" s="316"/>
      <c r="Q18" s="1262"/>
      <c r="R18" s="316"/>
      <c r="S18" s="1240"/>
      <c r="T18" s="1243" t="s">
        <v>407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378" t="s">
        <v>65</v>
      </c>
      <c r="AZ20" s="1653"/>
      <c r="BA20" s="1378" t="s">
        <v>65</v>
      </c>
      <c r="BI20" s="1073">
        <v>0</v>
      </c>
    </row>
    <row r="21" spans="1:61" ht="14.25" hidden="1" customHeight="1">
      <c r="BD21" s="432"/>
      <c r="BE21" s="432"/>
      <c r="BF21" s="432"/>
      <c r="BG21" s="432"/>
      <c r="BH21" s="432"/>
      <c r="BI21" s="1073">
        <v>0</v>
      </c>
    </row>
    <row r="22" spans="1:61" ht="14.25" hidden="1" customHeight="1">
      <c r="O22" s="1285" t="s">
        <v>408</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437" customFormat="1" ht="14.25" hidden="1" customHeight="1">
      <c r="M24" s="1426"/>
      <c r="N24" s="1426"/>
      <c r="O24" s="1427" t="s">
        <v>409</v>
      </c>
      <c r="P24" s="1426"/>
      <c r="Q24" s="1428"/>
      <c r="R24" s="1428"/>
      <c r="AA24" s="1425" t="s">
        <v>411</v>
      </c>
      <c r="AC24" s="1425" t="s">
        <v>412</v>
      </c>
      <c r="AD24" s="1425" t="s">
        <v>460</v>
      </c>
      <c r="AH24" s="1425" t="s">
        <v>460</v>
      </c>
      <c r="AK24" s="1425" t="s">
        <v>497</v>
      </c>
      <c r="AL24" s="1425" t="s">
        <v>460</v>
      </c>
      <c r="AP24" s="1425" t="s">
        <v>460</v>
      </c>
      <c r="AY24" s="1425" t="s">
        <v>411</v>
      </c>
      <c r="BA24" s="1425" t="s">
        <v>412</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62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23"/>
      <c r="U28" s="2623"/>
      <c r="V28" s="2623"/>
      <c r="W28" s="2623"/>
      <c r="X28" s="2623"/>
      <c r="Y28" s="2623"/>
      <c r="Z28" s="2623"/>
      <c r="AA28" s="2623"/>
      <c r="AB28" s="2623"/>
      <c r="AC28" s="2623"/>
      <c r="AD28" s="2623"/>
      <c r="AE28" s="2623"/>
      <c r="AF28" s="2623"/>
      <c r="AG28" s="2623"/>
      <c r="AH28" s="2623"/>
      <c r="AI28" s="2623"/>
      <c r="AJ28" s="2623"/>
      <c r="AK28" s="2623"/>
      <c r="AL28" s="2623"/>
      <c r="AM28" s="2623"/>
      <c r="AN28" s="2623"/>
      <c r="AO28" s="2623"/>
      <c r="AP28" s="2623"/>
      <c r="AQ28" s="2623"/>
      <c r="AR28" s="2623"/>
      <c r="AS28" s="2623"/>
      <c r="AT28" s="2623"/>
      <c r="AU28" s="2623"/>
      <c r="AV28" s="2623"/>
      <c r="AW28" s="2623"/>
      <c r="AX28" s="2623"/>
      <c r="AY28" s="2623"/>
      <c r="AZ28" s="2623"/>
      <c r="BA28" s="1161"/>
      <c r="BI28" s="1073">
        <v>14</v>
      </c>
    </row>
    <row r="29" spans="1:61" ht="14.65" customHeight="1">
      <c r="Q29" s="228"/>
      <c r="R29" s="312"/>
      <c r="S29" s="2595" t="str">
        <f>IF(org=0,"Не определено",org)</f>
        <v>ПАО "ТГК-1" (филиал "Кольский")</v>
      </c>
      <c r="T29" s="2595"/>
      <c r="U29" s="2595"/>
      <c r="V29" s="2595"/>
      <c r="W29" s="2595"/>
      <c r="X29" s="2595"/>
      <c r="Y29" s="2595"/>
      <c r="Z29" s="2595"/>
      <c r="AA29" s="2595"/>
      <c r="AB29" s="2595"/>
      <c r="AC29" s="2595"/>
      <c r="AD29" s="2595"/>
      <c r="AE29" s="2595"/>
      <c r="AF29" s="2595"/>
      <c r="AG29" s="2595"/>
      <c r="AH29" s="2595"/>
      <c r="AI29" s="2595"/>
      <c r="AJ29" s="2595"/>
      <c r="AK29" s="2595"/>
      <c r="AL29" s="2595"/>
      <c r="AM29" s="2595"/>
      <c r="AN29" s="2595"/>
      <c r="AO29" s="2595"/>
      <c r="AP29" s="2595"/>
      <c r="AQ29" s="2595"/>
      <c r="AR29" s="2595"/>
      <c r="AS29" s="2595"/>
      <c r="AT29" s="2595"/>
      <c r="AU29" s="2595"/>
      <c r="AV29" s="2595"/>
      <c r="AW29" s="2595"/>
      <c r="AX29" s="2595"/>
      <c r="AY29" s="2595"/>
      <c r="AZ29" s="2595"/>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416" customFormat="1" ht="25.5" hidden="1" customHeight="1">
      <c r="A31" s="1286"/>
      <c r="B31" s="1286"/>
      <c r="C31" s="1286"/>
      <c r="D31" s="1286"/>
      <c r="E31" s="1286"/>
      <c r="F31" s="1286"/>
      <c r="G31" s="1286"/>
      <c r="H31" s="1286"/>
      <c r="I31" s="1286"/>
      <c r="J31" s="1286"/>
      <c r="K31" s="1286"/>
      <c r="L31" s="1287"/>
      <c r="M31" s="1286"/>
      <c r="N31" s="1286"/>
      <c r="O31" s="1286"/>
      <c r="P31" s="1286"/>
      <c r="Q31" s="1286"/>
      <c r="S31" s="2633" t="s">
        <v>41</v>
      </c>
      <c r="T31" s="2633"/>
      <c r="U31" s="1290"/>
      <c r="V31" s="2635" t="str">
        <f>IF(TITLE_NAME_OR_PR_CHANGE="",IF(TITLE_NAME_OR_PR="","",TITLE_NAME_OR_PR),TITLE_NAME_OR_PR_CHANGE)</f>
        <v/>
      </c>
      <c r="W31" s="2635"/>
      <c r="X31" s="2635"/>
      <c r="Y31" s="2635"/>
      <c r="Z31" s="2635"/>
      <c r="AA31" s="2635"/>
      <c r="AB31" s="2635"/>
      <c r="AC31" s="263"/>
      <c r="AD31" s="2635" t="str">
        <f>IF(TITLE_NAME_OR_PR_CHANGE="",IF(TITLE_NAME_OR_PR="","",TITLE_NAME_OR_PR),TITLE_NAME_OR_PR_CHANGE)</f>
        <v/>
      </c>
      <c r="AE31" s="2635"/>
      <c r="AF31" s="2635"/>
      <c r="AG31" s="2635"/>
      <c r="AH31" s="2635"/>
      <c r="AI31" s="2635"/>
      <c r="AJ31" s="2635"/>
      <c r="AK31" s="2635"/>
      <c r="AL31" s="2635"/>
      <c r="AM31" s="2635"/>
      <c r="AN31" s="2635"/>
      <c r="AO31" s="2635"/>
      <c r="AP31" s="2635"/>
      <c r="AQ31" s="2635"/>
      <c r="AR31" s="2635"/>
      <c r="AS31" s="2635"/>
      <c r="AT31" s="2635"/>
      <c r="AU31" s="2635"/>
      <c r="AV31" s="2635"/>
      <c r="AW31" s="2635"/>
      <c r="AX31" s="2635"/>
      <c r="AY31" s="2635"/>
      <c r="AZ31" s="2635"/>
      <c r="BA31" s="263"/>
      <c r="BB31" s="263"/>
      <c r="BC31" s="217"/>
      <c r="BD31" s="304"/>
      <c r="BE31" s="304"/>
      <c r="BF31" s="304"/>
      <c r="BG31" s="304"/>
      <c r="BH31" s="304"/>
      <c r="BI31" s="354">
        <v>0</v>
      </c>
    </row>
    <row r="32" spans="1:61" s="2416" customFormat="1" ht="18.75" hidden="1" customHeight="1">
      <c r="A32" s="1286"/>
      <c r="B32" s="1286"/>
      <c r="C32" s="1286"/>
      <c r="D32" s="1286"/>
      <c r="E32" s="1286"/>
      <c r="F32" s="1286"/>
      <c r="G32" s="1286"/>
      <c r="H32" s="1286"/>
      <c r="I32" s="1286"/>
      <c r="J32" s="1286"/>
      <c r="K32" s="1286"/>
      <c r="L32" s="1287"/>
      <c r="M32" s="1286"/>
      <c r="N32" s="1286"/>
      <c r="O32" s="1286"/>
      <c r="P32" s="1286"/>
      <c r="Q32" s="1286"/>
      <c r="S32" s="2633" t="s">
        <v>414</v>
      </c>
      <c r="T32" s="2633"/>
      <c r="U32" s="1290"/>
      <c r="V32" s="2634" t="str">
        <f>IF(TITLE_DATE_PR_CHANGE="",IF(TITLE_DATE_PR="","",TITLE_DATE_PR),TITLE_DATE_PR_CHANGE)</f>
        <v/>
      </c>
      <c r="W32" s="2634"/>
      <c r="X32" s="2634"/>
      <c r="Y32" s="2634"/>
      <c r="Z32" s="2634"/>
      <c r="AA32" s="2634"/>
      <c r="AB32" s="2634"/>
      <c r="AC32" s="263"/>
      <c r="AD32" s="2634" t="str">
        <f>IF(TITLE_DATE_PR_CHANGE="",IF(TITLE_DATE_PR="","",TITLE_DATE_PR),TITLE_DATE_PR_CHANGE)</f>
        <v/>
      </c>
      <c r="AE32" s="2634"/>
      <c r="AF32" s="2634"/>
      <c r="AG32" s="2634"/>
      <c r="AH32" s="2634"/>
      <c r="AI32" s="2634"/>
      <c r="AJ32" s="2634"/>
      <c r="AK32" s="2634"/>
      <c r="AL32" s="2634"/>
      <c r="AM32" s="2634"/>
      <c r="AN32" s="2634"/>
      <c r="AO32" s="2634"/>
      <c r="AP32" s="2634"/>
      <c r="AQ32" s="2634"/>
      <c r="AR32" s="2634"/>
      <c r="AS32" s="2634"/>
      <c r="AT32" s="2634"/>
      <c r="AU32" s="2634"/>
      <c r="AV32" s="2634"/>
      <c r="AW32" s="2634"/>
      <c r="AX32" s="2634"/>
      <c r="AY32" s="2634"/>
      <c r="AZ32" s="2634"/>
      <c r="BA32" s="263"/>
      <c r="BB32" s="263"/>
      <c r="BC32" s="217"/>
      <c r="BD32" s="304"/>
      <c r="BE32" s="304"/>
      <c r="BF32" s="304"/>
      <c r="BG32" s="304"/>
      <c r="BH32" s="304"/>
      <c r="BI32" s="354">
        <v>0</v>
      </c>
    </row>
    <row r="33" spans="1:61" s="2416" customFormat="1" ht="18.75" hidden="1" customHeight="1">
      <c r="A33" s="1286"/>
      <c r="B33" s="1286"/>
      <c r="C33" s="1286"/>
      <c r="D33" s="1286"/>
      <c r="E33" s="1286"/>
      <c r="F33" s="1286"/>
      <c r="G33" s="1286"/>
      <c r="H33" s="1286"/>
      <c r="I33" s="1286"/>
      <c r="J33" s="1286"/>
      <c r="K33" s="1286"/>
      <c r="L33" s="1287"/>
      <c r="M33" s="1286"/>
      <c r="N33" s="1286"/>
      <c r="O33" s="1286"/>
      <c r="P33" s="1286"/>
      <c r="Q33" s="1286"/>
      <c r="S33" s="2633" t="s">
        <v>415</v>
      </c>
      <c r="T33" s="2633"/>
      <c r="U33" s="1290"/>
      <c r="V33" s="2635" t="str">
        <f>IF(TITLE_NUMBER_PR_CHANGE="",IF(TITLE_NUMBER_PR="","",TITLE_NUMBER_PR),TITLE_NUMBER_PR_CHANGE)</f>
        <v/>
      </c>
      <c r="W33" s="2635"/>
      <c r="X33" s="2635"/>
      <c r="Y33" s="2635"/>
      <c r="Z33" s="2635"/>
      <c r="AA33" s="2635"/>
      <c r="AB33" s="2635"/>
      <c r="AC33" s="263"/>
      <c r="AD33" s="2635" t="str">
        <f>IF(TITLE_NUMBER_PR_CHANGE="",IF(TITLE_NUMBER_PR="","",TITLE_NUMBER_PR),TITLE_NUMBER_PR_CHANGE)</f>
        <v/>
      </c>
      <c r="AE33" s="2635"/>
      <c r="AF33" s="2635"/>
      <c r="AG33" s="2635"/>
      <c r="AH33" s="2635"/>
      <c r="AI33" s="2635"/>
      <c r="AJ33" s="2635"/>
      <c r="AK33" s="2635"/>
      <c r="AL33" s="2635"/>
      <c r="AM33" s="2635"/>
      <c r="AN33" s="2635"/>
      <c r="AO33" s="2635"/>
      <c r="AP33" s="2635"/>
      <c r="AQ33" s="2635"/>
      <c r="AR33" s="2635"/>
      <c r="AS33" s="2635"/>
      <c r="AT33" s="2635"/>
      <c r="AU33" s="2635"/>
      <c r="AV33" s="2635"/>
      <c r="AW33" s="2635"/>
      <c r="AX33" s="2635"/>
      <c r="AY33" s="2635"/>
      <c r="AZ33" s="2635"/>
      <c r="BA33" s="263"/>
      <c r="BB33" s="263"/>
      <c r="BC33" s="217"/>
      <c r="BD33" s="304"/>
      <c r="BE33" s="304"/>
      <c r="BF33" s="304"/>
      <c r="BG33" s="304"/>
      <c r="BH33" s="304"/>
      <c r="BI33" s="354">
        <v>0</v>
      </c>
    </row>
    <row r="34" spans="1:61" s="2416" customFormat="1" ht="18.75" hidden="1" customHeight="1">
      <c r="A34" s="1286"/>
      <c r="B34" s="1286"/>
      <c r="C34" s="1286"/>
      <c r="D34" s="1286"/>
      <c r="E34" s="1286"/>
      <c r="F34" s="1286"/>
      <c r="G34" s="1286"/>
      <c r="H34" s="1286"/>
      <c r="I34" s="1286"/>
      <c r="J34" s="1286"/>
      <c r="K34" s="1286"/>
      <c r="L34" s="1287"/>
      <c r="M34" s="1286"/>
      <c r="N34" s="1286"/>
      <c r="O34" s="1286"/>
      <c r="P34" s="1286"/>
      <c r="Q34" s="1286"/>
      <c r="S34" s="2633" t="s">
        <v>42</v>
      </c>
      <c r="T34" s="2633"/>
      <c r="U34" s="1290"/>
      <c r="V34" s="2635" t="str">
        <f>IF(TITLE_IST_PUB_CHANGE="",IF(TITLE_IST_PUB="","",TITLE_IST_PUB),TITLE_IST_PUB_CHANGE)</f>
        <v/>
      </c>
      <c r="W34" s="2635"/>
      <c r="X34" s="2635"/>
      <c r="Y34" s="2635"/>
      <c r="Z34" s="2635"/>
      <c r="AA34" s="2635"/>
      <c r="AB34" s="2635"/>
      <c r="AC34" s="263"/>
      <c r="AD34" s="2635" t="str">
        <f>IF(TITLE_IST_PUB_CHANGE="",IF(TITLE_IST_PUB="","",TITLE_IST_PUB),TITLE_IST_PUB_CHANGE)</f>
        <v/>
      </c>
      <c r="AE34" s="2635"/>
      <c r="AF34" s="2635"/>
      <c r="AG34" s="2635"/>
      <c r="AH34" s="2635"/>
      <c r="AI34" s="2635"/>
      <c r="AJ34" s="2635"/>
      <c r="AK34" s="2635"/>
      <c r="AL34" s="2635"/>
      <c r="AM34" s="2635"/>
      <c r="AN34" s="2635"/>
      <c r="AO34" s="2635"/>
      <c r="AP34" s="2635"/>
      <c r="AQ34" s="2635"/>
      <c r="AR34" s="2635"/>
      <c r="AS34" s="2635"/>
      <c r="AT34" s="2635"/>
      <c r="AU34" s="2635"/>
      <c r="AV34" s="2635"/>
      <c r="AW34" s="2635"/>
      <c r="AX34" s="2635"/>
      <c r="AY34" s="2635"/>
      <c r="AZ34" s="2635"/>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416" customFormat="1" ht="18.75" hidden="1" customHeight="1">
      <c r="A36" s="1286"/>
      <c r="B36" s="1286"/>
      <c r="C36" s="1286"/>
      <c r="D36" s="1286"/>
      <c r="E36" s="1286"/>
      <c r="F36" s="1286"/>
      <c r="G36" s="1286"/>
      <c r="H36" s="1286"/>
      <c r="I36" s="1286"/>
      <c r="J36" s="1286"/>
      <c r="K36" s="1286"/>
      <c r="L36" s="1287"/>
      <c r="M36" s="1286"/>
      <c r="N36" s="1286"/>
      <c r="O36" s="1286"/>
      <c r="P36" s="1286"/>
      <c r="Q36" s="1286"/>
      <c r="S36" s="2633" t="s">
        <v>414</v>
      </c>
      <c r="T36" s="2633"/>
      <c r="U36" s="1290"/>
      <c r="V36" s="2634" t="str">
        <f>IF(TITLE_DATE_PR_CHANGE="",IF(TITLE_DATE_PR="","",TITLE_DATE_PR),TITLE_DATE_PR_CHANGE)</f>
        <v/>
      </c>
      <c r="W36" s="2634"/>
      <c r="X36" s="2634"/>
      <c r="Y36" s="2634"/>
      <c r="Z36" s="2634"/>
      <c r="AA36" s="2634"/>
      <c r="AB36" s="2634"/>
      <c r="AC36" s="263"/>
      <c r="AD36" s="2634" t="str">
        <f>IF(TITLE_DATE_PR_CHANGE="",IF(TITLE_DATE_PR="","",TITLE_DATE_PR),TITLE_DATE_PR_CHANGE)</f>
        <v/>
      </c>
      <c r="AE36" s="2634"/>
      <c r="AF36" s="2634"/>
      <c r="AG36" s="2634"/>
      <c r="AH36" s="2634"/>
      <c r="AI36" s="2634"/>
      <c r="AJ36" s="2634"/>
      <c r="AK36" s="2634"/>
      <c r="AL36" s="2634"/>
      <c r="AM36" s="2634"/>
      <c r="AN36" s="2634"/>
      <c r="AO36" s="2634"/>
      <c r="AP36" s="2634"/>
      <c r="AQ36" s="2634"/>
      <c r="AR36" s="2634"/>
      <c r="AS36" s="2634"/>
      <c r="AT36" s="2634"/>
      <c r="AU36" s="2634"/>
      <c r="AV36" s="2634"/>
      <c r="AW36" s="2634"/>
      <c r="AX36" s="2634"/>
      <c r="AY36" s="2634"/>
      <c r="AZ36" s="2634"/>
      <c r="BA36" s="263"/>
      <c r="BB36" s="263"/>
      <c r="BC36" s="217"/>
      <c r="BD36" s="304"/>
      <c r="BE36" s="304"/>
      <c r="BF36" s="304"/>
      <c r="BG36" s="304"/>
      <c r="BH36" s="304"/>
      <c r="BI36" s="354">
        <v>0</v>
      </c>
    </row>
    <row r="37" spans="1:61" s="2416" customFormat="1" ht="18.75" hidden="1" customHeight="1">
      <c r="A37" s="1286"/>
      <c r="B37" s="1286"/>
      <c r="C37" s="1286"/>
      <c r="D37" s="1286"/>
      <c r="E37" s="1286"/>
      <c r="F37" s="1286"/>
      <c r="G37" s="1286"/>
      <c r="H37" s="1286"/>
      <c r="I37" s="1286"/>
      <c r="J37" s="1286"/>
      <c r="K37" s="1286"/>
      <c r="L37" s="1287"/>
      <c r="M37" s="1286"/>
      <c r="N37" s="1286"/>
      <c r="O37" s="1286"/>
      <c r="P37" s="1286"/>
      <c r="Q37" s="1286"/>
      <c r="S37" s="2633" t="s">
        <v>415</v>
      </c>
      <c r="T37" s="2633"/>
      <c r="U37" s="1290"/>
      <c r="V37" s="2635" t="str">
        <f>IF(TITLE_NUMBER_PR_CHANGE="",IF(TITLE_NUMBER_PR="","",TITLE_NUMBER_PR),TITLE_NUMBER_PR_CHANGE)</f>
        <v/>
      </c>
      <c r="W37" s="2635"/>
      <c r="X37" s="2635"/>
      <c r="Y37" s="2635"/>
      <c r="Z37" s="2635"/>
      <c r="AA37" s="2635"/>
      <c r="AB37" s="2635"/>
      <c r="AC37" s="263"/>
      <c r="AD37" s="2635" t="str">
        <f>IF(TITLE_NUMBER_PR_CHANGE="",IF(TITLE_NUMBER_PR="","",TITLE_NUMBER_PR),TITLE_NUMBER_PR_CHANGE)</f>
        <v/>
      </c>
      <c r="AE37" s="2635"/>
      <c r="AF37" s="2635"/>
      <c r="AG37" s="2635"/>
      <c r="AH37" s="2635"/>
      <c r="AI37" s="2635"/>
      <c r="AJ37" s="2635"/>
      <c r="AK37" s="2635"/>
      <c r="AL37" s="2635"/>
      <c r="AM37" s="2635"/>
      <c r="AN37" s="2635"/>
      <c r="AO37" s="2635"/>
      <c r="AP37" s="2635"/>
      <c r="AQ37" s="2635"/>
      <c r="AR37" s="2635"/>
      <c r="AS37" s="2635"/>
      <c r="AT37" s="2635"/>
      <c r="AU37" s="2635"/>
      <c r="AV37" s="2635"/>
      <c r="AW37" s="2635"/>
      <c r="AX37" s="2635"/>
      <c r="AY37" s="2635"/>
      <c r="AZ37" s="2635"/>
      <c r="BA37" s="263"/>
      <c r="BB37" s="263"/>
      <c r="BC37" s="217"/>
      <c r="BD37" s="304"/>
      <c r="BE37" s="304"/>
      <c r="BF37" s="304"/>
      <c r="BG37" s="304"/>
      <c r="BH37" s="304"/>
      <c r="BI37" s="354">
        <v>0</v>
      </c>
    </row>
    <row r="38" spans="1:61" s="2416"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372"/>
      <c r="V38" s="263"/>
      <c r="W38" s="263"/>
      <c r="X38" s="263"/>
      <c r="Y38" s="263"/>
      <c r="Z38" s="263"/>
      <c r="AA38" s="263"/>
      <c r="AB38" s="263"/>
      <c r="AC38" s="215" t="s">
        <v>418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418</v>
      </c>
      <c r="BD38" s="304"/>
      <c r="BE38" s="304"/>
      <c r="BF38" s="304"/>
      <c r="BG38" s="304"/>
      <c r="BH38" s="304"/>
      <c r="BI38" s="354">
        <v>0</v>
      </c>
    </row>
    <row r="39" spans="1:61" ht="14.65" customHeight="1">
      <c r="Q39" s="228"/>
      <c r="R39" s="312"/>
      <c r="S39" s="1193"/>
      <c r="T39" s="299"/>
      <c r="U39" s="1162"/>
      <c r="V39" s="2654"/>
      <c r="W39" s="2654"/>
      <c r="X39" s="2654"/>
      <c r="Y39" s="2654"/>
      <c r="Z39" s="2654"/>
      <c r="AA39" s="2654"/>
      <c r="AB39" s="2654"/>
      <c r="AC39" s="2654"/>
      <c r="AD39" s="2654"/>
      <c r="AE39" s="2654"/>
      <c r="AF39" s="2654"/>
      <c r="AG39" s="2654"/>
      <c r="AH39" s="2654"/>
      <c r="AI39" s="2654"/>
      <c r="AJ39" s="2654"/>
      <c r="AK39" s="2654"/>
      <c r="AL39" s="2654"/>
      <c r="AM39" s="2654"/>
      <c r="AN39" s="2654"/>
      <c r="AO39" s="2654"/>
      <c r="AP39" s="2654"/>
      <c r="AQ39" s="2654"/>
      <c r="AR39" s="2654"/>
      <c r="AS39" s="2654"/>
      <c r="AT39" s="2654"/>
      <c r="AU39" s="2654"/>
      <c r="AV39" s="2654"/>
      <c r="AW39" s="2654"/>
      <c r="AX39" s="2654"/>
      <c r="AY39" s="2654"/>
      <c r="AZ39" s="2654"/>
      <c r="BA39" s="2654"/>
      <c r="BI39" s="1073">
        <v>14</v>
      </c>
    </row>
    <row r="40" spans="1:61" ht="14.65" customHeight="1">
      <c r="Q40" s="228"/>
      <c r="R40" s="312"/>
      <c r="S40" s="2514" t="s">
        <v>291</v>
      </c>
      <c r="T40" s="2514"/>
      <c r="U40" s="2514"/>
      <c r="V40" s="2514"/>
      <c r="W40" s="2514"/>
      <c r="X40" s="2514"/>
      <c r="Y40" s="2514"/>
      <c r="Z40" s="2514"/>
      <c r="AA40" s="2514"/>
      <c r="AB40" s="2514"/>
      <c r="AC40" s="2514"/>
      <c r="AD40" s="2514"/>
      <c r="AE40" s="2514"/>
      <c r="AF40" s="2514"/>
      <c r="AG40" s="2514"/>
      <c r="AH40" s="2514"/>
      <c r="AI40" s="2514"/>
      <c r="AJ40" s="2514"/>
      <c r="AK40" s="2514"/>
      <c r="AL40" s="2514"/>
      <c r="AM40" s="2514"/>
      <c r="AN40" s="2514"/>
      <c r="AO40" s="2514"/>
      <c r="AP40" s="2514"/>
      <c r="AQ40" s="2514"/>
      <c r="AR40" s="2514"/>
      <c r="AS40" s="2514"/>
      <c r="AT40" s="2514"/>
      <c r="AU40" s="2514"/>
      <c r="AV40" s="2514"/>
      <c r="AW40" s="2514"/>
      <c r="AX40" s="2514"/>
      <c r="AY40" s="2514"/>
      <c r="AZ40" s="2514"/>
      <c r="BA40" s="2514"/>
      <c r="BB40" s="2514"/>
      <c r="BC40" s="2514" t="s">
        <v>292</v>
      </c>
      <c r="BI40" s="1073">
        <v>14</v>
      </c>
    </row>
    <row r="41" spans="1:61" ht="14.65" customHeight="1">
      <c r="Q41" s="228"/>
      <c r="R41" s="312"/>
      <c r="S41" s="2655" t="s">
        <v>84</v>
      </c>
      <c r="T41" s="2603" t="s">
        <v>498</v>
      </c>
      <c r="U41" s="238"/>
      <c r="V41" s="2656" t="s">
        <v>420</v>
      </c>
      <c r="W41" s="2657"/>
      <c r="X41" s="2657"/>
      <c r="Y41" s="2657"/>
      <c r="Z41" s="2657"/>
      <c r="AA41" s="2657"/>
      <c r="AB41" s="2658"/>
      <c r="AC41" s="2659" t="s">
        <v>421</v>
      </c>
      <c r="AD41" s="2688" t="s">
        <v>499</v>
      </c>
      <c r="AE41" s="2672"/>
      <c r="AF41" s="2672"/>
      <c r="AG41" s="2689"/>
      <c r="AH41" s="2688" t="s">
        <v>500</v>
      </c>
      <c r="AI41" s="2672"/>
      <c r="AJ41" s="2672"/>
      <c r="AK41" s="2689"/>
      <c r="AL41" s="2688" t="s">
        <v>501</v>
      </c>
      <c r="AM41" s="2672"/>
      <c r="AN41" s="2672"/>
      <c r="AO41" s="2689"/>
      <c r="AP41" s="2688" t="s">
        <v>502</v>
      </c>
      <c r="AQ41" s="2672"/>
      <c r="AR41" s="2672"/>
      <c r="AS41" s="2689"/>
      <c r="AT41" s="2656" t="s">
        <v>420</v>
      </c>
      <c r="AU41" s="2657"/>
      <c r="AV41" s="2657"/>
      <c r="AW41" s="2657"/>
      <c r="AX41" s="2657"/>
      <c r="AY41" s="2657"/>
      <c r="AZ41" s="2658"/>
      <c r="BA41" s="2659" t="s">
        <v>421</v>
      </c>
      <c r="BB41" s="2662" t="s">
        <v>423</v>
      </c>
      <c r="BC41" s="2514"/>
      <c r="BI41" s="1073">
        <v>14</v>
      </c>
    </row>
    <row r="42" spans="1:61" ht="35.65" customHeight="1">
      <c r="Q42" s="228"/>
      <c r="R42" s="312"/>
      <c r="S42" s="2655"/>
      <c r="T42" s="2603"/>
      <c r="U42" s="954"/>
      <c r="V42" s="2574" t="s">
        <v>503</v>
      </c>
      <c r="W42" s="2575"/>
      <c r="X42" s="2574" t="s">
        <v>504</v>
      </c>
      <c r="Y42" s="2575"/>
      <c r="Z42" s="2574" t="s">
        <v>505</v>
      </c>
      <c r="AA42" s="2684"/>
      <c r="AB42" s="2575"/>
      <c r="AC42" s="2660"/>
      <c r="AD42" s="2690"/>
      <c r="AE42" s="2691"/>
      <c r="AF42" s="2691"/>
      <c r="AG42" s="2703"/>
      <c r="AH42" s="2690"/>
      <c r="AI42" s="2691"/>
      <c r="AJ42" s="2691"/>
      <c r="AK42" s="2703"/>
      <c r="AL42" s="2690"/>
      <c r="AM42" s="2691"/>
      <c r="AN42" s="2691"/>
      <c r="AO42" s="2703"/>
      <c r="AP42" s="2690"/>
      <c r="AQ42" s="2691"/>
      <c r="AR42" s="2691"/>
      <c r="AS42" s="2703"/>
      <c r="AT42" s="2574" t="s">
        <v>503</v>
      </c>
      <c r="AU42" s="2575"/>
      <c r="AV42" s="2574" t="s">
        <v>504</v>
      </c>
      <c r="AW42" s="2575"/>
      <c r="AX42" s="2574" t="s">
        <v>505</v>
      </c>
      <c r="AY42" s="2684"/>
      <c r="AZ42" s="2575"/>
      <c r="BA42" s="2660"/>
      <c r="BB42" s="2663"/>
      <c r="BC42" s="2514"/>
      <c r="BI42" s="1073">
        <v>34</v>
      </c>
    </row>
    <row r="43" spans="1:61" ht="14.65" customHeight="1">
      <c r="Q43" s="228"/>
      <c r="R43" s="312"/>
      <c r="S43" s="2655"/>
      <c r="T43" s="2603"/>
      <c r="U43" s="954"/>
      <c r="V43" s="2579"/>
      <c r="W43" s="2580"/>
      <c r="X43" s="2579"/>
      <c r="Y43" s="2580"/>
      <c r="Z43" s="2579"/>
      <c r="AA43" s="2685"/>
      <c r="AB43" s="2580"/>
      <c r="AC43" s="2660"/>
      <c r="AD43" s="2690"/>
      <c r="AE43" s="2691"/>
      <c r="AF43" s="2691"/>
      <c r="AG43" s="2703"/>
      <c r="AH43" s="2690"/>
      <c r="AI43" s="2691"/>
      <c r="AJ43" s="2691"/>
      <c r="AK43" s="2703"/>
      <c r="AL43" s="2690"/>
      <c r="AM43" s="2691"/>
      <c r="AN43" s="2691"/>
      <c r="AO43" s="2703"/>
      <c r="AP43" s="2690"/>
      <c r="AQ43" s="2691"/>
      <c r="AR43" s="2691"/>
      <c r="AS43" s="2703"/>
      <c r="AT43" s="2579"/>
      <c r="AU43" s="2580"/>
      <c r="AV43" s="2579"/>
      <c r="AW43" s="2580"/>
      <c r="AX43" s="2579"/>
      <c r="AY43" s="2685"/>
      <c r="AZ43" s="2580"/>
      <c r="BA43" s="2660"/>
      <c r="BB43" s="2663"/>
      <c r="BC43" s="2514"/>
      <c r="BI43" s="1073">
        <v>14</v>
      </c>
    </row>
    <row r="44" spans="1:61" ht="14.65" customHeight="1">
      <c r="A44" s="1288"/>
      <c r="B44" s="1288" t="s">
        <v>128</v>
      </c>
      <c r="C44" s="1288" t="s">
        <v>129</v>
      </c>
      <c r="D44" s="1288" t="s">
        <v>130</v>
      </c>
      <c r="E44" s="1282" t="s">
        <v>428</v>
      </c>
      <c r="F44" s="1282" t="s">
        <v>429</v>
      </c>
      <c r="G44" s="1282" t="s">
        <v>430</v>
      </c>
      <c r="H44" s="1282" t="s">
        <v>431</v>
      </c>
      <c r="I44" s="1282" t="s">
        <v>432</v>
      </c>
      <c r="J44" s="1282" t="s">
        <v>433</v>
      </c>
      <c r="K44" s="1282" t="s">
        <v>434</v>
      </c>
      <c r="L44" s="1282" t="s">
        <v>409</v>
      </c>
      <c r="Q44" s="228"/>
      <c r="R44" s="312"/>
      <c r="S44" s="2655"/>
      <c r="T44" s="2603"/>
      <c r="U44" s="239"/>
      <c r="V44" s="1366" t="s">
        <v>469</v>
      </c>
      <c r="W44" s="1366" t="s">
        <v>470</v>
      </c>
      <c r="X44" s="1366" t="s">
        <v>469</v>
      </c>
      <c r="Y44" s="1366" t="s">
        <v>470</v>
      </c>
      <c r="Z44" s="1373" t="s">
        <v>437</v>
      </c>
      <c r="AA44" s="2608" t="s">
        <v>438</v>
      </c>
      <c r="AB44" s="2622"/>
      <c r="AC44" s="2661"/>
      <c r="AD44" s="2692"/>
      <c r="AE44" s="2693"/>
      <c r="AF44" s="2693"/>
      <c r="AG44" s="2694"/>
      <c r="AH44" s="2692"/>
      <c r="AI44" s="2693"/>
      <c r="AJ44" s="2693"/>
      <c r="AK44" s="2694"/>
      <c r="AL44" s="2692"/>
      <c r="AM44" s="2693"/>
      <c r="AN44" s="2693"/>
      <c r="AO44" s="2694"/>
      <c r="AP44" s="2692"/>
      <c r="AQ44" s="2693"/>
      <c r="AR44" s="2693"/>
      <c r="AS44" s="2694"/>
      <c r="AT44" s="1366" t="s">
        <v>469</v>
      </c>
      <c r="AU44" s="1366" t="s">
        <v>470</v>
      </c>
      <c r="AV44" s="1366" t="s">
        <v>469</v>
      </c>
      <c r="AW44" s="1366" t="s">
        <v>470</v>
      </c>
      <c r="AX44" s="1373" t="s">
        <v>437</v>
      </c>
      <c r="AY44" s="2608" t="s">
        <v>438</v>
      </c>
      <c r="AZ44" s="2622"/>
      <c r="BA44" s="2661"/>
      <c r="BB44" s="2664"/>
      <c r="BC44" s="2514"/>
      <c r="BI44" s="1073">
        <v>14</v>
      </c>
    </row>
    <row r="45" spans="1:61" s="2431"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102</v>
      </c>
      <c r="T45" s="1173" t="s">
        <v>103</v>
      </c>
      <c r="U45" s="1163" t="str">
        <f ca="1">OFFSET(U45,0,-1)</f>
        <v>2</v>
      </c>
      <c r="V45" s="1369">
        <f t="shared" ref="V45:AA45" ca="1" si="2">OFFSET(V45,0,-1)+1</f>
        <v>3</v>
      </c>
      <c r="W45" s="1369">
        <f t="shared" ca="1" si="2"/>
        <v>4</v>
      </c>
      <c r="X45" s="1369">
        <f t="shared" ca="1" si="2"/>
        <v>5</v>
      </c>
      <c r="Y45" s="1369">
        <f t="shared" ca="1" si="2"/>
        <v>6</v>
      </c>
      <c r="Z45" s="1369">
        <f t="shared" ca="1" si="2"/>
        <v>7</v>
      </c>
      <c r="AA45" s="2653">
        <f t="shared" ca="1" si="2"/>
        <v>8</v>
      </c>
      <c r="AB45" s="2653"/>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653">
        <f ca="1">OFFSET(AY45,0,-1)+1</f>
        <v>3</v>
      </c>
      <c r="AZ45" s="2653"/>
      <c r="BA45" s="1369">
        <f ca="1">OFFSET(BA45,0,-2)+1</f>
        <v>4</v>
      </c>
      <c r="BB45" s="1163">
        <f ca="1">OFFSET(BB45,0,-1)</f>
        <v>4</v>
      </c>
      <c r="BC45" s="1369">
        <f ca="1">OFFSET(BC45,0,-1)+1</f>
        <v>5</v>
      </c>
      <c r="BD45" s="447"/>
      <c r="BE45" s="447"/>
      <c r="BF45" s="447"/>
      <c r="BG45" s="447"/>
      <c r="BH45" s="447"/>
      <c r="BI45" s="432">
        <v>0</v>
      </c>
    </row>
    <row r="46" spans="1:61" ht="21.95" customHeight="1">
      <c r="A46" s="1281" t="s">
        <v>237</v>
      </c>
      <c r="B46" s="1281"/>
      <c r="C46" s="1281"/>
      <c r="D46" s="1281"/>
      <c r="E46" s="2642">
        <v>1</v>
      </c>
      <c r="F46" s="1281"/>
      <c r="G46" s="1281"/>
      <c r="H46" s="1281"/>
      <c r="I46" s="1281"/>
      <c r="J46" s="1281"/>
      <c r="K46" s="1281"/>
      <c r="L46" s="1282"/>
      <c r="M46" s="1283"/>
      <c r="N46" s="1283"/>
      <c r="O46" s="1283"/>
      <c r="P46" s="1327"/>
      <c r="Q46" s="799"/>
      <c r="R46" s="291"/>
      <c r="S46" s="1375">
        <f>INDEX(PT_DIFFERENTIATION_NUM_NTAR,MATCH(A46,PT_DIFFERENTIATION_NTAR_ID,0))</f>
        <v>0</v>
      </c>
      <c r="T46" s="235" t="s">
        <v>116</v>
      </c>
      <c r="U46" s="237"/>
      <c r="V46" s="2637"/>
      <c r="W46" s="2637"/>
      <c r="X46" s="2637"/>
      <c r="Y46" s="2637"/>
      <c r="Z46" s="2637"/>
      <c r="AA46" s="2637"/>
      <c r="AB46" s="2637"/>
      <c r="AC46" s="2638"/>
      <c r="AD46" s="2636" t="str">
        <f>INDEX(PT_DIFFERENTIATION_NTAR,MATCH(A46,PT_DIFFERENTIATION_NTAR_ID,0))</f>
        <v/>
      </c>
      <c r="AE46" s="2637"/>
      <c r="AF46" s="2637"/>
      <c r="AG46" s="2637"/>
      <c r="AH46" s="2637"/>
      <c r="AI46" s="2637"/>
      <c r="AJ46" s="2637"/>
      <c r="AK46" s="2637"/>
      <c r="AL46" s="2637"/>
      <c r="AM46" s="2637"/>
      <c r="AN46" s="2637"/>
      <c r="AO46" s="2637"/>
      <c r="AP46" s="2637"/>
      <c r="AQ46" s="2637"/>
      <c r="AR46" s="2637"/>
      <c r="AS46" s="2637"/>
      <c r="AT46" s="2637"/>
      <c r="AU46" s="2637"/>
      <c r="AV46" s="2637"/>
      <c r="AW46" s="2637"/>
      <c r="AX46" s="2637"/>
      <c r="AY46" s="2637"/>
      <c r="AZ46" s="2637"/>
      <c r="BA46" s="2637"/>
      <c r="BB46" s="263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237</v>
      </c>
      <c r="B47" s="1281" t="s">
        <v>238</v>
      </c>
      <c r="C47" s="1281"/>
      <c r="D47" s="1281"/>
      <c r="E47" s="2643"/>
      <c r="F47" s="2642">
        <v>1</v>
      </c>
      <c r="G47" s="1281"/>
      <c r="H47" s="1281"/>
      <c r="I47" s="1281"/>
      <c r="J47" s="1281"/>
      <c r="K47" s="1281"/>
      <c r="L47" s="1282"/>
      <c r="M47" s="1283"/>
      <c r="N47" s="1283"/>
      <c r="O47" s="1283"/>
      <c r="P47" s="1328"/>
      <c r="Q47" s="1329"/>
      <c r="R47" s="289"/>
      <c r="S47" s="1375" t="str">
        <f>INDEX(PT_DIFFERENTIATION_NUM_TER,MATCH(B47,PT_DIFFERENTIATION_TER_ID,0))</f>
        <v>.</v>
      </c>
      <c r="T47" s="245" t="s">
        <v>388</v>
      </c>
      <c r="U47" s="237"/>
      <c r="V47" s="2637"/>
      <c r="W47" s="2637"/>
      <c r="X47" s="2637"/>
      <c r="Y47" s="2637"/>
      <c r="Z47" s="2637"/>
      <c r="AA47" s="2637"/>
      <c r="AB47" s="2637"/>
      <c r="AC47" s="2638"/>
      <c r="AD47" s="2636" t="str">
        <f>INDEX(PT_DIFFERENTIATION_TER,MATCH(B47,PT_DIFFERENTIATION_TER_ID,0))</f>
        <v/>
      </c>
      <c r="AE47" s="2637"/>
      <c r="AF47" s="2637"/>
      <c r="AG47" s="2637"/>
      <c r="AH47" s="2637"/>
      <c r="AI47" s="2637"/>
      <c r="AJ47" s="2637"/>
      <c r="AK47" s="2637"/>
      <c r="AL47" s="2637"/>
      <c r="AM47" s="2637"/>
      <c r="AN47" s="2637"/>
      <c r="AO47" s="2637"/>
      <c r="AP47" s="2637"/>
      <c r="AQ47" s="2637"/>
      <c r="AR47" s="2637"/>
      <c r="AS47" s="2637"/>
      <c r="AT47" s="2637"/>
      <c r="AU47" s="2637"/>
      <c r="AV47" s="2637"/>
      <c r="AW47" s="2637"/>
      <c r="AX47" s="2637"/>
      <c r="AY47" s="2637"/>
      <c r="AZ47" s="2637"/>
      <c r="BA47" s="2637"/>
      <c r="BB47" s="2638"/>
      <c r="BC47" s="1176" t="s">
        <v>389</v>
      </c>
      <c r="BE47" s="436"/>
      <c r="BF47" s="436" t="str">
        <f t="shared" si="3"/>
        <v>Территория действия тарифа</v>
      </c>
      <c r="BG47" s="436"/>
      <c r="BH47" s="436"/>
      <c r="BI47" s="1073">
        <v>21</v>
      </c>
    </row>
    <row r="48" spans="1:61" ht="43.15" customHeight="1">
      <c r="A48" s="1281" t="s">
        <v>237</v>
      </c>
      <c r="B48" s="1281" t="s">
        <v>238</v>
      </c>
      <c r="C48" s="1281" t="s">
        <v>239</v>
      </c>
      <c r="D48" s="1281"/>
      <c r="E48" s="2643"/>
      <c r="F48" s="2643"/>
      <c r="G48" s="2642">
        <v>1</v>
      </c>
      <c r="H48" s="1281"/>
      <c r="I48" s="1281"/>
      <c r="J48" s="1281"/>
      <c r="K48" s="1281"/>
      <c r="L48" s="1282"/>
      <c r="M48" s="1283"/>
      <c r="N48" s="1283"/>
      <c r="O48" s="1283"/>
      <c r="P48" s="1330"/>
      <c r="Q48" s="1329"/>
      <c r="R48" s="289"/>
      <c r="S48" s="1375" t="str">
        <f>INDEX(PT_DIFFERENTIATION_NUM_CS,MATCH(C48,PT_DIFFERENTIATION_CS_ID,0))</f>
        <v>..</v>
      </c>
      <c r="T48" s="246" t="s">
        <v>472</v>
      </c>
      <c r="U48" s="237"/>
      <c r="V48" s="2637"/>
      <c r="W48" s="2637"/>
      <c r="X48" s="2637"/>
      <c r="Y48" s="2637"/>
      <c r="Z48" s="2637"/>
      <c r="AA48" s="2637"/>
      <c r="AB48" s="2637"/>
      <c r="AC48" s="2638"/>
      <c r="AD48" s="2636" t="str">
        <f>INDEX(PT_DIFFERENTIATION_CS,MATCH(C48,PT_DIFFERENTIATION_CS_ID,0))</f>
        <v/>
      </c>
      <c r="AE48" s="2637"/>
      <c r="AF48" s="2637"/>
      <c r="AG48" s="2637"/>
      <c r="AH48" s="2637"/>
      <c r="AI48" s="2637"/>
      <c r="AJ48" s="2637"/>
      <c r="AK48" s="2637"/>
      <c r="AL48" s="2637"/>
      <c r="AM48" s="2637"/>
      <c r="AN48" s="2637"/>
      <c r="AO48" s="2637"/>
      <c r="AP48" s="2637"/>
      <c r="AQ48" s="2637"/>
      <c r="AR48" s="2637"/>
      <c r="AS48" s="2637"/>
      <c r="AT48" s="2637"/>
      <c r="AU48" s="2637"/>
      <c r="AV48" s="2637"/>
      <c r="AW48" s="2637"/>
      <c r="AX48" s="2637"/>
      <c r="AY48" s="2637"/>
      <c r="AZ48" s="2637"/>
      <c r="BA48" s="2637"/>
      <c r="BB48" s="2638"/>
      <c r="BC48" s="1176" t="s">
        <v>473</v>
      </c>
      <c r="BE48" s="436"/>
      <c r="BF48" s="436" t="str">
        <f t="shared" si="3"/>
        <v>Наименование централизованной системы холодного водоснабжения</v>
      </c>
      <c r="BG48" s="436"/>
      <c r="BH48" s="436"/>
      <c r="BI48" s="1073">
        <v>41</v>
      </c>
    </row>
    <row r="49" spans="1:61" s="2407" customFormat="1" ht="0" hidden="1" customHeight="1">
      <c r="A49" s="1261" t="s">
        <v>237</v>
      </c>
      <c r="B49" s="1261" t="s">
        <v>238</v>
      </c>
      <c r="C49" s="1261" t="s">
        <v>239</v>
      </c>
      <c r="D49" s="1261" t="s">
        <v>506</v>
      </c>
      <c r="E49" s="2643"/>
      <c r="F49" s="2643"/>
      <c r="G49" s="2643"/>
      <c r="H49" s="2642">
        <v>1</v>
      </c>
      <c r="I49" s="1261"/>
      <c r="J49" s="1261"/>
      <c r="K49" s="1261"/>
      <c r="L49" s="1264"/>
      <c r="M49" s="1233"/>
      <c r="N49" s="1233"/>
      <c r="O49" s="1233"/>
      <c r="P49" s="1415"/>
      <c r="Q49" s="1416"/>
      <c r="R49" s="293"/>
      <c r="S49" s="965"/>
      <c r="T49" s="1417"/>
      <c r="U49" s="1302"/>
      <c r="V49" s="2674"/>
      <c r="W49" s="2674"/>
      <c r="X49" s="2674"/>
      <c r="Y49" s="2674"/>
      <c r="Z49" s="2674"/>
      <c r="AA49" s="2674"/>
      <c r="AB49" s="2674"/>
      <c r="AC49" s="2675"/>
      <c r="AD49" s="2673"/>
      <c r="AE49" s="2674"/>
      <c r="AF49" s="2674"/>
      <c r="AG49" s="2674"/>
      <c r="AH49" s="2674"/>
      <c r="AI49" s="2674"/>
      <c r="AJ49" s="2674"/>
      <c r="AK49" s="2674"/>
      <c r="AL49" s="2674"/>
      <c r="AM49" s="2674"/>
      <c r="AN49" s="2674"/>
      <c r="AO49" s="2674"/>
      <c r="AP49" s="2674"/>
      <c r="AQ49" s="2674"/>
      <c r="AR49" s="2674"/>
      <c r="AS49" s="2674"/>
      <c r="AT49" s="2674"/>
      <c r="AU49" s="2674"/>
      <c r="AV49" s="2674"/>
      <c r="AW49" s="2674"/>
      <c r="AX49" s="2674"/>
      <c r="AY49" s="2674"/>
      <c r="AZ49" s="2674"/>
      <c r="BA49" s="2674"/>
      <c r="BB49" s="2675"/>
      <c r="BC49" s="1303" t="s">
        <v>393</v>
      </c>
      <c r="BE49" s="436"/>
      <c r="BF49" s="436" t="str">
        <f t="shared" si="3"/>
        <v/>
      </c>
      <c r="BG49" s="436"/>
      <c r="BH49" s="436"/>
      <c r="BI49" s="447">
        <v>0</v>
      </c>
    </row>
    <row r="50" spans="1:61" s="2407" customFormat="1" ht="0" hidden="1" customHeight="1">
      <c r="A50" s="1261" t="s">
        <v>237</v>
      </c>
      <c r="B50" s="1261" t="s">
        <v>238</v>
      </c>
      <c r="C50" s="1261" t="s">
        <v>239</v>
      </c>
      <c r="D50" s="1261" t="s">
        <v>506</v>
      </c>
      <c r="E50" s="2643"/>
      <c r="F50" s="2643"/>
      <c r="G50" s="2643"/>
      <c r="H50" s="2643"/>
      <c r="I50" s="2644" t="str">
        <f>S49&amp;".1"</f>
        <v>.1</v>
      </c>
      <c r="J50" s="1261"/>
      <c r="K50" s="1261"/>
      <c r="L50" s="1264" t="s">
        <v>394</v>
      </c>
      <c r="M50" s="446"/>
      <c r="N50" s="446"/>
      <c r="O50" s="446"/>
      <c r="P50" s="2646">
        <v>1</v>
      </c>
      <c r="Q50" s="1380"/>
      <c r="R50" s="292"/>
      <c r="S50" s="965"/>
      <c r="T50" s="1301"/>
      <c r="U50" s="1302"/>
      <c r="V50" s="2674"/>
      <c r="W50" s="2674"/>
      <c r="X50" s="2674"/>
      <c r="Y50" s="2674"/>
      <c r="Z50" s="2674"/>
      <c r="AA50" s="2674"/>
      <c r="AB50" s="2674"/>
      <c r="AC50" s="2675"/>
      <c r="AD50" s="2673"/>
      <c r="AE50" s="2674"/>
      <c r="AF50" s="2674"/>
      <c r="AG50" s="2674"/>
      <c r="AH50" s="2674"/>
      <c r="AI50" s="2674"/>
      <c r="AJ50" s="2674"/>
      <c r="AK50" s="2674"/>
      <c r="AL50" s="2674"/>
      <c r="AM50" s="2674"/>
      <c r="AN50" s="2674"/>
      <c r="AO50" s="2674"/>
      <c r="AP50" s="2674"/>
      <c r="AQ50" s="2674"/>
      <c r="AR50" s="2674"/>
      <c r="AS50" s="2674"/>
      <c r="AT50" s="2674"/>
      <c r="AU50" s="2674"/>
      <c r="AV50" s="2674"/>
      <c r="AW50" s="2674"/>
      <c r="AX50" s="2674"/>
      <c r="AY50" s="2674"/>
      <c r="AZ50" s="2674"/>
      <c r="BA50" s="2674"/>
      <c r="BB50" s="2675"/>
      <c r="BC50" s="1303"/>
      <c r="BE50" s="436"/>
      <c r="BF50" s="436" t="str">
        <f t="shared" si="3"/>
        <v/>
      </c>
      <c r="BG50" s="436"/>
      <c r="BH50" s="436"/>
      <c r="BI50" s="447">
        <v>0</v>
      </c>
    </row>
    <row r="51" spans="1:61" s="2407" customFormat="1" ht="0" hidden="1" customHeight="1">
      <c r="A51" s="1261" t="s">
        <v>237</v>
      </c>
      <c r="B51" s="1261" t="s">
        <v>238</v>
      </c>
      <c r="C51" s="1261" t="s">
        <v>239</v>
      </c>
      <c r="D51" s="1261" t="s">
        <v>506</v>
      </c>
      <c r="E51" s="2643"/>
      <c r="F51" s="2643"/>
      <c r="G51" s="2643"/>
      <c r="H51" s="2643"/>
      <c r="I51" s="2645"/>
      <c r="J51" s="2644" t="str">
        <f>S49&amp;".1"</f>
        <v>.1</v>
      </c>
      <c r="K51" s="1261"/>
      <c r="L51" s="1264"/>
      <c r="M51" s="446"/>
      <c r="N51" s="446"/>
      <c r="O51" s="446"/>
      <c r="P51" s="2646"/>
      <c r="Q51" s="2646">
        <v>1</v>
      </c>
      <c r="R51" s="293"/>
      <c r="S51" s="965"/>
      <c r="T51" s="1317"/>
      <c r="U51" s="1302"/>
      <c r="V51" s="2674"/>
      <c r="W51" s="2674"/>
      <c r="X51" s="2674"/>
      <c r="Y51" s="2674"/>
      <c r="Z51" s="2674"/>
      <c r="AA51" s="2674"/>
      <c r="AB51" s="2674"/>
      <c r="AC51" s="2675"/>
      <c r="AD51" s="2673"/>
      <c r="AE51" s="2674"/>
      <c r="AF51" s="2674"/>
      <c r="AG51" s="2674"/>
      <c r="AH51" s="2674"/>
      <c r="AI51" s="2674"/>
      <c r="AJ51" s="2674"/>
      <c r="AK51" s="2674"/>
      <c r="AL51" s="2674"/>
      <c r="AM51" s="2674"/>
      <c r="AN51" s="2725"/>
      <c r="AO51" s="2725"/>
      <c r="AP51" s="2674"/>
      <c r="AQ51" s="2674"/>
      <c r="AR51" s="2674"/>
      <c r="AS51" s="2674"/>
      <c r="AT51" s="2674"/>
      <c r="AU51" s="2674"/>
      <c r="AV51" s="2674"/>
      <c r="AW51" s="2674"/>
      <c r="AX51" s="2674"/>
      <c r="AY51" s="2674"/>
      <c r="AZ51" s="2674"/>
      <c r="BA51" s="2674"/>
      <c r="BB51" s="2675"/>
      <c r="BC51" s="1303"/>
      <c r="BE51" s="436"/>
      <c r="BF51" s="436" t="str">
        <f t="shared" si="3"/>
        <v/>
      </c>
      <c r="BG51" s="436"/>
      <c r="BH51" s="436"/>
      <c r="BI51" s="447">
        <v>0</v>
      </c>
    </row>
    <row r="52" spans="1:61" ht="11.45" customHeight="1">
      <c r="A52" s="1281" t="s">
        <v>237</v>
      </c>
      <c r="B52" s="1281" t="s">
        <v>238</v>
      </c>
      <c r="C52" s="1281" t="s">
        <v>239</v>
      </c>
      <c r="D52" s="1281" t="s">
        <v>506</v>
      </c>
      <c r="E52" s="2643"/>
      <c r="F52" s="2643"/>
      <c r="G52" s="2643"/>
      <c r="H52" s="2643"/>
      <c r="I52" s="2645"/>
      <c r="J52" s="2645"/>
      <c r="K52" s="2644" t="str">
        <f>S48&amp;".1"</f>
        <v>...1</v>
      </c>
      <c r="L52" s="1282"/>
      <c r="P52" s="2646"/>
      <c r="Q52" s="2646"/>
      <c r="R52" s="293">
        <v>1</v>
      </c>
      <c r="S52" s="2699" t="str">
        <f>$K52</f>
        <v>...1</v>
      </c>
      <c r="T52" s="2719"/>
      <c r="U52" s="237"/>
      <c r="V52" s="687"/>
      <c r="W52" s="1175"/>
      <c r="X52" s="687"/>
      <c r="Y52" s="1175"/>
      <c r="Z52" s="1651"/>
      <c r="AA52" s="1377" t="s">
        <v>65</v>
      </c>
      <c r="AB52" s="1651"/>
      <c r="AC52" s="1377" t="s">
        <v>65</v>
      </c>
      <c r="AD52" s="2586" t="s">
        <v>65</v>
      </c>
      <c r="AE52" s="2695"/>
      <c r="AF52" s="2599">
        <v>1</v>
      </c>
      <c r="AG52" s="2718"/>
      <c r="AH52" s="2524" t="s">
        <v>65</v>
      </c>
      <c r="AI52" s="2695"/>
      <c r="AJ52" s="2599">
        <v>1</v>
      </c>
      <c r="AK52" s="2709" t="s">
        <v>22</v>
      </c>
      <c r="AL52" s="2524" t="s">
        <v>65</v>
      </c>
      <c r="AM52" s="2574"/>
      <c r="AN52" s="2599">
        <v>1</v>
      </c>
      <c r="AO52" s="2722"/>
      <c r="AP52" s="2723" t="s">
        <v>65</v>
      </c>
      <c r="AQ52" s="248"/>
      <c r="AR52" s="1381">
        <v>1</v>
      </c>
      <c r="AS52" s="1384" t="s">
        <v>22</v>
      </c>
      <c r="AT52" s="687"/>
      <c r="AU52" s="1175"/>
      <c r="AV52" s="687"/>
      <c r="AW52" s="1175"/>
      <c r="AX52" s="1651"/>
      <c r="AY52" s="1377" t="s">
        <v>65</v>
      </c>
      <c r="AZ52" s="1651"/>
      <c r="BA52" s="1377" t="s">
        <v>65</v>
      </c>
      <c r="BB52" s="1266"/>
      <c r="BC52" s="2665" t="s">
        <v>492</v>
      </c>
      <c r="BE52" s="436"/>
      <c r="BF52" s="436" t="str">
        <f t="shared" si="3"/>
        <v/>
      </c>
      <c r="BG52" s="436"/>
      <c r="BH52" s="436"/>
      <c r="BI52" s="1073">
        <v>11</v>
      </c>
    </row>
    <row r="53" spans="1:61" ht="11.45" customHeight="1">
      <c r="A53" s="1281"/>
      <c r="B53" s="1281"/>
      <c r="C53" s="1281"/>
      <c r="D53" s="1281"/>
      <c r="E53" s="2643"/>
      <c r="F53" s="2643"/>
      <c r="G53" s="2643"/>
      <c r="H53" s="2643"/>
      <c r="I53" s="2645"/>
      <c r="J53" s="2645"/>
      <c r="K53" s="2644"/>
      <c r="L53" s="1282"/>
      <c r="P53" s="2646"/>
      <c r="Q53" s="2646"/>
      <c r="R53" s="293"/>
      <c r="S53" s="2700"/>
      <c r="T53" s="2720"/>
      <c r="U53" s="237"/>
      <c r="V53" s="1311"/>
      <c r="W53" s="1414"/>
      <c r="X53" s="1311"/>
      <c r="Y53" s="1414"/>
      <c r="Z53" s="1311"/>
      <c r="AA53" s="1311"/>
      <c r="AB53" s="1311"/>
      <c r="AC53" s="1311"/>
      <c r="AD53" s="2587"/>
      <c r="AE53" s="2695"/>
      <c r="AF53" s="2599"/>
      <c r="AG53" s="2718"/>
      <c r="AH53" s="2524"/>
      <c r="AI53" s="2695"/>
      <c r="AJ53" s="2599"/>
      <c r="AK53" s="2709"/>
      <c r="AL53" s="2524"/>
      <c r="AM53" s="2579"/>
      <c r="AN53" s="2599"/>
      <c r="AO53" s="2722"/>
      <c r="AP53" s="2724"/>
      <c r="AQ53" s="253"/>
      <c r="AR53" s="352"/>
      <c r="AS53" s="352" t="s">
        <v>493</v>
      </c>
      <c r="AT53" s="1311"/>
      <c r="AU53" s="1414"/>
      <c r="AV53" s="1311"/>
      <c r="AW53" s="1414"/>
      <c r="AX53" s="1311"/>
      <c r="AY53" s="1311"/>
      <c r="AZ53" s="1311"/>
      <c r="BA53" s="1311"/>
      <c r="BB53" s="1315"/>
      <c r="BC53" s="2666"/>
      <c r="BE53" s="436"/>
      <c r="BF53" s="436"/>
      <c r="BG53" s="436"/>
      <c r="BH53" s="436"/>
      <c r="BI53" s="1073">
        <v>11</v>
      </c>
    </row>
    <row r="54" spans="1:61" ht="11.45" customHeight="1">
      <c r="A54" s="1281" t="s">
        <v>237</v>
      </c>
      <c r="B54" s="1281"/>
      <c r="C54" s="1281"/>
      <c r="D54" s="1281"/>
      <c r="E54" s="2643"/>
      <c r="F54" s="2643"/>
      <c r="G54" s="2643"/>
      <c r="H54" s="2643"/>
      <c r="I54" s="2645"/>
      <c r="J54" s="2645"/>
      <c r="K54" s="2644"/>
      <c r="L54" s="1282"/>
      <c r="P54" s="2646"/>
      <c r="Q54" s="2646"/>
      <c r="R54" s="293"/>
      <c r="S54" s="2700"/>
      <c r="T54" s="2720"/>
      <c r="U54" s="237"/>
      <c r="V54" s="1311"/>
      <c r="W54" s="1414"/>
      <c r="X54" s="1311"/>
      <c r="Y54" s="1414"/>
      <c r="Z54" s="1311"/>
      <c r="AA54" s="1311"/>
      <c r="AB54" s="1311"/>
      <c r="AC54" s="1311"/>
      <c r="AD54" s="2587"/>
      <c r="AE54" s="2695"/>
      <c r="AF54" s="2599"/>
      <c r="AG54" s="2718"/>
      <c r="AH54" s="2524"/>
      <c r="AI54" s="2695"/>
      <c r="AJ54" s="2599"/>
      <c r="AK54" s="2709"/>
      <c r="AL54" s="2524"/>
      <c r="AM54" s="253"/>
      <c r="AN54" s="1418"/>
      <c r="AO54" s="1418" t="s">
        <v>494</v>
      </c>
      <c r="AP54" s="352"/>
      <c r="AQ54" s="352"/>
      <c r="AR54" s="352"/>
      <c r="AS54" s="1311"/>
      <c r="AT54" s="1311"/>
      <c r="AU54" s="1414"/>
      <c r="AV54" s="1311"/>
      <c r="AW54" s="1414"/>
      <c r="AX54" s="1311"/>
      <c r="AY54" s="1311"/>
      <c r="AZ54" s="1311"/>
      <c r="BA54" s="1311"/>
      <c r="BB54" s="1315"/>
      <c r="BC54" s="2666"/>
      <c r="BE54" s="436"/>
      <c r="BF54" s="436"/>
      <c r="BG54" s="436"/>
      <c r="BH54" s="436"/>
      <c r="BI54" s="1073">
        <v>11</v>
      </c>
    </row>
    <row r="55" spans="1:61" ht="11.45" customHeight="1">
      <c r="A55" s="1281" t="s">
        <v>237</v>
      </c>
      <c r="B55" s="1281"/>
      <c r="C55" s="1281"/>
      <c r="D55" s="1281"/>
      <c r="E55" s="2643"/>
      <c r="F55" s="2643"/>
      <c r="G55" s="2643"/>
      <c r="H55" s="2643"/>
      <c r="I55" s="2645"/>
      <c r="J55" s="2645"/>
      <c r="K55" s="2644"/>
      <c r="L55" s="1282"/>
      <c r="P55" s="2646"/>
      <c r="Q55" s="2646"/>
      <c r="R55" s="293"/>
      <c r="S55" s="2700"/>
      <c r="T55" s="2720"/>
      <c r="U55" s="237"/>
      <c r="V55" s="1311"/>
      <c r="W55" s="1414"/>
      <c r="X55" s="1311"/>
      <c r="Y55" s="1414"/>
      <c r="Z55" s="1311"/>
      <c r="AA55" s="1311"/>
      <c r="AB55" s="1311"/>
      <c r="AC55" s="1311"/>
      <c r="AD55" s="2587"/>
      <c r="AE55" s="2695"/>
      <c r="AF55" s="2599"/>
      <c r="AG55" s="2718"/>
      <c r="AH55" s="2524"/>
      <c r="AI55" s="231"/>
      <c r="AJ55" s="351"/>
      <c r="AK55" s="250" t="s">
        <v>495</v>
      </c>
      <c r="AL55" s="1311"/>
      <c r="AM55" s="1311"/>
      <c r="AN55" s="1311"/>
      <c r="AO55" s="1311"/>
      <c r="AP55" s="1311"/>
      <c r="AQ55" s="1311"/>
      <c r="AR55" s="1311"/>
      <c r="AS55" s="1311"/>
      <c r="AT55" s="1311"/>
      <c r="AU55" s="1414"/>
      <c r="AV55" s="1311"/>
      <c r="AW55" s="1414"/>
      <c r="AX55" s="1311"/>
      <c r="AY55" s="1311"/>
      <c r="AZ55" s="1311"/>
      <c r="BA55" s="1311"/>
      <c r="BB55" s="1315"/>
      <c r="BC55" s="2666"/>
      <c r="BE55" s="436"/>
      <c r="BF55" s="436"/>
      <c r="BG55" s="436"/>
      <c r="BH55" s="436"/>
      <c r="BI55" s="1073">
        <v>11</v>
      </c>
    </row>
    <row r="56" spans="1:61" ht="11.45" customHeight="1">
      <c r="A56" s="1281" t="s">
        <v>237</v>
      </c>
      <c r="B56" s="1281" t="s">
        <v>238</v>
      </c>
      <c r="C56" s="1281" t="s">
        <v>239</v>
      </c>
      <c r="D56" s="1281" t="s">
        <v>506</v>
      </c>
      <c r="E56" s="2643"/>
      <c r="F56" s="2643"/>
      <c r="G56" s="2643"/>
      <c r="H56" s="2643"/>
      <c r="I56" s="2645"/>
      <c r="J56" s="2645"/>
      <c r="K56" s="2644"/>
      <c r="L56" s="1282"/>
      <c r="P56" s="2646"/>
      <c r="Q56" s="2646"/>
      <c r="R56" s="293"/>
      <c r="S56" s="2701"/>
      <c r="T56" s="2721"/>
      <c r="U56" s="237"/>
      <c r="V56" s="1311"/>
      <c r="W56" s="1312" t="str">
        <f>Z52&amp;"-"&amp;AB52</f>
        <v>-</v>
      </c>
      <c r="X56" s="1311"/>
      <c r="Y56" s="1312" t="str">
        <f>AB52&amp;"-"&amp;AD52</f>
        <v>-да</v>
      </c>
      <c r="Z56" s="1311"/>
      <c r="AA56" s="1311"/>
      <c r="AB56" s="1311"/>
      <c r="AC56" s="1311"/>
      <c r="AD56" s="2529"/>
      <c r="AE56" s="249"/>
      <c r="AF56" s="251"/>
      <c r="AG56" s="352" t="s">
        <v>496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66"/>
      <c r="BE56" s="436"/>
      <c r="BF56" s="436" t="str">
        <f t="shared" ref="BF56:BF63" si="4">IF(T56="","",T56)</f>
        <v/>
      </c>
      <c r="BG56" s="436"/>
      <c r="BH56" s="436"/>
      <c r="BI56" s="1073">
        <v>11</v>
      </c>
    </row>
    <row r="57" spans="1:61" ht="11.45" customHeight="1">
      <c r="A57" s="1281" t="s">
        <v>237</v>
      </c>
      <c r="B57" s="1281" t="s">
        <v>238</v>
      </c>
      <c r="C57" s="1281" t="s">
        <v>239</v>
      </c>
      <c r="D57" s="1281" t="s">
        <v>506</v>
      </c>
      <c r="E57" s="2643"/>
      <c r="F57" s="2643"/>
      <c r="G57" s="2643"/>
      <c r="H57" s="2643"/>
      <c r="I57" s="2645"/>
      <c r="J57" s="2644"/>
      <c r="K57" s="1281"/>
      <c r="L57" s="1282"/>
      <c r="P57" s="2646"/>
      <c r="Q57" s="2646"/>
      <c r="R57" s="292"/>
      <c r="S57" s="1196"/>
      <c r="T57" s="224" t="s">
        <v>459</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7"/>
      <c r="BE57" s="436"/>
      <c r="BF57" s="436" t="str">
        <f t="shared" si="4"/>
        <v>Добавить строку</v>
      </c>
      <c r="BG57" s="436"/>
      <c r="BH57" s="436"/>
      <c r="BI57" s="1073">
        <v>11</v>
      </c>
    </row>
    <row r="58" spans="1:61" s="2407" customFormat="1" ht="0" hidden="1" customHeight="1">
      <c r="A58" s="1261" t="s">
        <v>237</v>
      </c>
      <c r="B58" s="1261" t="s">
        <v>238</v>
      </c>
      <c r="C58" s="1261" t="s">
        <v>239</v>
      </c>
      <c r="D58" s="1261" t="s">
        <v>506</v>
      </c>
      <c r="E58" s="2643"/>
      <c r="F58" s="2643"/>
      <c r="G58" s="2643"/>
      <c r="H58" s="2643"/>
      <c r="I58" s="2644"/>
      <c r="J58" s="1261"/>
      <c r="K58" s="1261"/>
      <c r="L58" s="1264"/>
      <c r="M58" s="446"/>
      <c r="N58" s="446"/>
      <c r="O58" s="446"/>
      <c r="P58" s="2646"/>
      <c r="Q58" s="1380"/>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407" customFormat="1" ht="0" hidden="1" customHeight="1">
      <c r="A59" s="1261" t="s">
        <v>237</v>
      </c>
      <c r="B59" s="1261" t="s">
        <v>238</v>
      </c>
      <c r="C59" s="1261" t="s">
        <v>239</v>
      </c>
      <c r="D59" s="1261" t="s">
        <v>506</v>
      </c>
      <c r="E59" s="2643"/>
      <c r="F59" s="2643"/>
      <c r="G59" s="2643"/>
      <c r="H59" s="2642"/>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407" customFormat="1" ht="0" hidden="1" customHeight="1">
      <c r="A60" s="1261" t="s">
        <v>237</v>
      </c>
      <c r="B60" s="1261" t="s">
        <v>238</v>
      </c>
      <c r="C60" s="1261" t="s">
        <v>239</v>
      </c>
      <c r="D60" s="1232"/>
      <c r="E60" s="2643"/>
      <c r="F60" s="2643"/>
      <c r="G60" s="2642"/>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407" customFormat="1" ht="0" hidden="1" customHeight="1">
      <c r="A61" s="1261" t="s">
        <v>237</v>
      </c>
      <c r="B61" s="1261" t="s">
        <v>238</v>
      </c>
      <c r="C61" s="1232"/>
      <c r="D61" s="1232"/>
      <c r="E61" s="2643"/>
      <c r="F61" s="2642"/>
      <c r="G61" s="1232"/>
      <c r="H61" s="1232"/>
      <c r="I61" s="1232"/>
      <c r="J61" s="1232"/>
      <c r="K61" s="1232"/>
      <c r="L61" s="1382"/>
      <c r="M61" s="1239"/>
      <c r="N61" s="1239"/>
      <c r="P61" s="1234"/>
      <c r="Q61" s="1235"/>
      <c r="R61" s="1234"/>
      <c r="S61" s="1240"/>
      <c r="T61" s="1243" t="s">
        <v>406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407" customFormat="1" ht="0" hidden="1" customHeight="1">
      <c r="A62" s="1261" t="s">
        <v>237</v>
      </c>
      <c r="B62" s="1261"/>
      <c r="C62" s="1261"/>
      <c r="D62" s="1261"/>
      <c r="E62" s="2642"/>
      <c r="F62" s="1261"/>
      <c r="G62" s="1261"/>
      <c r="H62" s="1261"/>
      <c r="I62" s="1261"/>
      <c r="J62" s="1261"/>
      <c r="K62" s="1261"/>
      <c r="L62" s="1264"/>
      <c r="M62" s="1239"/>
      <c r="N62" s="1239"/>
      <c r="O62" s="454"/>
      <c r="P62" s="316"/>
      <c r="Q62" s="1262"/>
      <c r="R62" s="316"/>
      <c r="S62" s="1240"/>
      <c r="T62" s="1243" t="s">
        <v>407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407"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439</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641"/>
      <c r="U65" s="2641"/>
      <c r="V65" s="2641"/>
      <c r="W65" s="2641"/>
      <c r="X65" s="2641"/>
      <c r="Y65" s="2641"/>
      <c r="Z65" s="2641"/>
      <c r="AA65" s="2641"/>
      <c r="AB65" s="2641"/>
      <c r="AC65" s="2641"/>
      <c r="AD65" s="2641"/>
      <c r="AE65" s="2641"/>
      <c r="AF65" s="2641"/>
      <c r="AG65" s="2641"/>
      <c r="AH65" s="2641"/>
      <c r="AI65" s="2641"/>
      <c r="AJ65" s="2641"/>
      <c r="AK65" s="2641"/>
      <c r="AL65" s="2641"/>
      <c r="AM65" s="2641"/>
      <c r="AN65" s="2641"/>
      <c r="AO65" s="2641"/>
      <c r="AP65" s="2641"/>
      <c r="AQ65" s="2641"/>
      <c r="AR65" s="2641"/>
      <c r="AS65" s="2641"/>
      <c r="AT65" s="2641"/>
      <c r="AU65" s="2641"/>
      <c r="AV65" s="2641"/>
      <c r="AW65" s="2641"/>
      <c r="AX65" s="2641"/>
      <c r="AY65" s="2641"/>
      <c r="AZ65" s="2641"/>
      <c r="BA65" s="2641"/>
      <c r="BB65" s="2641"/>
      <c r="BC65" s="2641"/>
      <c r="BI65" s="1073">
        <v>19</v>
      </c>
    </row>
    <row r="66" spans="1:61" ht="14.65" customHeight="1">
      <c r="O66" s="473"/>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3"/>
      <c r="S67" s="1171"/>
      <c r="T67" s="2641"/>
      <c r="U67" s="2641"/>
      <c r="V67" s="2641"/>
      <c r="W67" s="2641"/>
      <c r="X67" s="2641"/>
      <c r="Y67" s="2641"/>
      <c r="Z67" s="2641"/>
      <c r="AA67" s="2641"/>
      <c r="AB67" s="2641"/>
      <c r="AC67" s="2641"/>
      <c r="AD67" s="2641"/>
      <c r="AE67" s="2641"/>
      <c r="AF67" s="2641"/>
      <c r="AG67" s="2641"/>
      <c r="AH67" s="2641"/>
      <c r="AI67" s="2641"/>
      <c r="AJ67" s="2641"/>
      <c r="AK67" s="2641"/>
      <c r="AL67" s="2641"/>
      <c r="AM67" s="2641"/>
      <c r="AN67" s="2641"/>
      <c r="AO67" s="2641"/>
      <c r="AP67" s="2641"/>
      <c r="AQ67" s="2641"/>
      <c r="AR67" s="2641"/>
      <c r="AS67" s="2641"/>
      <c r="AT67" s="2641"/>
      <c r="AU67" s="2641"/>
      <c r="AV67" s="2641"/>
      <c r="AW67" s="2641"/>
      <c r="AX67" s="2641"/>
      <c r="AY67" s="2641"/>
      <c r="AZ67" s="2641"/>
      <c r="BA67" s="2641"/>
      <c r="BB67" s="2641"/>
      <c r="BC67" s="2641"/>
      <c r="BI67" s="1073">
        <v>19</v>
      </c>
    </row>
    <row r="68" spans="1:61" ht="14.65" customHeight="1">
      <c r="O68" s="473"/>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4.140625" style="2406" hidden="1" customWidth="1"/>
    <col min="10" max="10" width="9.85546875" style="2406" hidden="1" customWidth="1"/>
    <col min="11" max="11" width="14.7109375" style="2406" hidden="1" customWidth="1"/>
    <col min="12" max="12" width="19.140625" style="2432" hidden="1" customWidth="1"/>
    <col min="13" max="14" width="12.28515625" style="2433" hidden="1" customWidth="1"/>
    <col min="15" max="15" width="23.42578125" style="2433" hidden="1" customWidth="1"/>
    <col min="16" max="16" width="3" style="2434" customWidth="1"/>
    <col min="17" max="18" width="3" style="2435" customWidth="1"/>
    <col min="19" max="19" width="12" style="2436" customWidth="1"/>
    <col min="20" max="20" width="35" style="2400" customWidth="1"/>
    <col min="21" max="21" width="0.140625" style="2400" customWidth="1"/>
    <col min="22" max="24" width="24.7109375" style="2400" hidden="1" customWidth="1"/>
    <col min="25" max="25" width="11.7109375" style="2400" hidden="1" customWidth="1"/>
    <col min="26" max="26" width="3.7109375" style="2400" hidden="1" customWidth="1"/>
    <col min="27" max="27" width="11.7109375" style="2400" hidden="1" customWidth="1"/>
    <col min="28" max="28" width="8.5703125" style="2400" hidden="1" customWidth="1"/>
    <col min="29" max="29" width="24.7109375" style="2400" customWidth="1"/>
    <col min="30" max="31" width="24" style="2400" customWidth="1"/>
    <col min="32" max="32" width="11" style="2400" customWidth="1"/>
    <col min="33" max="33" width="3.7109375" style="2400" customWidth="1"/>
    <col min="34" max="34" width="11" style="2400" customWidth="1"/>
    <col min="35" max="35" width="8.5703125" style="2400" hidden="1" customWidth="1"/>
    <col min="36" max="36" width="4" style="2400" customWidth="1"/>
    <col min="37" max="37" width="115" style="2400" customWidth="1"/>
    <col min="38" max="42" width="10" style="2407" customWidth="1"/>
    <col min="43" max="43" width="10.5703125" style="2400" hidden="1"/>
  </cols>
  <sheetData>
    <row r="1" spans="1:43" ht="22.5" hidden="1" customHeight="1">
      <c r="X1" s="264"/>
      <c r="Y1" s="264"/>
      <c r="AE1" s="264"/>
      <c r="AF1" s="264"/>
      <c r="AQ1" s="1073" t="s">
        <v>14</v>
      </c>
    </row>
    <row r="2" spans="1:43" ht="23.25" hidden="1" customHeight="1">
      <c r="A2" s="1281"/>
      <c r="B2" s="1281"/>
      <c r="C2" s="1281"/>
      <c r="D2" s="1281"/>
      <c r="E2" s="2642">
        <v>1</v>
      </c>
      <c r="F2" s="1281"/>
      <c r="G2" s="1281"/>
      <c r="H2" s="1281"/>
      <c r="I2" s="1281"/>
      <c r="J2" s="1281"/>
      <c r="K2" s="1281"/>
      <c r="L2" s="1282"/>
      <c r="M2" s="1283"/>
      <c r="N2" s="1283"/>
      <c r="O2" s="1283"/>
      <c r="P2" s="297"/>
      <c r="Q2" s="296"/>
      <c r="R2" s="291"/>
      <c r="S2" s="1411" t="e">
        <f>INDEX(PT_DIFFERENTIATION_NUM_NTAR,MATCH(A2,PT_DIFFERENTIATION_NTAR_ID,0))</f>
        <v>#N/A</v>
      </c>
      <c r="T2" s="235" t="s">
        <v>116</v>
      </c>
      <c r="U2" s="237"/>
      <c r="V2" s="2636"/>
      <c r="W2" s="2637"/>
      <c r="X2" s="2637"/>
      <c r="Y2" s="2637"/>
      <c r="Z2" s="2637"/>
      <c r="AA2" s="2637"/>
      <c r="AB2" s="2638"/>
      <c r="AC2" s="2636" t="e">
        <f>INDEX(PT_DIFFERENTIATION_NTAR,MATCH(A2,PT_DIFFERENTIATION_NTAR_ID,0))</f>
        <v>#N/A</v>
      </c>
      <c r="AD2" s="2637"/>
      <c r="AE2" s="2637"/>
      <c r="AF2" s="2637"/>
      <c r="AG2" s="2637"/>
      <c r="AH2" s="2637"/>
      <c r="AI2" s="2637"/>
      <c r="AJ2" s="263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643"/>
      <c r="F3" s="2642">
        <v>1</v>
      </c>
      <c r="G3" s="1281"/>
      <c r="H3" s="1281"/>
      <c r="I3" s="1281"/>
      <c r="J3" s="1281"/>
      <c r="K3" s="1281"/>
      <c r="L3" s="1282"/>
      <c r="M3" s="1283"/>
      <c r="N3" s="1283"/>
      <c r="O3" s="1283"/>
      <c r="P3" s="1405"/>
      <c r="Q3" s="288"/>
      <c r="R3" s="289"/>
      <c r="S3" s="1411" t="e">
        <f>INDEX(PT_DIFFERENTIATION_NUM_TER,MATCH(B3,PT_DIFFERENTIATION_TER_ID,0))</f>
        <v>#N/A</v>
      </c>
      <c r="T3" s="245" t="s">
        <v>388</v>
      </c>
      <c r="U3" s="237"/>
      <c r="V3" s="2636"/>
      <c r="W3" s="2637"/>
      <c r="X3" s="2637"/>
      <c r="Y3" s="2637"/>
      <c r="Z3" s="2637"/>
      <c r="AA3" s="2637"/>
      <c r="AB3" s="2638"/>
      <c r="AC3" s="2636" t="e">
        <f>INDEX(PT_DIFFERENTIATION_TER,MATCH(B3,PT_DIFFERENTIATION_TER_ID,0))</f>
        <v>#N/A</v>
      </c>
      <c r="AD3" s="2637"/>
      <c r="AE3" s="2637"/>
      <c r="AF3" s="2637"/>
      <c r="AG3" s="2637"/>
      <c r="AH3" s="2637"/>
      <c r="AI3" s="2637"/>
      <c r="AJ3" s="2638"/>
      <c r="AK3" s="1176" t="s">
        <v>389</v>
      </c>
      <c r="AM3" s="436"/>
      <c r="AN3" s="436" t="str">
        <f t="shared" si="0"/>
        <v>Территория действия тарифа</v>
      </c>
      <c r="AO3" s="436"/>
      <c r="AP3" s="436"/>
      <c r="AQ3" s="1073">
        <v>0</v>
      </c>
    </row>
    <row r="4" spans="1:43" ht="23.25" hidden="1" customHeight="1">
      <c r="A4" s="1281"/>
      <c r="B4" s="1281"/>
      <c r="C4" s="1281"/>
      <c r="D4" s="1281"/>
      <c r="E4" s="2643"/>
      <c r="F4" s="2643"/>
      <c r="G4" s="2642">
        <v>1</v>
      </c>
      <c r="H4" s="1281"/>
      <c r="I4" s="1281"/>
      <c r="J4" s="1281"/>
      <c r="K4" s="1281"/>
      <c r="L4" s="1282"/>
      <c r="M4" s="1283"/>
      <c r="N4" s="1283"/>
      <c r="O4" s="1283"/>
      <c r="P4" s="290"/>
      <c r="Q4" s="288"/>
      <c r="R4" s="289"/>
      <c r="S4" s="1411" t="e">
        <f>INDEX(PT_DIFFERENTIATION_NUM_CS,MATCH(C4,PT_DIFFERENTIATION_CS_ID,0))</f>
        <v>#N/A</v>
      </c>
      <c r="T4" s="246" t="s">
        <v>507</v>
      </c>
      <c r="U4" s="237"/>
      <c r="V4" s="2636"/>
      <c r="W4" s="2637"/>
      <c r="X4" s="2637"/>
      <c r="Y4" s="2637"/>
      <c r="Z4" s="2637"/>
      <c r="AA4" s="2637"/>
      <c r="AB4" s="2638"/>
      <c r="AC4" s="2636" t="e">
        <f>INDEX(PT_DIFFERENTIATION_CS,MATCH(C4,PT_DIFFERENTIATION_CS_ID,0))</f>
        <v>#N/A</v>
      </c>
      <c r="AD4" s="2637"/>
      <c r="AE4" s="2637"/>
      <c r="AF4" s="2637"/>
      <c r="AG4" s="2637"/>
      <c r="AH4" s="2637"/>
      <c r="AI4" s="2637"/>
      <c r="AJ4" s="2638"/>
      <c r="AK4" s="1176" t="s">
        <v>508</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643"/>
      <c r="F5" s="2643"/>
      <c r="G5" s="2643"/>
      <c r="H5" s="2643"/>
      <c r="I5" s="2644" t="e">
        <f>S4&amp;".1"</f>
        <v>#N/A</v>
      </c>
      <c r="J5" s="1281"/>
      <c r="K5" s="1281"/>
      <c r="L5" s="1282"/>
      <c r="P5" s="2646">
        <v>1</v>
      </c>
      <c r="Q5" s="1399"/>
      <c r="R5" s="292"/>
      <c r="S5" s="1411" t="e">
        <f>$I5</f>
        <v>#N/A</v>
      </c>
      <c r="T5" s="222" t="s">
        <v>474</v>
      </c>
      <c r="U5" s="237"/>
      <c r="V5" s="2710"/>
      <c r="W5" s="2711"/>
      <c r="X5" s="2711"/>
      <c r="Y5" s="2711"/>
      <c r="Z5" s="2711"/>
      <c r="AA5" s="2711"/>
      <c r="AB5" s="2712"/>
      <c r="AC5" s="2713"/>
      <c r="AD5" s="2714"/>
      <c r="AE5" s="2714"/>
      <c r="AF5" s="2714"/>
      <c r="AG5" s="2714"/>
      <c r="AH5" s="2714"/>
      <c r="AI5" s="2714"/>
      <c r="AJ5" s="2715"/>
      <c r="AK5" s="1176" t="s">
        <v>475</v>
      </c>
      <c r="AM5" s="436"/>
      <c r="AN5" s="436" t="str">
        <f t="shared" si="0"/>
        <v>Наименование признака дифференциации</v>
      </c>
      <c r="AO5" s="436"/>
      <c r="AP5" s="436"/>
      <c r="AQ5" s="1073">
        <v>0</v>
      </c>
    </row>
    <row r="6" spans="1:43" ht="23.25" hidden="1" customHeight="1">
      <c r="A6" s="1281"/>
      <c r="B6" s="1281"/>
      <c r="C6" s="1281"/>
      <c r="D6" s="1281"/>
      <c r="E6" s="2643"/>
      <c r="F6" s="2643"/>
      <c r="G6" s="2643"/>
      <c r="H6" s="2643"/>
      <c r="I6" s="2645"/>
      <c r="J6" s="2644" t="e">
        <f>I5&amp;".1"</f>
        <v>#N/A</v>
      </c>
      <c r="K6" s="1281"/>
      <c r="L6" s="1282" t="s">
        <v>397</v>
      </c>
      <c r="P6" s="2646"/>
      <c r="Q6" s="2646">
        <v>1</v>
      </c>
      <c r="R6" s="293"/>
      <c r="S6" s="1411" t="e">
        <f>$J6</f>
        <v>#N/A</v>
      </c>
      <c r="T6" s="223" t="s">
        <v>398</v>
      </c>
      <c r="U6" s="237"/>
      <c r="V6" s="2630"/>
      <c r="W6" s="2631"/>
      <c r="X6" s="2631"/>
      <c r="Y6" s="2631"/>
      <c r="Z6" s="2631"/>
      <c r="AA6" s="2631"/>
      <c r="AB6" s="2632"/>
      <c r="AC6" s="2630"/>
      <c r="AD6" s="2631"/>
      <c r="AE6" s="2631"/>
      <c r="AF6" s="2631"/>
      <c r="AG6" s="2631"/>
      <c r="AH6" s="2631"/>
      <c r="AI6" s="2631"/>
      <c r="AJ6" s="2632"/>
      <c r="AK6" s="1225" t="s">
        <v>476</v>
      </c>
      <c r="AM6" s="436"/>
      <c r="AN6" s="436" t="str">
        <f t="shared" si="0"/>
        <v>Группа потребителей</v>
      </c>
      <c r="AO6" s="436"/>
      <c r="AP6" s="436"/>
      <c r="AQ6" s="1073">
        <v>0</v>
      </c>
    </row>
    <row r="7" spans="1:43" ht="23.25" hidden="1" customHeight="1">
      <c r="A7" s="1281"/>
      <c r="B7" s="1281"/>
      <c r="C7" s="1281"/>
      <c r="D7" s="1281"/>
      <c r="E7" s="2643"/>
      <c r="F7" s="2643"/>
      <c r="G7" s="2643"/>
      <c r="H7" s="2643"/>
      <c r="I7" s="2645"/>
      <c r="J7" s="2645"/>
      <c r="K7" s="2644" t="e">
        <f>J6&amp;".1"</f>
        <v>#N/A</v>
      </c>
      <c r="L7" s="1282"/>
      <c r="P7" s="2646"/>
      <c r="Q7" s="2646"/>
      <c r="R7" s="293">
        <v>1</v>
      </c>
      <c r="S7" s="1411" t="e">
        <f>$K7</f>
        <v>#N/A</v>
      </c>
      <c r="T7" s="1355"/>
      <c r="U7" s="237"/>
      <c r="V7" s="687"/>
      <c r="W7" s="687"/>
      <c r="X7" s="1175"/>
      <c r="Y7" s="2647"/>
      <c r="Z7" s="2524" t="s">
        <v>65</v>
      </c>
      <c r="AA7" s="2647"/>
      <c r="AB7" s="2524" t="s">
        <v>65</v>
      </c>
      <c r="AC7" s="687"/>
      <c r="AD7" s="687"/>
      <c r="AE7" s="1175"/>
      <c r="AF7" s="2647"/>
      <c r="AG7" s="2524" t="s">
        <v>65</v>
      </c>
      <c r="AH7" s="2649"/>
      <c r="AI7" s="2524" t="s">
        <v>65</v>
      </c>
      <c r="AJ7" s="1356"/>
      <c r="AK7"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643"/>
      <c r="F8" s="2643"/>
      <c r="G8" s="2643"/>
      <c r="H8" s="2643"/>
      <c r="I8" s="2645"/>
      <c r="J8" s="2645"/>
      <c r="K8" s="2644"/>
      <c r="L8" s="1282"/>
      <c r="P8" s="2646"/>
      <c r="Q8" s="2646"/>
      <c r="R8" s="293"/>
      <c r="S8" s="1408"/>
      <c r="T8" s="237"/>
      <c r="U8" s="237"/>
      <c r="V8" s="262"/>
      <c r="W8" s="262"/>
      <c r="X8" s="265" t="str">
        <f>Y7&amp;"-"&amp;AA7</f>
        <v>-</v>
      </c>
      <c r="Y8" s="2648"/>
      <c r="Z8" s="2524"/>
      <c r="AA8" s="2648"/>
      <c r="AB8" s="2524"/>
      <c r="AC8" s="262"/>
      <c r="AD8" s="262"/>
      <c r="AE8" s="265" t="str">
        <f>AF7&amp;"-"&amp;AH7</f>
        <v>-</v>
      </c>
      <c r="AF8" s="2648"/>
      <c r="AG8" s="2524"/>
      <c r="AH8" s="2650"/>
      <c r="AI8" s="2524"/>
      <c r="AJ8" s="1357"/>
      <c r="AK8" s="2716"/>
      <c r="AM8" s="436"/>
      <c r="AN8" s="436" t="str">
        <f t="shared" si="0"/>
        <v/>
      </c>
      <c r="AO8" s="436"/>
      <c r="AP8" s="436"/>
      <c r="AQ8" s="1073">
        <v>0</v>
      </c>
    </row>
    <row r="9" spans="1:43" ht="21" hidden="1" customHeight="1">
      <c r="A9" s="1281"/>
      <c r="B9" s="1281"/>
      <c r="C9" s="1281"/>
      <c r="D9" s="1281"/>
      <c r="E9" s="2643"/>
      <c r="F9" s="2643"/>
      <c r="G9" s="2643"/>
      <c r="H9" s="2643"/>
      <c r="I9" s="2645"/>
      <c r="J9" s="2644"/>
      <c r="K9" s="1281"/>
      <c r="L9" s="1282"/>
      <c r="P9" s="2646"/>
      <c r="Q9" s="2646"/>
      <c r="R9" s="292"/>
      <c r="S9" s="1196"/>
      <c r="T9" s="224" t="s">
        <v>477</v>
      </c>
      <c r="U9" s="303"/>
      <c r="V9" s="303"/>
      <c r="W9" s="303"/>
      <c r="X9" s="303"/>
      <c r="Y9" s="303"/>
      <c r="Z9" s="303"/>
      <c r="AA9" s="303"/>
      <c r="AB9" s="303"/>
      <c r="AC9" s="303"/>
      <c r="AD9" s="303"/>
      <c r="AE9" s="303"/>
      <c r="AF9" s="303"/>
      <c r="AG9" s="303"/>
      <c r="AH9" s="303"/>
      <c r="AI9" s="303"/>
      <c r="AJ9" s="303"/>
      <c r="AK9" s="1176" t="s">
        <v>478</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643"/>
      <c r="F10" s="2643"/>
      <c r="G10" s="2643"/>
      <c r="H10" s="2643"/>
      <c r="I10" s="2644"/>
      <c r="J10" s="1281"/>
      <c r="K10" s="1281"/>
      <c r="L10" s="1282"/>
      <c r="P10" s="2646"/>
      <c r="Q10" s="1399"/>
      <c r="R10" s="292"/>
      <c r="S10" s="1196"/>
      <c r="T10" s="301" t="s">
        <v>403</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643"/>
      <c r="F11" s="2643"/>
      <c r="G11" s="2643"/>
      <c r="H11" s="2642"/>
      <c r="I11" s="1281"/>
      <c r="J11" s="1281"/>
      <c r="K11" s="1281"/>
      <c r="L11" s="1282"/>
      <c r="M11" s="1283"/>
      <c r="N11" s="1283"/>
      <c r="O11" s="473"/>
      <c r="P11" s="296"/>
      <c r="Q11" s="311"/>
      <c r="R11" s="291"/>
      <c r="S11" s="1196"/>
      <c r="T11" s="308" t="s">
        <v>479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7" customFormat="1" ht="14.25" hidden="1" customHeight="1">
      <c r="A12" s="1261"/>
      <c r="B12" s="1261"/>
      <c r="C12" s="1232"/>
      <c r="D12" s="1232"/>
      <c r="E12" s="2643"/>
      <c r="F12" s="2642"/>
      <c r="G12" s="1232"/>
      <c r="H12" s="1232"/>
      <c r="I12" s="1232"/>
      <c r="J12" s="1232"/>
      <c r="K12" s="1232"/>
      <c r="L12" s="1412"/>
      <c r="M12" s="1239"/>
      <c r="N12" s="1239"/>
      <c r="P12" s="1234"/>
      <c r="Q12" s="1235"/>
      <c r="R12" s="1234"/>
      <c r="S12" s="1240"/>
      <c r="T12" s="1243" t="s">
        <v>406</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7" customFormat="1" ht="14.25" hidden="1" customHeight="1">
      <c r="A13" s="1261"/>
      <c r="B13" s="1261"/>
      <c r="C13" s="1261"/>
      <c r="D13" s="1261"/>
      <c r="E13" s="2642"/>
      <c r="F13" s="1261"/>
      <c r="G13" s="1261"/>
      <c r="H13" s="1261"/>
      <c r="I13" s="1261"/>
      <c r="J13" s="1261"/>
      <c r="K13" s="1261"/>
      <c r="L13" s="1264"/>
      <c r="M13" s="1239"/>
      <c r="N13" s="1239"/>
      <c r="O13" s="454"/>
      <c r="P13" s="316"/>
      <c r="Q13" s="1262"/>
      <c r="R13" s="316"/>
      <c r="S13" s="1240"/>
      <c r="T13" s="1243" t="s">
        <v>407</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640"/>
      <c r="AG15" s="2639" t="s">
        <v>65</v>
      </c>
      <c r="AH15" s="2640"/>
      <c r="AI15" s="2639" t="s">
        <v>65</v>
      </c>
      <c r="AQ15" s="1073">
        <v>0</v>
      </c>
    </row>
    <row r="16" spans="1:43" ht="14.25" hidden="1" customHeight="1">
      <c r="AC16" s="1278"/>
      <c r="AD16" s="1278"/>
      <c r="AE16" s="265" t="str">
        <f>AF15&amp;"-"&amp;AH15</f>
        <v>-</v>
      </c>
      <c r="AF16" s="2639"/>
      <c r="AG16" s="2639"/>
      <c r="AH16" s="2639"/>
      <c r="AI16" s="2639"/>
      <c r="AQ16" s="1073">
        <v>0</v>
      </c>
    </row>
    <row r="17" spans="1:43" ht="14.25" hidden="1" customHeight="1">
      <c r="AI17" s="264"/>
      <c r="AQ17" s="1073">
        <v>0</v>
      </c>
    </row>
    <row r="18" spans="1:43" s="2406" customFormat="1" ht="22.5" hidden="1" customHeight="1">
      <c r="L18" s="1396"/>
      <c r="M18" s="1280"/>
      <c r="N18" s="1280"/>
      <c r="O18" s="1285" t="s">
        <v>408</v>
      </c>
      <c r="P18" s="1280"/>
      <c r="Q18" s="1289"/>
      <c r="R18" s="1289"/>
      <c r="S18" s="665"/>
      <c r="Y18" s="1285"/>
      <c r="AA18" s="1285"/>
      <c r="AB18" s="1284"/>
      <c r="AF18" s="1285"/>
      <c r="AH18" s="1285"/>
      <c r="AI18" s="1284"/>
      <c r="AL18" s="447"/>
      <c r="AM18" s="447"/>
      <c r="AN18" s="447"/>
      <c r="AO18" s="447"/>
      <c r="AP18" s="447"/>
      <c r="AQ18" s="1078">
        <v>0</v>
      </c>
    </row>
    <row r="19" spans="1:43" s="2406"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406" customFormat="1" ht="12" hidden="1" customHeight="1">
      <c r="L20" s="1396"/>
      <c r="M20" s="1280"/>
      <c r="N20" s="1280"/>
      <c r="O20" s="1282" t="s">
        <v>409</v>
      </c>
      <c r="P20" s="1280"/>
      <c r="Q20" s="1360"/>
      <c r="R20" s="1360"/>
      <c r="S20" s="665"/>
      <c r="T20" s="1078" t="s">
        <v>410</v>
      </c>
      <c r="Z20" s="123" t="s">
        <v>411</v>
      </c>
      <c r="AB20" s="123" t="s">
        <v>412</v>
      </c>
      <c r="AC20" s="1078" t="s">
        <v>410</v>
      </c>
      <c r="AG20" s="123" t="s">
        <v>413</v>
      </c>
      <c r="AI20" s="123" t="s">
        <v>412</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62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23"/>
      <c r="U24" s="2623"/>
      <c r="V24" s="2623"/>
      <c r="W24" s="2623"/>
      <c r="X24" s="2623"/>
      <c r="Y24" s="2623"/>
      <c r="Z24" s="2623"/>
      <c r="AA24" s="2623"/>
      <c r="AB24" s="2623"/>
      <c r="AC24" s="2623"/>
      <c r="AD24" s="2623"/>
      <c r="AE24" s="2623"/>
      <c r="AF24" s="2623"/>
      <c r="AG24" s="2623"/>
      <c r="AH24" s="2623"/>
      <c r="AI24" s="1161"/>
      <c r="AQ24" s="1073">
        <v>14</v>
      </c>
    </row>
    <row r="25" spans="1:43" ht="14.65" customHeight="1">
      <c r="Q25" s="312"/>
      <c r="R25" s="312"/>
      <c r="S25" s="2595" t="str">
        <f>IF(org=0,"Не определено",org)</f>
        <v>ПАО "ТГК-1" (филиал "Кольский")</v>
      </c>
      <c r="T25" s="2595"/>
      <c r="U25" s="2595"/>
      <c r="V25" s="2595"/>
      <c r="W25" s="2595"/>
      <c r="X25" s="2595"/>
      <c r="Y25" s="2595"/>
      <c r="Z25" s="2595"/>
      <c r="AA25" s="2595"/>
      <c r="AB25" s="2595"/>
      <c r="AC25" s="2595"/>
      <c r="AD25" s="2595"/>
      <c r="AE25" s="2595"/>
      <c r="AF25" s="2595"/>
      <c r="AG25" s="2595"/>
      <c r="AH25" s="2595"/>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6" customFormat="1" ht="25.5" hidden="1" customHeight="1">
      <c r="A27" s="1286"/>
      <c r="B27" s="1286"/>
      <c r="C27" s="1286"/>
      <c r="D27" s="1286"/>
      <c r="E27" s="1286"/>
      <c r="F27" s="1286"/>
      <c r="G27" s="1286"/>
      <c r="H27" s="1286"/>
      <c r="I27" s="1286"/>
      <c r="J27" s="1286"/>
      <c r="K27" s="1286"/>
      <c r="L27" s="1287"/>
      <c r="M27" s="1286"/>
      <c r="N27" s="1286"/>
      <c r="O27" s="1286"/>
      <c r="S27" s="2633" t="s">
        <v>41</v>
      </c>
      <c r="T27" s="2633"/>
      <c r="U27" s="1290"/>
      <c r="V27" s="2635" t="str">
        <f>IF(TITLE_NAME_OR_PR_CHANGE="",IF(TITLE_NAME_OR_PR="","",TITLE_NAME_OR_PR),TITLE_NAME_OR_PR_CHANGE)</f>
        <v/>
      </c>
      <c r="W27" s="2635"/>
      <c r="X27" s="2635"/>
      <c r="Y27" s="2635"/>
      <c r="Z27" s="2635"/>
      <c r="AA27" s="2635"/>
      <c r="AB27" s="263"/>
      <c r="AC27" s="2635" t="str">
        <f>IF(TITLE_NAME_OR_PR_CHANGE="",IF(TITLE_NAME_OR_PR="","",TITLE_NAME_OR_PR),TITLE_NAME_OR_PR_CHANGE)</f>
        <v/>
      </c>
      <c r="AD27" s="2635"/>
      <c r="AE27" s="2635"/>
      <c r="AF27" s="2635"/>
      <c r="AG27" s="2635"/>
      <c r="AH27" s="2635"/>
      <c r="AI27" s="263"/>
      <c r="AJ27" s="263"/>
      <c r="AK27" s="217"/>
      <c r="AL27" s="304"/>
      <c r="AM27" s="304"/>
      <c r="AN27" s="304"/>
      <c r="AO27" s="304"/>
      <c r="AP27" s="304"/>
      <c r="AQ27" s="354">
        <v>0</v>
      </c>
    </row>
    <row r="28" spans="1:43" s="2416" customFormat="1" ht="18.75" hidden="1" customHeight="1">
      <c r="A28" s="1286"/>
      <c r="B28" s="1286"/>
      <c r="C28" s="1286"/>
      <c r="D28" s="1286"/>
      <c r="E28" s="1286"/>
      <c r="F28" s="1286"/>
      <c r="G28" s="1286"/>
      <c r="H28" s="1286"/>
      <c r="I28" s="1286"/>
      <c r="J28" s="1286"/>
      <c r="K28" s="1286"/>
      <c r="L28" s="1287"/>
      <c r="M28" s="1286"/>
      <c r="N28" s="1286"/>
      <c r="O28" s="1286"/>
      <c r="S28" s="2633" t="s">
        <v>414</v>
      </c>
      <c r="T28" s="2633"/>
      <c r="U28" s="1290"/>
      <c r="V28" s="2634" t="str">
        <f>IF(TITLE_DATE_PR_CHANGE="",IF(TITLE_DATE_PR="","",TITLE_DATE_PR),TITLE_DATE_PR_CHANGE)</f>
        <v/>
      </c>
      <c r="W28" s="2634"/>
      <c r="X28" s="2634"/>
      <c r="Y28" s="2634"/>
      <c r="Z28" s="2634"/>
      <c r="AA28" s="2634"/>
      <c r="AB28" s="263"/>
      <c r="AC28" s="2634" t="str">
        <f>IF(TITLE_DATE_PR_CHANGE="",IF(TITLE_DATE_PR="","",TITLE_DATE_PR),TITLE_DATE_PR_CHANGE)</f>
        <v/>
      </c>
      <c r="AD28" s="2634"/>
      <c r="AE28" s="2634"/>
      <c r="AF28" s="2634"/>
      <c r="AG28" s="2634"/>
      <c r="AH28" s="2634"/>
      <c r="AI28" s="263"/>
      <c r="AJ28" s="263"/>
      <c r="AK28" s="217"/>
      <c r="AL28" s="304"/>
      <c r="AM28" s="304"/>
      <c r="AN28" s="304"/>
      <c r="AO28" s="304"/>
      <c r="AP28" s="304"/>
      <c r="AQ28" s="354">
        <v>0</v>
      </c>
    </row>
    <row r="29" spans="1:43" s="2416" customFormat="1" ht="18.75" hidden="1" customHeight="1">
      <c r="A29" s="1286"/>
      <c r="B29" s="1286"/>
      <c r="C29" s="1286"/>
      <c r="D29" s="1286"/>
      <c r="E29" s="1286"/>
      <c r="F29" s="1286"/>
      <c r="G29" s="1286"/>
      <c r="H29" s="1286"/>
      <c r="I29" s="1286"/>
      <c r="J29" s="1286"/>
      <c r="K29" s="1286"/>
      <c r="L29" s="1287"/>
      <c r="M29" s="1286"/>
      <c r="N29" s="1286"/>
      <c r="O29" s="1286"/>
      <c r="S29" s="2633" t="s">
        <v>415</v>
      </c>
      <c r="T29" s="2633"/>
      <c r="U29" s="1290"/>
      <c r="V29" s="2635" t="str">
        <f>IF(TITLE_NUMBER_PR_CHANGE="",IF(TITLE_NUMBER_PR="","",TITLE_NUMBER_PR),TITLE_NUMBER_PR_CHANGE)</f>
        <v/>
      </c>
      <c r="W29" s="2635"/>
      <c r="X29" s="2635"/>
      <c r="Y29" s="2635"/>
      <c r="Z29" s="2635"/>
      <c r="AA29" s="2635"/>
      <c r="AB29" s="263"/>
      <c r="AC29" s="2635" t="str">
        <f>IF(TITLE_NUMBER_PR_CHANGE="",IF(TITLE_NUMBER_PR="","",TITLE_NUMBER_PR),TITLE_NUMBER_PR_CHANGE)</f>
        <v/>
      </c>
      <c r="AD29" s="2635"/>
      <c r="AE29" s="2635"/>
      <c r="AF29" s="2635"/>
      <c r="AG29" s="2635"/>
      <c r="AH29" s="2635"/>
      <c r="AI29" s="263"/>
      <c r="AJ29" s="263"/>
      <c r="AK29" s="217"/>
      <c r="AL29" s="304"/>
      <c r="AM29" s="304"/>
      <c r="AN29" s="304"/>
      <c r="AO29" s="304"/>
      <c r="AP29" s="304"/>
      <c r="AQ29" s="354">
        <v>0</v>
      </c>
    </row>
    <row r="30" spans="1:43" s="2416" customFormat="1" ht="18.75" hidden="1" customHeight="1">
      <c r="A30" s="1286"/>
      <c r="B30" s="1286"/>
      <c r="C30" s="1286"/>
      <c r="D30" s="1286"/>
      <c r="E30" s="1286"/>
      <c r="F30" s="1286"/>
      <c r="G30" s="1286"/>
      <c r="H30" s="1286"/>
      <c r="I30" s="1286"/>
      <c r="J30" s="1286"/>
      <c r="K30" s="1286"/>
      <c r="L30" s="1287"/>
      <c r="M30" s="1286"/>
      <c r="N30" s="1286"/>
      <c r="O30" s="1286"/>
      <c r="S30" s="2633" t="s">
        <v>42</v>
      </c>
      <c r="T30" s="2633"/>
      <c r="U30" s="1290"/>
      <c r="V30" s="2635" t="str">
        <f>IF(TITLE_IST_PUB_CHANGE="",IF(TITLE_IST_PUB="","",TITLE_IST_PUB),TITLE_IST_PUB_CHANGE)</f>
        <v/>
      </c>
      <c r="W30" s="2635"/>
      <c r="X30" s="2635"/>
      <c r="Y30" s="2635"/>
      <c r="Z30" s="2635"/>
      <c r="AA30" s="2635"/>
      <c r="AB30" s="263"/>
      <c r="AC30" s="2635" t="str">
        <f>IF(TITLE_IST_PUB_CHANGE="",IF(TITLE_IST_PUB="","",TITLE_IST_PUB),TITLE_IST_PUB_CHANGE)</f>
        <v/>
      </c>
      <c r="AD30" s="2635"/>
      <c r="AE30" s="2635"/>
      <c r="AF30" s="2635"/>
      <c r="AG30" s="2635"/>
      <c r="AH30" s="2635"/>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6" customFormat="1" ht="18.75" hidden="1" customHeight="1">
      <c r="A32" s="1286"/>
      <c r="B32" s="1286"/>
      <c r="C32" s="1286"/>
      <c r="D32" s="1286"/>
      <c r="E32" s="1286"/>
      <c r="F32" s="1286"/>
      <c r="G32" s="1286"/>
      <c r="H32" s="1286"/>
      <c r="I32" s="1286"/>
      <c r="J32" s="1286"/>
      <c r="K32" s="1286"/>
      <c r="L32" s="1287"/>
      <c r="M32" s="1286"/>
      <c r="N32" s="1286"/>
      <c r="O32" s="1286"/>
      <c r="S32" s="2633" t="s">
        <v>416</v>
      </c>
      <c r="T32" s="2633"/>
      <c r="U32" s="1290"/>
      <c r="V32" s="2634" t="str">
        <f>IF(TITLE_DATE_PR_CHANGE="",IF(TITLE_DATE_PR="","",TITLE_DATE_PR),TITLE_DATE_PR_CHANGE)</f>
        <v/>
      </c>
      <c r="W32" s="2634"/>
      <c r="X32" s="2634"/>
      <c r="Y32" s="2634"/>
      <c r="Z32" s="2634"/>
      <c r="AA32" s="2634"/>
      <c r="AB32" s="263"/>
      <c r="AC32" s="2634" t="str">
        <f>IF(TITLE_DATE_PR_CHANGE="",IF(TITLE_DATE_PR="","",TITLE_DATE_PR),TITLE_DATE_PR_CHANGE)</f>
        <v/>
      </c>
      <c r="AD32" s="2634"/>
      <c r="AE32" s="2634"/>
      <c r="AF32" s="2634"/>
      <c r="AG32" s="2634"/>
      <c r="AH32" s="2634"/>
      <c r="AI32" s="263"/>
      <c r="AJ32" s="263"/>
      <c r="AK32" s="217"/>
      <c r="AL32" s="304"/>
      <c r="AM32" s="304"/>
      <c r="AN32" s="304"/>
      <c r="AO32" s="304"/>
      <c r="AP32" s="304"/>
      <c r="AQ32" s="354">
        <v>0</v>
      </c>
    </row>
    <row r="33" spans="1:43" s="2416" customFormat="1" ht="18.75" hidden="1" customHeight="1">
      <c r="A33" s="1286"/>
      <c r="B33" s="1286"/>
      <c r="C33" s="1286"/>
      <c r="D33" s="1286"/>
      <c r="E33" s="1286"/>
      <c r="F33" s="1286"/>
      <c r="G33" s="1286"/>
      <c r="H33" s="1286"/>
      <c r="I33" s="1286"/>
      <c r="J33" s="1286"/>
      <c r="K33" s="1286"/>
      <c r="L33" s="1287"/>
      <c r="M33" s="1286"/>
      <c r="N33" s="1286"/>
      <c r="O33" s="1286"/>
      <c r="S33" s="2633" t="s">
        <v>417</v>
      </c>
      <c r="T33" s="2633"/>
      <c r="U33" s="1290"/>
      <c r="V33" s="2635" t="str">
        <f>IF(TITLE_NUMBER_PR_CHANGE="",IF(TITLE_NUMBER_PR="","",TITLE_NUMBER_PR),TITLE_NUMBER_PR_CHANGE)</f>
        <v/>
      </c>
      <c r="W33" s="2635"/>
      <c r="X33" s="2635"/>
      <c r="Y33" s="2635"/>
      <c r="Z33" s="2635"/>
      <c r="AA33" s="2635"/>
      <c r="AB33" s="263"/>
      <c r="AC33" s="2635" t="str">
        <f>IF(TITLE_NUMBER_PR_CHANGE="",IF(TITLE_NUMBER_PR="","",TITLE_NUMBER_PR),TITLE_NUMBER_PR_CHANGE)</f>
        <v/>
      </c>
      <c r="AD33" s="2635"/>
      <c r="AE33" s="2635"/>
      <c r="AF33" s="2635"/>
      <c r="AG33" s="2635"/>
      <c r="AH33" s="2635"/>
      <c r="AI33" s="263"/>
      <c r="AJ33" s="263"/>
      <c r="AK33" s="217"/>
      <c r="AL33" s="304"/>
      <c r="AM33" s="304"/>
      <c r="AN33" s="304"/>
      <c r="AO33" s="304"/>
      <c r="AP33" s="304"/>
      <c r="AQ33" s="354">
        <v>0</v>
      </c>
    </row>
    <row r="34" spans="1:43" s="2416"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418</v>
      </c>
      <c r="AC34" s="263"/>
      <c r="AD34" s="263"/>
      <c r="AE34" s="263"/>
      <c r="AF34" s="263"/>
      <c r="AG34" s="263"/>
      <c r="AH34" s="263"/>
      <c r="AI34" s="215" t="s">
        <v>418</v>
      </c>
      <c r="AL34" s="304"/>
      <c r="AM34" s="304"/>
      <c r="AN34" s="304"/>
      <c r="AO34" s="304"/>
      <c r="AP34" s="304"/>
      <c r="AQ34" s="354">
        <v>1</v>
      </c>
    </row>
    <row r="35" spans="1:43" ht="14.65" customHeight="1">
      <c r="Q35" s="312"/>
      <c r="R35" s="312"/>
      <c r="S35" s="1193"/>
      <c r="T35" s="299"/>
      <c r="U35" s="1162"/>
      <c r="V35" s="2654"/>
      <c r="W35" s="2654"/>
      <c r="X35" s="2654"/>
      <c r="Y35" s="2654"/>
      <c r="Z35" s="2654"/>
      <c r="AA35" s="2654"/>
      <c r="AB35" s="2654"/>
      <c r="AC35" s="2654"/>
      <c r="AD35" s="2654"/>
      <c r="AE35" s="2654"/>
      <c r="AF35" s="2654"/>
      <c r="AG35" s="2654"/>
      <c r="AH35" s="2654"/>
      <c r="AI35" s="2654"/>
      <c r="AQ35" s="1073">
        <v>14</v>
      </c>
    </row>
    <row r="36" spans="1:43" ht="14.65" customHeight="1">
      <c r="Q36" s="312"/>
      <c r="R36" s="312"/>
      <c r="S36" s="2514" t="s">
        <v>291</v>
      </c>
      <c r="T36" s="2514"/>
      <c r="U36" s="2514"/>
      <c r="V36" s="2514"/>
      <c r="W36" s="2514"/>
      <c r="X36" s="2514"/>
      <c r="Y36" s="2514"/>
      <c r="Z36" s="2514"/>
      <c r="AA36" s="2514"/>
      <c r="AB36" s="2514"/>
      <c r="AC36" s="2514"/>
      <c r="AD36" s="2514"/>
      <c r="AE36" s="2514"/>
      <c r="AF36" s="2514"/>
      <c r="AG36" s="2514"/>
      <c r="AH36" s="2514"/>
      <c r="AI36" s="2514"/>
      <c r="AJ36" s="2514"/>
      <c r="AK36" s="2514" t="s">
        <v>292</v>
      </c>
      <c r="AQ36" s="1073">
        <v>14</v>
      </c>
    </row>
    <row r="37" spans="1:43" ht="14.65" customHeight="1">
      <c r="Q37" s="312"/>
      <c r="R37" s="312"/>
      <c r="S37" s="2655" t="s">
        <v>84</v>
      </c>
      <c r="T37" s="2603" t="s">
        <v>419</v>
      </c>
      <c r="U37" s="238"/>
      <c r="V37" s="2656" t="s">
        <v>420</v>
      </c>
      <c r="W37" s="2657"/>
      <c r="X37" s="2657"/>
      <c r="Y37" s="2657"/>
      <c r="Z37" s="2657"/>
      <c r="AA37" s="2658"/>
      <c r="AB37" s="2659" t="s">
        <v>421</v>
      </c>
      <c r="AC37" s="2656" t="s">
        <v>420</v>
      </c>
      <c r="AD37" s="2657"/>
      <c r="AE37" s="2657"/>
      <c r="AF37" s="2657"/>
      <c r="AG37" s="2657"/>
      <c r="AH37" s="2658"/>
      <c r="AI37" s="2659" t="s">
        <v>422</v>
      </c>
      <c r="AJ37" s="2662" t="s">
        <v>423</v>
      </c>
      <c r="AK37" s="2514"/>
      <c r="AQ37" s="1073">
        <v>14</v>
      </c>
    </row>
    <row r="38" spans="1:43" ht="35.65" customHeight="1">
      <c r="Q38" s="312"/>
      <c r="R38" s="312"/>
      <c r="S38" s="2655"/>
      <c r="T38" s="2603"/>
      <c r="U38" s="954"/>
      <c r="V38" s="1401" t="s">
        <v>480</v>
      </c>
      <c r="W38" s="2496" t="s">
        <v>426</v>
      </c>
      <c r="X38" s="2495"/>
      <c r="Y38" s="2496" t="s">
        <v>427</v>
      </c>
      <c r="Z38" s="2501"/>
      <c r="AA38" s="2495"/>
      <c r="AB38" s="2660"/>
      <c r="AC38" s="1401" t="s">
        <v>480</v>
      </c>
      <c r="AD38" s="2496" t="s">
        <v>426</v>
      </c>
      <c r="AE38" s="2495"/>
      <c r="AF38" s="2496" t="s">
        <v>427</v>
      </c>
      <c r="AG38" s="2501"/>
      <c r="AH38" s="2495"/>
      <c r="AI38" s="2660"/>
      <c r="AJ38" s="2663"/>
      <c r="AK38" s="2514"/>
      <c r="AQ38" s="1073">
        <v>34</v>
      </c>
    </row>
    <row r="39" spans="1:43" ht="90.4" customHeight="1">
      <c r="A39" s="1288"/>
      <c r="B39" s="1288" t="s">
        <v>128</v>
      </c>
      <c r="C39" s="1288" t="s">
        <v>129</v>
      </c>
      <c r="D39" s="1288" t="s">
        <v>130</v>
      </c>
      <c r="E39" s="1282" t="s">
        <v>428</v>
      </c>
      <c r="F39" s="1282" t="s">
        <v>429</v>
      </c>
      <c r="G39" s="1282" t="s">
        <v>430</v>
      </c>
      <c r="H39" s="1282"/>
      <c r="I39" s="1282" t="s">
        <v>481</v>
      </c>
      <c r="J39" s="1282" t="s">
        <v>433</v>
      </c>
      <c r="K39" s="1282" t="s">
        <v>482</v>
      </c>
      <c r="L39" s="1282" t="s">
        <v>409</v>
      </c>
      <c r="Q39" s="312"/>
      <c r="R39" s="312"/>
      <c r="S39" s="2655"/>
      <c r="T39" s="2603"/>
      <c r="U39" s="239"/>
      <c r="V39" s="1401" t="s">
        <v>509</v>
      </c>
      <c r="W39" s="1140" t="s">
        <v>510</v>
      </c>
      <c r="X39" s="1140" t="s">
        <v>485</v>
      </c>
      <c r="Y39" s="1407" t="s">
        <v>437</v>
      </c>
      <c r="Z39" s="2608" t="s">
        <v>438</v>
      </c>
      <c r="AA39" s="2622"/>
      <c r="AB39" s="2661"/>
      <c r="AC39" s="1401" t="s">
        <v>509</v>
      </c>
      <c r="AD39" s="1140" t="s">
        <v>510</v>
      </c>
      <c r="AE39" s="1140" t="s">
        <v>485</v>
      </c>
      <c r="AF39" s="1407" t="s">
        <v>437</v>
      </c>
      <c r="AG39" s="2608" t="s">
        <v>438</v>
      </c>
      <c r="AH39" s="2622"/>
      <c r="AI39" s="2661"/>
      <c r="AJ39" s="2664"/>
      <c r="AK39" s="2514"/>
      <c r="AQ39" s="1073">
        <v>86</v>
      </c>
    </row>
    <row r="40" spans="1:43" s="243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102</v>
      </c>
      <c r="T40" s="1173" t="s">
        <v>103</v>
      </c>
      <c r="U40" s="1163" t="str">
        <f ca="1">OFFSET(U40,0,-1)</f>
        <v>2</v>
      </c>
      <c r="V40" s="1400">
        <f ca="1">OFFSET(V40,0,-1)+1</f>
        <v>3</v>
      </c>
      <c r="W40" s="1400">
        <f ca="1">OFFSET(W40,0,-1)+1</f>
        <v>4</v>
      </c>
      <c r="X40" s="1400">
        <f ca="1">OFFSET(X40,0,-1)+1</f>
        <v>5</v>
      </c>
      <c r="Y40" s="1400">
        <f ca="1">OFFSET(Y40,0,-1)+1</f>
        <v>6</v>
      </c>
      <c r="Z40" s="2653">
        <f ca="1">OFFSET(Z40,0,-1)+1</f>
        <v>7</v>
      </c>
      <c r="AA40" s="2653"/>
      <c r="AB40" s="1400">
        <f ca="1">OFFSET(AB40,0,-2)+1</f>
        <v>8</v>
      </c>
      <c r="AC40" s="1400">
        <f ca="1">OFFSET(AC40,0,-1)+1</f>
        <v>9</v>
      </c>
      <c r="AD40" s="1400">
        <f ca="1">OFFSET(AD40,0,-1)+1</f>
        <v>10</v>
      </c>
      <c r="AE40" s="1400">
        <f ca="1">OFFSET(AE40,0,-1)+1</f>
        <v>11</v>
      </c>
      <c r="AF40" s="1400">
        <f ca="1">OFFSET(AF40,0,-1)+1</f>
        <v>12</v>
      </c>
      <c r="AG40" s="2653">
        <f ca="1">OFFSET(AG40,0,-1)+1</f>
        <v>13</v>
      </c>
      <c r="AH40" s="2653"/>
      <c r="AI40" s="1400">
        <f ca="1">OFFSET(AI40,0,-2)+1</f>
        <v>14</v>
      </c>
      <c r="AJ40" s="1163">
        <f ca="1">OFFSET(AJ40,0,-1)</f>
        <v>14</v>
      </c>
      <c r="AK40" s="1400">
        <f ca="1">OFFSET(AK40,0,-1)+1</f>
        <v>15</v>
      </c>
      <c r="AL40" s="447"/>
      <c r="AM40" s="447"/>
      <c r="AN40" s="447"/>
      <c r="AO40" s="447"/>
      <c r="AP40" s="447"/>
      <c r="AQ40" s="432">
        <v>0</v>
      </c>
    </row>
    <row r="41" spans="1:43" ht="24" customHeight="1">
      <c r="A41" s="1281" t="s">
        <v>257</v>
      </c>
      <c r="B41" s="1281"/>
      <c r="C41" s="1281"/>
      <c r="D41" s="1281"/>
      <c r="E41" s="2642">
        <v>1</v>
      </c>
      <c r="F41" s="1281"/>
      <c r="G41" s="1281"/>
      <c r="H41" s="1281"/>
      <c r="I41" s="1281"/>
      <c r="J41" s="1281"/>
      <c r="K41" s="1281"/>
      <c r="L41" s="1282"/>
      <c r="M41" s="1283"/>
      <c r="N41" s="1283"/>
      <c r="O41" s="1283"/>
      <c r="P41" s="297"/>
      <c r="Q41" s="296"/>
      <c r="R41" s="291"/>
      <c r="S41" s="1411">
        <f>INDEX(PT_DIFFERENTIATION_NUM_NTAR,MATCH(A41,PT_DIFFERENTIATION_NTAR_ID,0))</f>
        <v>0</v>
      </c>
      <c r="T41" s="235" t="s">
        <v>116</v>
      </c>
      <c r="U41" s="237"/>
      <c r="V41" s="2636"/>
      <c r="W41" s="2637"/>
      <c r="X41" s="2637"/>
      <c r="Y41" s="2637"/>
      <c r="Z41" s="2637"/>
      <c r="AA41" s="2637"/>
      <c r="AB41" s="2638"/>
      <c r="AC41" s="2636" t="str">
        <f>INDEX(PT_DIFFERENTIATION_NTAR,MATCH(A41,PT_DIFFERENTIATION_NTAR_ID,0))</f>
        <v/>
      </c>
      <c r="AD41" s="2637"/>
      <c r="AE41" s="2637"/>
      <c r="AF41" s="2637"/>
      <c r="AG41" s="2637"/>
      <c r="AH41" s="2637"/>
      <c r="AI41" s="2637"/>
      <c r="AJ41" s="263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257</v>
      </c>
      <c r="B42" s="1281" t="s">
        <v>258</v>
      </c>
      <c r="C42" s="1281"/>
      <c r="D42" s="1281"/>
      <c r="E42" s="2643"/>
      <c r="F42" s="2642">
        <v>1</v>
      </c>
      <c r="G42" s="1281"/>
      <c r="H42" s="1281"/>
      <c r="I42" s="1281"/>
      <c r="J42" s="1281"/>
      <c r="K42" s="1281"/>
      <c r="L42" s="1282"/>
      <c r="M42" s="1283"/>
      <c r="N42" s="1283"/>
      <c r="O42" s="1283"/>
      <c r="P42" s="1405"/>
      <c r="Q42" s="288"/>
      <c r="R42" s="289"/>
      <c r="S42" s="1411" t="str">
        <f>INDEX(PT_DIFFERENTIATION_NUM_TER,MATCH(B42,PT_DIFFERENTIATION_TER_ID,0))</f>
        <v>.</v>
      </c>
      <c r="T42" s="245" t="s">
        <v>388</v>
      </c>
      <c r="U42" s="237"/>
      <c r="V42" s="2636"/>
      <c r="W42" s="2637"/>
      <c r="X42" s="2637"/>
      <c r="Y42" s="2637"/>
      <c r="Z42" s="2637"/>
      <c r="AA42" s="2637"/>
      <c r="AB42" s="2638"/>
      <c r="AC42" s="2636" t="str">
        <f>INDEX(PT_DIFFERENTIATION_TER,MATCH(B42,PT_DIFFERENTIATION_TER_ID,0))</f>
        <v/>
      </c>
      <c r="AD42" s="2637"/>
      <c r="AE42" s="2637"/>
      <c r="AF42" s="2637"/>
      <c r="AG42" s="2637"/>
      <c r="AH42" s="2637"/>
      <c r="AI42" s="2637"/>
      <c r="AJ42" s="2638"/>
      <c r="AK42" s="1176" t="s">
        <v>389</v>
      </c>
      <c r="AM42" s="436"/>
      <c r="AN42" s="436" t="str">
        <f t="shared" si="1"/>
        <v>Территория действия тарифа</v>
      </c>
      <c r="AO42" s="436"/>
      <c r="AP42" s="436"/>
      <c r="AQ42" s="1073">
        <v>23</v>
      </c>
    </row>
    <row r="43" spans="1:43" ht="24" customHeight="1">
      <c r="A43" s="1281" t="s">
        <v>257</v>
      </c>
      <c r="B43" s="1281" t="s">
        <v>258</v>
      </c>
      <c r="C43" s="1281" t="s">
        <v>259</v>
      </c>
      <c r="D43" s="1281"/>
      <c r="E43" s="2643"/>
      <c r="F43" s="2643"/>
      <c r="G43" s="2642">
        <v>1</v>
      </c>
      <c r="H43" s="1281"/>
      <c r="I43" s="1281"/>
      <c r="J43" s="1281"/>
      <c r="K43" s="1281"/>
      <c r="L43" s="1282"/>
      <c r="M43" s="1283"/>
      <c r="N43" s="1283"/>
      <c r="O43" s="1283"/>
      <c r="P43" s="290"/>
      <c r="Q43" s="288"/>
      <c r="R43" s="289"/>
      <c r="S43" s="1411" t="str">
        <f>INDEX(PT_DIFFERENTIATION_NUM_CS,MATCH(C43,PT_DIFFERENTIATION_CS_ID,0))</f>
        <v>..</v>
      </c>
      <c r="T43" s="246" t="s">
        <v>507</v>
      </c>
      <c r="U43" s="237"/>
      <c r="V43" s="2636"/>
      <c r="W43" s="2637"/>
      <c r="X43" s="2637"/>
      <c r="Y43" s="2637"/>
      <c r="Z43" s="2637"/>
      <c r="AA43" s="2637"/>
      <c r="AB43" s="2638"/>
      <c r="AC43" s="2636" t="str">
        <f>INDEX(PT_DIFFERENTIATION_CS,MATCH(C43,PT_DIFFERENTIATION_CS_ID,0))</f>
        <v/>
      </c>
      <c r="AD43" s="2637"/>
      <c r="AE43" s="2637"/>
      <c r="AF43" s="2637"/>
      <c r="AG43" s="2637"/>
      <c r="AH43" s="2637"/>
      <c r="AI43" s="2637"/>
      <c r="AJ43" s="2638"/>
      <c r="AK43" s="1176" t="s">
        <v>508</v>
      </c>
      <c r="AM43" s="436"/>
      <c r="AN43" s="436" t="str">
        <f t="shared" si="1"/>
        <v>Наименование централизованной системы водоотведения</v>
      </c>
      <c r="AO43" s="436"/>
      <c r="AP43" s="436"/>
      <c r="AQ43" s="1073">
        <v>23</v>
      </c>
    </row>
    <row r="44" spans="1:43" ht="24" customHeight="1">
      <c r="A44" s="1281" t="s">
        <v>257</v>
      </c>
      <c r="B44" s="1281" t="s">
        <v>258</v>
      </c>
      <c r="C44" s="1281" t="s">
        <v>259</v>
      </c>
      <c r="D44" s="1281" t="s">
        <v>511</v>
      </c>
      <c r="E44" s="2643"/>
      <c r="F44" s="2643"/>
      <c r="G44" s="2643"/>
      <c r="H44" s="2643"/>
      <c r="I44" s="2644" t="str">
        <f>S43&amp;".1"</f>
        <v>...1</v>
      </c>
      <c r="J44" s="1281"/>
      <c r="K44" s="1281"/>
      <c r="L44" s="1282"/>
      <c r="P44" s="2646">
        <v>1</v>
      </c>
      <c r="Q44" s="1399"/>
      <c r="R44" s="292"/>
      <c r="S44" s="1411" t="str">
        <f>$I44</f>
        <v>...1</v>
      </c>
      <c r="T44" s="222" t="s">
        <v>474</v>
      </c>
      <c r="U44" s="237"/>
      <c r="V44" s="2710"/>
      <c r="W44" s="2711"/>
      <c r="X44" s="2711"/>
      <c r="Y44" s="2711"/>
      <c r="Z44" s="2711"/>
      <c r="AA44" s="2711"/>
      <c r="AB44" s="2712"/>
      <c r="AC44" s="2713"/>
      <c r="AD44" s="2714"/>
      <c r="AE44" s="2714"/>
      <c r="AF44" s="2714"/>
      <c r="AG44" s="2714"/>
      <c r="AH44" s="2714"/>
      <c r="AI44" s="2714"/>
      <c r="AJ44" s="2715"/>
      <c r="AK44" s="1176" t="s">
        <v>475</v>
      </c>
      <c r="AM44" s="436"/>
      <c r="AN44" s="436" t="str">
        <f t="shared" si="1"/>
        <v>Наименование признака дифференциации</v>
      </c>
      <c r="AO44" s="436"/>
      <c r="AP44" s="436"/>
      <c r="AQ44" s="1073">
        <v>23</v>
      </c>
    </row>
    <row r="45" spans="1:43" ht="24" customHeight="1">
      <c r="A45" s="1281" t="s">
        <v>257</v>
      </c>
      <c r="B45" s="1281" t="s">
        <v>258</v>
      </c>
      <c r="C45" s="1281" t="s">
        <v>259</v>
      </c>
      <c r="D45" s="1281" t="s">
        <v>511</v>
      </c>
      <c r="E45" s="2643"/>
      <c r="F45" s="2643"/>
      <c r="G45" s="2643"/>
      <c r="H45" s="2643"/>
      <c r="I45" s="2645"/>
      <c r="J45" s="2644" t="str">
        <f>I44&amp;".1"</f>
        <v>...1.1</v>
      </c>
      <c r="K45" s="1281"/>
      <c r="L45" s="1282" t="s">
        <v>397</v>
      </c>
      <c r="P45" s="2646"/>
      <c r="Q45" s="2646">
        <v>1</v>
      </c>
      <c r="R45" s="293"/>
      <c r="S45" s="1411" t="str">
        <f>$J45</f>
        <v>...1.1</v>
      </c>
      <c r="T45" s="223" t="s">
        <v>398</v>
      </c>
      <c r="U45" s="237"/>
      <c r="V45" s="2630"/>
      <c r="W45" s="2631"/>
      <c r="X45" s="2631"/>
      <c r="Y45" s="2631"/>
      <c r="Z45" s="2631"/>
      <c r="AA45" s="2631"/>
      <c r="AB45" s="2632"/>
      <c r="AC45" s="2630"/>
      <c r="AD45" s="2631"/>
      <c r="AE45" s="2631"/>
      <c r="AF45" s="2631"/>
      <c r="AG45" s="2631"/>
      <c r="AH45" s="2631"/>
      <c r="AI45" s="2631"/>
      <c r="AJ45" s="2632"/>
      <c r="AK45" s="1225" t="s">
        <v>476</v>
      </c>
      <c r="AM45" s="436"/>
      <c r="AN45" s="436" t="str">
        <f t="shared" si="1"/>
        <v>Группа потребителей</v>
      </c>
      <c r="AO45" s="436"/>
      <c r="AP45" s="436"/>
      <c r="AQ45" s="1073">
        <v>23</v>
      </c>
    </row>
    <row r="46" spans="1:43" ht="24" customHeight="1">
      <c r="A46" s="1281" t="s">
        <v>257</v>
      </c>
      <c r="B46" s="1281" t="s">
        <v>258</v>
      </c>
      <c r="C46" s="1281" t="s">
        <v>259</v>
      </c>
      <c r="D46" s="1281" t="s">
        <v>511</v>
      </c>
      <c r="E46" s="2643"/>
      <c r="F46" s="2643"/>
      <c r="G46" s="2643"/>
      <c r="H46" s="2643"/>
      <c r="I46" s="2645"/>
      <c r="J46" s="2645"/>
      <c r="K46" s="2644" t="str">
        <f>J45&amp;".1"</f>
        <v>...1.1.1</v>
      </c>
      <c r="L46" s="1282"/>
      <c r="P46" s="2646"/>
      <c r="Q46" s="2646"/>
      <c r="R46" s="293">
        <v>1</v>
      </c>
      <c r="S46" s="1411" t="str">
        <f>$K46</f>
        <v>...1.1.1</v>
      </c>
      <c r="T46" s="1355"/>
      <c r="U46" s="237"/>
      <c r="V46" s="1278"/>
      <c r="W46" s="1278"/>
      <c r="X46" s="1279"/>
      <c r="Y46" s="2640"/>
      <c r="Z46" s="2639" t="s">
        <v>65</v>
      </c>
      <c r="AA46" s="2640"/>
      <c r="AB46" s="2639" t="s">
        <v>65</v>
      </c>
      <c r="AC46" s="687"/>
      <c r="AD46" s="687"/>
      <c r="AE46" s="1175"/>
      <c r="AF46" s="2647"/>
      <c r="AG46" s="2524" t="s">
        <v>65</v>
      </c>
      <c r="AH46" s="2649"/>
      <c r="AI46" s="2524" t="s">
        <v>19</v>
      </c>
      <c r="AJ46" s="1356"/>
      <c r="AK46"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257</v>
      </c>
      <c r="B47" s="1281" t="s">
        <v>258</v>
      </c>
      <c r="C47" s="1281" t="s">
        <v>259</v>
      </c>
      <c r="D47" s="1281" t="s">
        <v>511</v>
      </c>
      <c r="E47" s="2643"/>
      <c r="F47" s="2643"/>
      <c r="G47" s="2643"/>
      <c r="H47" s="2643"/>
      <c r="I47" s="2645"/>
      <c r="J47" s="2645"/>
      <c r="K47" s="2644"/>
      <c r="L47" s="1282"/>
      <c r="P47" s="2646"/>
      <c r="Q47" s="2646"/>
      <c r="R47" s="293"/>
      <c r="S47" s="1408"/>
      <c r="T47" s="237"/>
      <c r="U47" s="237"/>
      <c r="V47" s="1278"/>
      <c r="W47" s="1278"/>
      <c r="X47" s="265" t="str">
        <f>Y46&amp;"-"&amp;AA46</f>
        <v>-</v>
      </c>
      <c r="Y47" s="2639"/>
      <c r="Z47" s="2639"/>
      <c r="AA47" s="2639"/>
      <c r="AB47" s="2639"/>
      <c r="AC47" s="262"/>
      <c r="AD47" s="262"/>
      <c r="AE47" s="265" t="str">
        <f>AF46&amp;"-"&amp;AH46</f>
        <v>-</v>
      </c>
      <c r="AF47" s="2648"/>
      <c r="AG47" s="2524"/>
      <c r="AH47" s="2650"/>
      <c r="AI47" s="2524"/>
      <c r="AJ47" s="1357"/>
      <c r="AK47" s="2716"/>
      <c r="AM47" s="436"/>
      <c r="AN47" s="436" t="str">
        <f t="shared" si="1"/>
        <v/>
      </c>
      <c r="AO47" s="436"/>
      <c r="AP47" s="436"/>
      <c r="AQ47" s="1073">
        <v>0</v>
      </c>
    </row>
    <row r="48" spans="1:43" ht="21" customHeight="1">
      <c r="A48" s="1281" t="s">
        <v>257</v>
      </c>
      <c r="B48" s="1281" t="s">
        <v>258</v>
      </c>
      <c r="C48" s="1281" t="s">
        <v>259</v>
      </c>
      <c r="D48" s="1281" t="s">
        <v>511</v>
      </c>
      <c r="E48" s="2643"/>
      <c r="F48" s="2643"/>
      <c r="G48" s="2643"/>
      <c r="H48" s="2643"/>
      <c r="I48" s="2645"/>
      <c r="J48" s="2644"/>
      <c r="K48" s="1281"/>
      <c r="L48" s="1282"/>
      <c r="P48" s="2646"/>
      <c r="Q48" s="2646"/>
      <c r="R48" s="292"/>
      <c r="S48" s="1196"/>
      <c r="T48" s="224" t="s">
        <v>477</v>
      </c>
      <c r="U48" s="303"/>
      <c r="V48" s="303"/>
      <c r="W48" s="303"/>
      <c r="X48" s="303"/>
      <c r="Y48" s="303"/>
      <c r="Z48" s="303"/>
      <c r="AA48" s="303"/>
      <c r="AB48" s="303"/>
      <c r="AC48" s="303"/>
      <c r="AD48" s="303"/>
      <c r="AE48" s="303"/>
      <c r="AF48" s="303"/>
      <c r="AG48" s="303"/>
      <c r="AH48" s="303"/>
      <c r="AI48" s="303"/>
      <c r="AJ48" s="303"/>
      <c r="AK48" s="1176" t="s">
        <v>478</v>
      </c>
      <c r="AM48" s="436"/>
      <c r="AN48" s="436" t="str">
        <f t="shared" si="1"/>
        <v>Добавить значение признака дифференциации</v>
      </c>
      <c r="AO48" s="436"/>
      <c r="AP48" s="436"/>
      <c r="AQ48" s="1073">
        <v>20</v>
      </c>
    </row>
    <row r="49" spans="1:43" ht="21.95" customHeight="1">
      <c r="A49" s="1281" t="s">
        <v>257</v>
      </c>
      <c r="B49" s="1281" t="s">
        <v>258</v>
      </c>
      <c r="C49" s="1281" t="s">
        <v>259</v>
      </c>
      <c r="D49" s="1281" t="s">
        <v>511</v>
      </c>
      <c r="E49" s="2643"/>
      <c r="F49" s="2643"/>
      <c r="G49" s="2643"/>
      <c r="H49" s="2643"/>
      <c r="I49" s="2644"/>
      <c r="J49" s="1281"/>
      <c r="K49" s="1281"/>
      <c r="L49" s="1282"/>
      <c r="P49" s="2646"/>
      <c r="Q49" s="1399"/>
      <c r="R49" s="292"/>
      <c r="S49" s="1196"/>
      <c r="T49" s="301" t="s">
        <v>403</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257</v>
      </c>
      <c r="B50" s="1281" t="s">
        <v>258</v>
      </c>
      <c r="C50" s="1281" t="s">
        <v>259</v>
      </c>
      <c r="D50" s="1281" t="s">
        <v>511</v>
      </c>
      <c r="E50" s="2643"/>
      <c r="F50" s="2643"/>
      <c r="G50" s="2643"/>
      <c r="H50" s="2642"/>
      <c r="I50" s="1281"/>
      <c r="J50" s="1281"/>
      <c r="K50" s="1281"/>
      <c r="L50" s="1282"/>
      <c r="M50" s="1283"/>
      <c r="N50" s="1283"/>
      <c r="O50" s="473"/>
      <c r="P50" s="296"/>
      <c r="Q50" s="311"/>
      <c r="R50" s="291"/>
      <c r="S50" s="1196"/>
      <c r="T50" s="308" t="s">
        <v>479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7" customFormat="1" ht="0" hidden="1" customHeight="1">
      <c r="A51" s="1261" t="s">
        <v>257</v>
      </c>
      <c r="B51" s="1261" t="s">
        <v>258</v>
      </c>
      <c r="C51" s="1232"/>
      <c r="D51" s="1232"/>
      <c r="E51" s="2643"/>
      <c r="F51" s="2642"/>
      <c r="G51" s="1232"/>
      <c r="H51" s="1232"/>
      <c r="I51" s="1232"/>
      <c r="J51" s="1232"/>
      <c r="K51" s="1232"/>
      <c r="L51" s="1412"/>
      <c r="M51" s="1239"/>
      <c r="N51" s="1239"/>
      <c r="P51" s="1234"/>
      <c r="Q51" s="1235"/>
      <c r="R51" s="1234"/>
      <c r="S51" s="1240"/>
      <c r="T51" s="1243" t="s">
        <v>406</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7" customFormat="1" ht="0" hidden="1" customHeight="1">
      <c r="A52" s="1261" t="s">
        <v>257</v>
      </c>
      <c r="B52" s="1261"/>
      <c r="C52" s="1261"/>
      <c r="D52" s="1261"/>
      <c r="E52" s="2642"/>
      <c r="F52" s="1261"/>
      <c r="G52" s="1261"/>
      <c r="H52" s="1261"/>
      <c r="I52" s="1261"/>
      <c r="J52" s="1261"/>
      <c r="K52" s="1261"/>
      <c r="L52" s="1264"/>
      <c r="M52" s="1239"/>
      <c r="N52" s="1239"/>
      <c r="O52" s="454"/>
      <c r="P52" s="316"/>
      <c r="Q52" s="1262"/>
      <c r="R52" s="316"/>
      <c r="S52" s="1240"/>
      <c r="T52" s="1243" t="s">
        <v>407</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439</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641"/>
      <c r="U55" s="2641"/>
      <c r="V55" s="2641"/>
      <c r="W55" s="2641"/>
      <c r="X55" s="2641"/>
      <c r="Y55" s="2641"/>
      <c r="Z55" s="2641"/>
      <c r="AA55" s="2641"/>
      <c r="AB55" s="2641"/>
      <c r="AC55" s="2641"/>
      <c r="AD55" s="2641"/>
      <c r="AE55" s="2641"/>
      <c r="AF55" s="2641"/>
      <c r="AG55" s="2641"/>
      <c r="AH55" s="2641"/>
      <c r="AI55" s="2641"/>
      <c r="AJ55" s="2641"/>
      <c r="AK55" s="2641"/>
      <c r="AQ55" s="1073">
        <v>14</v>
      </c>
    </row>
    <row r="56" spans="1:43" ht="14.65" customHeight="1">
      <c r="O56" s="473"/>
      <c r="AQ56" s="1073">
        <v>14</v>
      </c>
    </row>
    <row r="57" spans="1:43" ht="14.65" customHeight="1">
      <c r="O57" s="473"/>
      <c r="S57" s="1171"/>
      <c r="T57" s="2641"/>
      <c r="U57" s="2641"/>
      <c r="V57" s="2641"/>
      <c r="W57" s="2641"/>
      <c r="X57" s="2641"/>
      <c r="Y57" s="2641"/>
      <c r="Z57" s="2641"/>
      <c r="AA57" s="2641"/>
      <c r="AB57" s="2641"/>
      <c r="AC57" s="2641"/>
      <c r="AD57" s="2641"/>
      <c r="AE57" s="2641"/>
      <c r="AF57" s="2641"/>
      <c r="AG57" s="2641"/>
      <c r="AH57" s="2641"/>
      <c r="AI57" s="2641"/>
      <c r="AJ57" s="2641"/>
      <c r="AK57" s="264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4.140625" style="2406" hidden="1" customWidth="1"/>
    <col min="10" max="10" width="9.85546875" style="2406" hidden="1" customWidth="1"/>
    <col min="11" max="11" width="14.7109375" style="2406" hidden="1" customWidth="1"/>
    <col min="12" max="12" width="19.140625" style="2432" hidden="1" customWidth="1"/>
    <col min="13" max="14" width="12.28515625" style="2433" hidden="1" customWidth="1"/>
    <col min="15" max="15" width="23.42578125" style="2433" hidden="1" customWidth="1"/>
    <col min="16" max="16" width="3" style="2434" customWidth="1"/>
    <col min="17" max="18" width="3" style="2435" customWidth="1"/>
    <col min="19" max="19" width="12" style="2436" customWidth="1"/>
    <col min="20" max="20" width="35" style="2400" customWidth="1"/>
    <col min="21" max="21" width="0.140625" style="2400" customWidth="1"/>
    <col min="22" max="24" width="24.7109375" style="2400" hidden="1" customWidth="1"/>
    <col min="25" max="25" width="11.7109375" style="2400" hidden="1" customWidth="1"/>
    <col min="26" max="26" width="3.7109375" style="2400" hidden="1" customWidth="1"/>
    <col min="27" max="27" width="11.7109375" style="2400" hidden="1" customWidth="1"/>
    <col min="28" max="28" width="8.5703125" style="2400" hidden="1" customWidth="1"/>
    <col min="29" max="29" width="24.7109375" style="2400" customWidth="1"/>
    <col min="30" max="31" width="24" style="2400" customWidth="1"/>
    <col min="32" max="32" width="11" style="2400" customWidth="1"/>
    <col min="33" max="33" width="3.7109375" style="2400" customWidth="1"/>
    <col min="34" max="34" width="11" style="2400" customWidth="1"/>
    <col min="35" max="35" width="8.5703125" style="2400" hidden="1" customWidth="1"/>
    <col min="36" max="36" width="4" style="2400" customWidth="1"/>
    <col min="37" max="37" width="115" style="2400" customWidth="1"/>
    <col min="38" max="42" width="10" style="2407" customWidth="1"/>
    <col min="43" max="43" width="10.5703125" style="2400" hidden="1"/>
  </cols>
  <sheetData>
    <row r="1" spans="1:43" ht="22.5" hidden="1" customHeight="1">
      <c r="X1" s="264"/>
      <c r="Y1" s="264"/>
      <c r="AE1" s="264"/>
      <c r="AF1" s="264"/>
      <c r="AQ1" s="1073" t="s">
        <v>14</v>
      </c>
    </row>
    <row r="2" spans="1:43" ht="23.25" hidden="1" customHeight="1">
      <c r="A2" s="1281"/>
      <c r="B2" s="1281"/>
      <c r="C2" s="1281"/>
      <c r="D2" s="1281"/>
      <c r="E2" s="2642">
        <v>1</v>
      </c>
      <c r="F2" s="1281"/>
      <c r="G2" s="1281"/>
      <c r="H2" s="1281"/>
      <c r="I2" s="1281"/>
      <c r="J2" s="1281"/>
      <c r="K2" s="1281"/>
      <c r="L2" s="1282"/>
      <c r="M2" s="1283"/>
      <c r="N2" s="1283"/>
      <c r="O2" s="1283"/>
      <c r="P2" s="297"/>
      <c r="Q2" s="296"/>
      <c r="R2" s="291"/>
      <c r="S2" s="1411" t="e">
        <f>INDEX(PT_DIFFERENTIATION_NUM_NTAR,MATCH(A2,PT_DIFFERENTIATION_NTAR_ID,0))</f>
        <v>#N/A</v>
      </c>
      <c r="T2" s="235" t="s">
        <v>116</v>
      </c>
      <c r="U2" s="237"/>
      <c r="V2" s="2636"/>
      <c r="W2" s="2637"/>
      <c r="X2" s="2637"/>
      <c r="Y2" s="2637"/>
      <c r="Z2" s="2637"/>
      <c r="AA2" s="2637"/>
      <c r="AB2" s="2638"/>
      <c r="AC2" s="2636" t="e">
        <f>INDEX(PT_DIFFERENTIATION_NTAR,MATCH(A2,PT_DIFFERENTIATION_NTAR_ID,0))</f>
        <v>#N/A</v>
      </c>
      <c r="AD2" s="2637"/>
      <c r="AE2" s="2637"/>
      <c r="AF2" s="2637"/>
      <c r="AG2" s="2637"/>
      <c r="AH2" s="2637"/>
      <c r="AI2" s="2637"/>
      <c r="AJ2" s="263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3">
        <v>0</v>
      </c>
    </row>
    <row r="3" spans="1:43" ht="23.25" hidden="1" customHeight="1">
      <c r="A3" s="1281"/>
      <c r="B3" s="1281"/>
      <c r="C3" s="1281"/>
      <c r="D3" s="1281"/>
      <c r="E3" s="2643"/>
      <c r="F3" s="2642">
        <v>1</v>
      </c>
      <c r="G3" s="1281"/>
      <c r="H3" s="1281"/>
      <c r="I3" s="1281"/>
      <c r="J3" s="1281"/>
      <c r="K3" s="1281"/>
      <c r="L3" s="1282"/>
      <c r="M3" s="1283"/>
      <c r="N3" s="1283"/>
      <c r="O3" s="1283"/>
      <c r="P3" s="1405"/>
      <c r="Q3" s="288"/>
      <c r="R3" s="289"/>
      <c r="S3" s="1411" t="e">
        <f>INDEX(PT_DIFFERENTIATION_NUM_TER,MATCH(B3,PT_DIFFERENTIATION_TER_ID,0))</f>
        <v>#N/A</v>
      </c>
      <c r="T3" s="245" t="s">
        <v>388</v>
      </c>
      <c r="U3" s="237"/>
      <c r="V3" s="2636"/>
      <c r="W3" s="2637"/>
      <c r="X3" s="2637"/>
      <c r="Y3" s="2637"/>
      <c r="Z3" s="2637"/>
      <c r="AA3" s="2637"/>
      <c r="AB3" s="2638"/>
      <c r="AC3" s="2636" t="e">
        <f>INDEX(PT_DIFFERENTIATION_TER,MATCH(B3,PT_DIFFERENTIATION_TER_ID,0))</f>
        <v>#N/A</v>
      </c>
      <c r="AD3" s="2637"/>
      <c r="AE3" s="2637"/>
      <c r="AF3" s="2637"/>
      <c r="AG3" s="2637"/>
      <c r="AH3" s="2637"/>
      <c r="AI3" s="2637"/>
      <c r="AJ3" s="2638"/>
      <c r="AK3" s="1176" t="s">
        <v>389</v>
      </c>
      <c r="AM3" s="436"/>
      <c r="AN3" s="436" t="str">
        <f t="shared" si="0"/>
        <v>Территория действия тарифа</v>
      </c>
      <c r="AO3" s="436"/>
      <c r="AP3" s="436"/>
      <c r="AQ3" s="1073">
        <v>0</v>
      </c>
    </row>
    <row r="4" spans="1:43" ht="23.25" hidden="1" customHeight="1">
      <c r="A4" s="1281"/>
      <c r="B4" s="1281"/>
      <c r="C4" s="1281"/>
      <c r="D4" s="1281"/>
      <c r="E4" s="2643"/>
      <c r="F4" s="2643"/>
      <c r="G4" s="2642">
        <v>1</v>
      </c>
      <c r="H4" s="1281"/>
      <c r="I4" s="1281"/>
      <c r="J4" s="1281"/>
      <c r="K4" s="1281"/>
      <c r="L4" s="1282"/>
      <c r="M4" s="1283"/>
      <c r="N4" s="1283"/>
      <c r="O4" s="1283"/>
      <c r="P4" s="290"/>
      <c r="Q4" s="288"/>
      <c r="R4" s="289"/>
      <c r="S4" s="1411" t="e">
        <f>INDEX(PT_DIFFERENTIATION_NUM_CS,MATCH(C4,PT_DIFFERENTIATION_CS_ID,0))</f>
        <v>#N/A</v>
      </c>
      <c r="T4" s="246" t="s">
        <v>507</v>
      </c>
      <c r="U4" s="237"/>
      <c r="V4" s="2636"/>
      <c r="W4" s="2637"/>
      <c r="X4" s="2637"/>
      <c r="Y4" s="2637"/>
      <c r="Z4" s="2637"/>
      <c r="AA4" s="2637"/>
      <c r="AB4" s="2638"/>
      <c r="AC4" s="2636" t="e">
        <f>INDEX(PT_DIFFERENTIATION_CS,MATCH(C4,PT_DIFFERENTIATION_CS_ID,0))</f>
        <v>#N/A</v>
      </c>
      <c r="AD4" s="2637"/>
      <c r="AE4" s="2637"/>
      <c r="AF4" s="2637"/>
      <c r="AG4" s="2637"/>
      <c r="AH4" s="2637"/>
      <c r="AI4" s="2637"/>
      <c r="AJ4" s="2638"/>
      <c r="AK4" s="1176" t="s">
        <v>508</v>
      </c>
      <c r="AM4" s="436"/>
      <c r="AN4" s="436" t="str">
        <f t="shared" si="0"/>
        <v>Наименование централизованной системы водоотведения</v>
      </c>
      <c r="AO4" s="436"/>
      <c r="AP4" s="436"/>
      <c r="AQ4" s="1073">
        <v>0</v>
      </c>
    </row>
    <row r="5" spans="1:43" ht="23.25" hidden="1" customHeight="1">
      <c r="A5" s="1281"/>
      <c r="B5" s="1281"/>
      <c r="C5" s="1281"/>
      <c r="D5" s="1281"/>
      <c r="E5" s="2643"/>
      <c r="F5" s="2643"/>
      <c r="G5" s="2643"/>
      <c r="H5" s="2643"/>
      <c r="I5" s="2644" t="e">
        <f>S4&amp;".1"</f>
        <v>#N/A</v>
      </c>
      <c r="J5" s="1281"/>
      <c r="K5" s="1281"/>
      <c r="L5" s="1282"/>
      <c r="P5" s="2646">
        <v>1</v>
      </c>
      <c r="Q5" s="1399"/>
      <c r="R5" s="292"/>
      <c r="S5" s="1411" t="e">
        <f>$I5</f>
        <v>#N/A</v>
      </c>
      <c r="T5" s="222" t="s">
        <v>474</v>
      </c>
      <c r="U5" s="237"/>
      <c r="V5" s="2710"/>
      <c r="W5" s="2711"/>
      <c r="X5" s="2711"/>
      <c r="Y5" s="2711"/>
      <c r="Z5" s="2711"/>
      <c r="AA5" s="2711"/>
      <c r="AB5" s="2712"/>
      <c r="AC5" s="2713"/>
      <c r="AD5" s="2714"/>
      <c r="AE5" s="2714"/>
      <c r="AF5" s="2714"/>
      <c r="AG5" s="2714"/>
      <c r="AH5" s="2714"/>
      <c r="AI5" s="2714"/>
      <c r="AJ5" s="2715"/>
      <c r="AK5" s="1176" t="s">
        <v>475</v>
      </c>
      <c r="AM5" s="436"/>
      <c r="AN5" s="436" t="str">
        <f t="shared" si="0"/>
        <v>Наименование признака дифференциации</v>
      </c>
      <c r="AO5" s="436"/>
      <c r="AP5" s="436"/>
      <c r="AQ5" s="1073">
        <v>0</v>
      </c>
    </row>
    <row r="6" spans="1:43" ht="23.25" hidden="1" customHeight="1">
      <c r="A6" s="1281"/>
      <c r="B6" s="1281"/>
      <c r="C6" s="1281"/>
      <c r="D6" s="1281"/>
      <c r="E6" s="2643"/>
      <c r="F6" s="2643"/>
      <c r="G6" s="2643"/>
      <c r="H6" s="2643"/>
      <c r="I6" s="2645"/>
      <c r="J6" s="2644" t="e">
        <f>I5&amp;".1"</f>
        <v>#N/A</v>
      </c>
      <c r="K6" s="1281"/>
      <c r="L6" s="1282" t="s">
        <v>397</v>
      </c>
      <c r="P6" s="2646"/>
      <c r="Q6" s="2646">
        <v>1</v>
      </c>
      <c r="R6" s="293"/>
      <c r="S6" s="1411" t="e">
        <f>$J6</f>
        <v>#N/A</v>
      </c>
      <c r="T6" s="223" t="s">
        <v>398</v>
      </c>
      <c r="U6" s="237"/>
      <c r="V6" s="2630"/>
      <c r="W6" s="2631"/>
      <c r="X6" s="2631"/>
      <c r="Y6" s="2631"/>
      <c r="Z6" s="2631"/>
      <c r="AA6" s="2631"/>
      <c r="AB6" s="2632"/>
      <c r="AC6" s="2630"/>
      <c r="AD6" s="2631"/>
      <c r="AE6" s="2631"/>
      <c r="AF6" s="2631"/>
      <c r="AG6" s="2631"/>
      <c r="AH6" s="2631"/>
      <c r="AI6" s="2631"/>
      <c r="AJ6" s="2632"/>
      <c r="AK6" s="1225" t="s">
        <v>476</v>
      </c>
      <c r="AM6" s="436"/>
      <c r="AN6" s="436" t="str">
        <f t="shared" si="0"/>
        <v>Группа потребителей</v>
      </c>
      <c r="AO6" s="436"/>
      <c r="AP6" s="436"/>
      <c r="AQ6" s="1073">
        <v>0</v>
      </c>
    </row>
    <row r="7" spans="1:43" ht="23.25" hidden="1" customHeight="1">
      <c r="A7" s="1281"/>
      <c r="B7" s="1281"/>
      <c r="C7" s="1281"/>
      <c r="D7" s="1281"/>
      <c r="E7" s="2643"/>
      <c r="F7" s="2643"/>
      <c r="G7" s="2643"/>
      <c r="H7" s="2643"/>
      <c r="I7" s="2645"/>
      <c r="J7" s="2645"/>
      <c r="K7" s="2644" t="e">
        <f>J6&amp;".1"</f>
        <v>#N/A</v>
      </c>
      <c r="L7" s="1282"/>
      <c r="P7" s="2646"/>
      <c r="Q7" s="2646"/>
      <c r="R7" s="293">
        <v>1</v>
      </c>
      <c r="S7" s="1411" t="e">
        <f>$K7</f>
        <v>#N/A</v>
      </c>
      <c r="T7" s="1355"/>
      <c r="U7" s="237"/>
      <c r="V7" s="687"/>
      <c r="W7" s="687"/>
      <c r="X7" s="1175"/>
      <c r="Y7" s="2647"/>
      <c r="Z7" s="2524" t="s">
        <v>65</v>
      </c>
      <c r="AA7" s="2647"/>
      <c r="AB7" s="2524" t="s">
        <v>65</v>
      </c>
      <c r="AC7" s="687"/>
      <c r="AD7" s="687"/>
      <c r="AE7" s="1175"/>
      <c r="AF7" s="2647"/>
      <c r="AG7" s="2524" t="s">
        <v>65</v>
      </c>
      <c r="AH7" s="2649"/>
      <c r="AI7" s="2524" t="s">
        <v>65</v>
      </c>
      <c r="AJ7" s="1356"/>
      <c r="AK7"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3">
        <v>0</v>
      </c>
    </row>
    <row r="8" spans="1:43" ht="14.25" hidden="1" customHeight="1">
      <c r="A8" s="1281"/>
      <c r="B8" s="1281"/>
      <c r="C8" s="1281"/>
      <c r="D8" s="1281"/>
      <c r="E8" s="2643"/>
      <c r="F8" s="2643"/>
      <c r="G8" s="2643"/>
      <c r="H8" s="2643"/>
      <c r="I8" s="2645"/>
      <c r="J8" s="2645"/>
      <c r="K8" s="2644"/>
      <c r="L8" s="1282"/>
      <c r="P8" s="2646"/>
      <c r="Q8" s="2646"/>
      <c r="R8" s="293"/>
      <c r="S8" s="1408"/>
      <c r="T8" s="237"/>
      <c r="U8" s="237"/>
      <c r="V8" s="262"/>
      <c r="W8" s="262"/>
      <c r="X8" s="265" t="str">
        <f>Y7&amp;"-"&amp;AA7</f>
        <v>-</v>
      </c>
      <c r="Y8" s="2648"/>
      <c r="Z8" s="2524"/>
      <c r="AA8" s="2648"/>
      <c r="AB8" s="2524"/>
      <c r="AC8" s="262"/>
      <c r="AD8" s="262"/>
      <c r="AE8" s="265" t="str">
        <f>AF7&amp;"-"&amp;AH7</f>
        <v>-</v>
      </c>
      <c r="AF8" s="2648"/>
      <c r="AG8" s="2524"/>
      <c r="AH8" s="2650"/>
      <c r="AI8" s="2524"/>
      <c r="AJ8" s="1357"/>
      <c r="AK8" s="2716"/>
      <c r="AM8" s="436"/>
      <c r="AN8" s="436" t="str">
        <f t="shared" si="0"/>
        <v/>
      </c>
      <c r="AO8" s="436"/>
      <c r="AP8" s="436"/>
      <c r="AQ8" s="1073">
        <v>0</v>
      </c>
    </row>
    <row r="9" spans="1:43" ht="21" hidden="1" customHeight="1">
      <c r="A9" s="1281"/>
      <c r="B9" s="1281"/>
      <c r="C9" s="1281"/>
      <c r="D9" s="1281"/>
      <c r="E9" s="2643"/>
      <c r="F9" s="2643"/>
      <c r="G9" s="2643"/>
      <c r="H9" s="2643"/>
      <c r="I9" s="2645"/>
      <c r="J9" s="2644"/>
      <c r="K9" s="1281"/>
      <c r="L9" s="1282"/>
      <c r="P9" s="2646"/>
      <c r="Q9" s="2646"/>
      <c r="R9" s="292"/>
      <c r="S9" s="1196"/>
      <c r="T9" s="224" t="s">
        <v>477</v>
      </c>
      <c r="U9" s="303"/>
      <c r="V9" s="303"/>
      <c r="W9" s="303"/>
      <c r="X9" s="303"/>
      <c r="Y9" s="303"/>
      <c r="Z9" s="303"/>
      <c r="AA9" s="303"/>
      <c r="AB9" s="303"/>
      <c r="AC9" s="303"/>
      <c r="AD9" s="303"/>
      <c r="AE9" s="303"/>
      <c r="AF9" s="303"/>
      <c r="AG9" s="303"/>
      <c r="AH9" s="303"/>
      <c r="AI9" s="303"/>
      <c r="AJ9" s="303"/>
      <c r="AK9" s="1176" t="s">
        <v>478</v>
      </c>
      <c r="AM9" s="436"/>
      <c r="AN9" s="436" t="str">
        <f t="shared" si="0"/>
        <v>Добавить значение признака дифференциации</v>
      </c>
      <c r="AO9" s="436"/>
      <c r="AP9" s="436"/>
      <c r="AQ9" s="1073">
        <v>0</v>
      </c>
    </row>
    <row r="10" spans="1:43" ht="21" hidden="1" customHeight="1">
      <c r="A10" s="1281"/>
      <c r="B10" s="1281"/>
      <c r="C10" s="1281"/>
      <c r="D10" s="1281"/>
      <c r="E10" s="2643"/>
      <c r="F10" s="2643"/>
      <c r="G10" s="2643"/>
      <c r="H10" s="2643"/>
      <c r="I10" s="2644"/>
      <c r="J10" s="1281"/>
      <c r="K10" s="1281"/>
      <c r="L10" s="1282"/>
      <c r="P10" s="2646"/>
      <c r="Q10" s="1399"/>
      <c r="R10" s="292"/>
      <c r="S10" s="1196"/>
      <c r="T10" s="301" t="s">
        <v>403</v>
      </c>
      <c r="U10" s="303"/>
      <c r="V10" s="303"/>
      <c r="W10" s="303"/>
      <c r="X10" s="303"/>
      <c r="Y10" s="303"/>
      <c r="Z10" s="303"/>
      <c r="AA10" s="303"/>
      <c r="AB10" s="302"/>
      <c r="AC10" s="303"/>
      <c r="AD10" s="303"/>
      <c r="AE10" s="303"/>
      <c r="AF10" s="303"/>
      <c r="AG10" s="303"/>
      <c r="AH10" s="303"/>
      <c r="AI10" s="302"/>
      <c r="AJ10" s="303"/>
      <c r="AK10" s="1358"/>
      <c r="AM10" s="436"/>
      <c r="AN10" s="436" t="str">
        <f t="shared" si="0"/>
        <v>Добавить группу потребителей</v>
      </c>
      <c r="AO10" s="436"/>
      <c r="AP10" s="436"/>
      <c r="AQ10" s="1073">
        <v>0</v>
      </c>
    </row>
    <row r="11" spans="1:43" ht="21" hidden="1" customHeight="1">
      <c r="A11" s="1281"/>
      <c r="B11" s="1281"/>
      <c r="C11" s="1281"/>
      <c r="D11" s="1281"/>
      <c r="E11" s="2643"/>
      <c r="F11" s="2643"/>
      <c r="G11" s="2643"/>
      <c r="H11" s="2642"/>
      <c r="I11" s="1281"/>
      <c r="J11" s="1281"/>
      <c r="K11" s="1281"/>
      <c r="L11" s="1282"/>
      <c r="M11" s="1283"/>
      <c r="N11" s="1283"/>
      <c r="O11" s="473"/>
      <c r="P11" s="296"/>
      <c r="Q11" s="311"/>
      <c r="R11" s="291"/>
      <c r="S11" s="1196"/>
      <c r="T11" s="308" t="s">
        <v>479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3">
        <v>0</v>
      </c>
    </row>
    <row r="12" spans="1:43" s="2407" customFormat="1" ht="14.25" hidden="1" customHeight="1">
      <c r="A12" s="1261"/>
      <c r="B12" s="1261"/>
      <c r="C12" s="1232"/>
      <c r="D12" s="1232"/>
      <c r="E12" s="2643"/>
      <c r="F12" s="2642"/>
      <c r="G12" s="1232"/>
      <c r="H12" s="1232"/>
      <c r="I12" s="1232"/>
      <c r="J12" s="1232"/>
      <c r="K12" s="1232"/>
      <c r="L12" s="1412"/>
      <c r="M12" s="1239"/>
      <c r="N12" s="1239"/>
      <c r="P12" s="1234"/>
      <c r="Q12" s="1235"/>
      <c r="R12" s="1234"/>
      <c r="S12" s="1240"/>
      <c r="T12" s="1243" t="s">
        <v>406</v>
      </c>
      <c r="U12" s="1242"/>
      <c r="V12" s="1242"/>
      <c r="W12" s="1242"/>
      <c r="X12" s="1242"/>
      <c r="Y12" s="1242"/>
      <c r="Z12" s="1242"/>
      <c r="AA12" s="1242"/>
      <c r="AB12" s="1242"/>
      <c r="AC12" s="1242"/>
      <c r="AD12" s="1242"/>
      <c r="AE12" s="1242"/>
      <c r="AF12" s="1242"/>
      <c r="AG12" s="1242"/>
      <c r="AH12" s="1242"/>
      <c r="AI12" s="1242"/>
      <c r="AJ12" s="1242"/>
      <c r="AK12" s="1242"/>
      <c r="AM12" s="719"/>
      <c r="AN12" s="719" t="str">
        <f t="shared" si="0"/>
        <v>Добавить централизованную систему для дифференциации</v>
      </c>
      <c r="AO12" s="719"/>
      <c r="AP12" s="719"/>
      <c r="AQ12" s="454">
        <v>0</v>
      </c>
    </row>
    <row r="13" spans="1:43" s="2407" customFormat="1" ht="14.25" hidden="1" customHeight="1">
      <c r="A13" s="1261"/>
      <c r="B13" s="1261"/>
      <c r="C13" s="1261"/>
      <c r="D13" s="1261"/>
      <c r="E13" s="2642"/>
      <c r="F13" s="1261"/>
      <c r="G13" s="1261"/>
      <c r="H13" s="1261"/>
      <c r="I13" s="1261"/>
      <c r="J13" s="1261"/>
      <c r="K13" s="1261"/>
      <c r="L13" s="1264"/>
      <c r="M13" s="1239"/>
      <c r="N13" s="1239"/>
      <c r="O13" s="454"/>
      <c r="P13" s="316"/>
      <c r="Q13" s="1262"/>
      <c r="R13" s="316"/>
      <c r="S13" s="1240"/>
      <c r="T13" s="1243" t="s">
        <v>407</v>
      </c>
      <c r="U13" s="1242"/>
      <c r="V13" s="1242"/>
      <c r="W13" s="1242"/>
      <c r="X13" s="1242"/>
      <c r="Y13" s="1242"/>
      <c r="Z13" s="1242"/>
      <c r="AA13" s="1242"/>
      <c r="AB13" s="1242"/>
      <c r="AC13" s="1242"/>
      <c r="AD13" s="1242"/>
      <c r="AE13" s="1242"/>
      <c r="AF13" s="1242"/>
      <c r="AG13" s="1242"/>
      <c r="AH13" s="1242"/>
      <c r="AI13" s="1242"/>
      <c r="AJ13" s="1242"/>
      <c r="AK13" s="1242"/>
      <c r="AM13" s="436"/>
      <c r="AN13" s="436" t="str">
        <f t="shared" si="0"/>
        <v>Добавить территорию для дифференциации</v>
      </c>
      <c r="AO13" s="436"/>
      <c r="AP13" s="436"/>
      <c r="AQ13" s="447">
        <v>0</v>
      </c>
    </row>
    <row r="14" spans="1:43" ht="14.25" hidden="1" customHeight="1">
      <c r="AB14" s="264"/>
      <c r="AI14" s="264"/>
      <c r="AQ14" s="1073">
        <v>0</v>
      </c>
    </row>
    <row r="15" spans="1:43" ht="14.25" hidden="1" customHeight="1">
      <c r="AC15" s="1278"/>
      <c r="AD15" s="1278"/>
      <c r="AE15" s="1279"/>
      <c r="AF15" s="2640"/>
      <c r="AG15" s="2639" t="s">
        <v>65</v>
      </c>
      <c r="AH15" s="2640"/>
      <c r="AI15" s="2639" t="s">
        <v>65</v>
      </c>
      <c r="AQ15" s="1073">
        <v>0</v>
      </c>
    </row>
    <row r="16" spans="1:43" ht="14.25" hidden="1" customHeight="1">
      <c r="AC16" s="1278"/>
      <c r="AD16" s="1278"/>
      <c r="AE16" s="265" t="str">
        <f>AF15&amp;"-"&amp;AH15</f>
        <v>-</v>
      </c>
      <c r="AF16" s="2639"/>
      <c r="AG16" s="2639"/>
      <c r="AH16" s="2639"/>
      <c r="AI16" s="2639"/>
      <c r="AQ16" s="1073">
        <v>0</v>
      </c>
    </row>
    <row r="17" spans="1:43" ht="14.25" hidden="1" customHeight="1">
      <c r="AI17" s="264"/>
      <c r="AQ17" s="1073">
        <v>0</v>
      </c>
    </row>
    <row r="18" spans="1:43" s="2406" customFormat="1" ht="22.5" hidden="1" customHeight="1">
      <c r="L18" s="1396"/>
      <c r="M18" s="1280"/>
      <c r="N18" s="1280"/>
      <c r="O18" s="1285" t="s">
        <v>408</v>
      </c>
      <c r="P18" s="1280"/>
      <c r="Q18" s="1289"/>
      <c r="R18" s="1289"/>
      <c r="S18" s="665"/>
      <c r="Y18" s="1285"/>
      <c r="AA18" s="1285"/>
      <c r="AB18" s="1284"/>
      <c r="AF18" s="1285"/>
      <c r="AH18" s="1285"/>
      <c r="AI18" s="1284"/>
      <c r="AL18" s="447"/>
      <c r="AM18" s="447"/>
      <c r="AN18" s="447"/>
      <c r="AO18" s="447"/>
      <c r="AP18" s="447"/>
      <c r="AQ18" s="1078">
        <v>0</v>
      </c>
    </row>
    <row r="19" spans="1:43" s="2406" customFormat="1" ht="14.25" hidden="1" customHeight="1">
      <c r="L19" s="1396"/>
      <c r="M19" s="1280"/>
      <c r="N19" s="1280"/>
      <c r="O19" s="1280"/>
      <c r="P19" s="1280"/>
      <c r="Q19" s="1289"/>
      <c r="R19" s="1289"/>
      <c r="S19" s="665"/>
      <c r="AB19" s="1284"/>
      <c r="AI19" s="1284"/>
      <c r="AL19" s="447"/>
      <c r="AM19" s="447"/>
      <c r="AN19" s="447"/>
      <c r="AO19" s="447"/>
      <c r="AP19" s="447"/>
      <c r="AQ19" s="1078">
        <v>0</v>
      </c>
    </row>
    <row r="20" spans="1:43" s="2406" customFormat="1" ht="12" hidden="1" customHeight="1">
      <c r="L20" s="1396"/>
      <c r="M20" s="1280"/>
      <c r="N20" s="1280"/>
      <c r="O20" s="1282" t="s">
        <v>409</v>
      </c>
      <c r="P20" s="1280"/>
      <c r="Q20" s="1360"/>
      <c r="R20" s="1360"/>
      <c r="S20" s="665"/>
      <c r="T20" s="1078" t="s">
        <v>410</v>
      </c>
      <c r="Z20" s="123" t="s">
        <v>411</v>
      </c>
      <c r="AB20" s="123" t="s">
        <v>412</v>
      </c>
      <c r="AC20" s="1078" t="s">
        <v>410</v>
      </c>
      <c r="AG20" s="123" t="s">
        <v>413</v>
      </c>
      <c r="AI20" s="123" t="s">
        <v>412</v>
      </c>
      <c r="AQ20" s="1078">
        <v>0</v>
      </c>
    </row>
    <row r="21" spans="1:43" ht="14.25" hidden="1" customHeight="1">
      <c r="O21" s="1282"/>
      <c r="AQ21" s="1073">
        <v>0</v>
      </c>
    </row>
    <row r="22" spans="1:43" ht="14.25" hidden="1" customHeight="1">
      <c r="O22" s="1282"/>
      <c r="AQ22" s="1073">
        <v>0</v>
      </c>
    </row>
    <row r="23" spans="1:43" ht="14.65" customHeight="1">
      <c r="Q23" s="312"/>
      <c r="R23" s="312"/>
      <c r="S23" s="1193"/>
      <c r="T23" s="299"/>
      <c r="U23" s="299"/>
      <c r="V23" s="445"/>
      <c r="W23" s="445"/>
      <c r="X23" s="445"/>
      <c r="Y23" s="445"/>
      <c r="Z23" s="445"/>
      <c r="AA23" s="445"/>
      <c r="AB23" s="445"/>
      <c r="AC23" s="445"/>
      <c r="AD23" s="445"/>
      <c r="AE23" s="445"/>
      <c r="AF23" s="445"/>
      <c r="AG23" s="445"/>
      <c r="AH23" s="445"/>
      <c r="AI23" s="445"/>
      <c r="AQ23" s="1073">
        <v>14</v>
      </c>
    </row>
    <row r="24" spans="1:43" ht="14.65" customHeight="1">
      <c r="Q24" s="312"/>
      <c r="R24" s="312"/>
      <c r="S24" s="262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23"/>
      <c r="U24" s="2623"/>
      <c r="V24" s="2623"/>
      <c r="W24" s="2623"/>
      <c r="X24" s="2623"/>
      <c r="Y24" s="2623"/>
      <c r="Z24" s="2623"/>
      <c r="AA24" s="2623"/>
      <c r="AB24" s="2623"/>
      <c r="AC24" s="2623"/>
      <c r="AD24" s="2623"/>
      <c r="AE24" s="2623"/>
      <c r="AF24" s="2623"/>
      <c r="AG24" s="2623"/>
      <c r="AH24" s="2623"/>
      <c r="AI24" s="1161"/>
      <c r="AQ24" s="1073">
        <v>14</v>
      </c>
    </row>
    <row r="25" spans="1:43" ht="14.65" customHeight="1">
      <c r="Q25" s="312"/>
      <c r="R25" s="312"/>
      <c r="S25" s="2595" t="str">
        <f>IF(org=0,"Не определено",org)</f>
        <v>ПАО "ТГК-1" (филиал "Кольский")</v>
      </c>
      <c r="T25" s="2595"/>
      <c r="U25" s="2595"/>
      <c r="V25" s="2595"/>
      <c r="W25" s="2595"/>
      <c r="X25" s="2595"/>
      <c r="Y25" s="2595"/>
      <c r="Z25" s="2595"/>
      <c r="AA25" s="2595"/>
      <c r="AB25" s="2595"/>
      <c r="AC25" s="2595"/>
      <c r="AD25" s="2595"/>
      <c r="AE25" s="2595"/>
      <c r="AF25" s="2595"/>
      <c r="AG25" s="2595"/>
      <c r="AH25" s="2595"/>
      <c r="AI25" s="1161"/>
      <c r="AQ25" s="1073">
        <v>14</v>
      </c>
    </row>
    <row r="26" spans="1:43" ht="14.25" hidden="1" customHeight="1">
      <c r="Q26" s="312"/>
      <c r="R26" s="312"/>
      <c r="S26" s="1193"/>
      <c r="T26" s="299"/>
      <c r="U26" s="299"/>
      <c r="V26" s="259"/>
      <c r="W26" s="259"/>
      <c r="X26" s="259"/>
      <c r="Y26" s="259"/>
      <c r="Z26" s="259"/>
      <c r="AA26" s="259"/>
      <c r="AB26" s="259"/>
      <c r="AC26" s="259"/>
      <c r="AD26" s="259"/>
      <c r="AE26" s="259"/>
      <c r="AF26" s="259"/>
      <c r="AG26" s="259"/>
      <c r="AH26" s="259"/>
      <c r="AI26" s="259"/>
      <c r="AJ26" s="445"/>
      <c r="AQ26" s="1073">
        <v>0</v>
      </c>
    </row>
    <row r="27" spans="1:43" s="2416" customFormat="1" ht="25.5" hidden="1" customHeight="1">
      <c r="A27" s="1286"/>
      <c r="B27" s="1286"/>
      <c r="C27" s="1286"/>
      <c r="D27" s="1286"/>
      <c r="E27" s="1286"/>
      <c r="F27" s="1286"/>
      <c r="G27" s="1286"/>
      <c r="H27" s="1286"/>
      <c r="I27" s="1286"/>
      <c r="J27" s="1286"/>
      <c r="K27" s="1286"/>
      <c r="L27" s="1287"/>
      <c r="M27" s="1286"/>
      <c r="N27" s="1286"/>
      <c r="O27" s="1286"/>
      <c r="S27" s="2633" t="s">
        <v>41</v>
      </c>
      <c r="T27" s="2633"/>
      <c r="U27" s="1290"/>
      <c r="V27" s="2635" t="str">
        <f>IF(TITLE_NAME_OR_PR_CHANGE="",IF(TITLE_NAME_OR_PR="","",TITLE_NAME_OR_PR),TITLE_NAME_OR_PR_CHANGE)</f>
        <v/>
      </c>
      <c r="W27" s="2635"/>
      <c r="X27" s="2635"/>
      <c r="Y27" s="2635"/>
      <c r="Z27" s="2635"/>
      <c r="AA27" s="2635"/>
      <c r="AB27" s="263"/>
      <c r="AC27" s="2635" t="str">
        <f>IF(TITLE_NAME_OR_PR_CHANGE="",IF(TITLE_NAME_OR_PR="","",TITLE_NAME_OR_PR),TITLE_NAME_OR_PR_CHANGE)</f>
        <v/>
      </c>
      <c r="AD27" s="2635"/>
      <c r="AE27" s="2635"/>
      <c r="AF27" s="2635"/>
      <c r="AG27" s="2635"/>
      <c r="AH27" s="2635"/>
      <c r="AI27" s="263"/>
      <c r="AJ27" s="263"/>
      <c r="AK27" s="217"/>
      <c r="AL27" s="304"/>
      <c r="AM27" s="304"/>
      <c r="AN27" s="304"/>
      <c r="AO27" s="304"/>
      <c r="AP27" s="304"/>
      <c r="AQ27" s="354">
        <v>0</v>
      </c>
    </row>
    <row r="28" spans="1:43" s="2416" customFormat="1" ht="18.75" hidden="1" customHeight="1">
      <c r="A28" s="1286"/>
      <c r="B28" s="1286"/>
      <c r="C28" s="1286"/>
      <c r="D28" s="1286"/>
      <c r="E28" s="1286"/>
      <c r="F28" s="1286"/>
      <c r="G28" s="1286"/>
      <c r="H28" s="1286"/>
      <c r="I28" s="1286"/>
      <c r="J28" s="1286"/>
      <c r="K28" s="1286"/>
      <c r="L28" s="1287"/>
      <c r="M28" s="1286"/>
      <c r="N28" s="1286"/>
      <c r="O28" s="1286"/>
      <c r="S28" s="2633" t="s">
        <v>414</v>
      </c>
      <c r="T28" s="2633"/>
      <c r="U28" s="1290"/>
      <c r="V28" s="2634" t="str">
        <f>IF(TITLE_DATE_PR_CHANGE="",IF(TITLE_DATE_PR="","",TITLE_DATE_PR),TITLE_DATE_PR_CHANGE)</f>
        <v/>
      </c>
      <c r="W28" s="2634"/>
      <c r="X28" s="2634"/>
      <c r="Y28" s="2634"/>
      <c r="Z28" s="2634"/>
      <c r="AA28" s="2634"/>
      <c r="AB28" s="263"/>
      <c r="AC28" s="2634" t="str">
        <f>IF(TITLE_DATE_PR_CHANGE="",IF(TITLE_DATE_PR="","",TITLE_DATE_PR),TITLE_DATE_PR_CHANGE)</f>
        <v/>
      </c>
      <c r="AD28" s="2634"/>
      <c r="AE28" s="2634"/>
      <c r="AF28" s="2634"/>
      <c r="AG28" s="2634"/>
      <c r="AH28" s="2634"/>
      <c r="AI28" s="263"/>
      <c r="AJ28" s="263"/>
      <c r="AK28" s="217"/>
      <c r="AL28" s="304"/>
      <c r="AM28" s="304"/>
      <c r="AN28" s="304"/>
      <c r="AO28" s="304"/>
      <c r="AP28" s="304"/>
      <c r="AQ28" s="354">
        <v>0</v>
      </c>
    </row>
    <row r="29" spans="1:43" s="2416" customFormat="1" ht="18.75" hidden="1" customHeight="1">
      <c r="A29" s="1286"/>
      <c r="B29" s="1286"/>
      <c r="C29" s="1286"/>
      <c r="D29" s="1286"/>
      <c r="E29" s="1286"/>
      <c r="F29" s="1286"/>
      <c r="G29" s="1286"/>
      <c r="H29" s="1286"/>
      <c r="I29" s="1286"/>
      <c r="J29" s="1286"/>
      <c r="K29" s="1286"/>
      <c r="L29" s="1287"/>
      <c r="M29" s="1286"/>
      <c r="N29" s="1286"/>
      <c r="O29" s="1286"/>
      <c r="S29" s="2633" t="s">
        <v>415</v>
      </c>
      <c r="T29" s="2633"/>
      <c r="U29" s="1290"/>
      <c r="V29" s="2635" t="str">
        <f>IF(TITLE_NUMBER_PR_CHANGE="",IF(TITLE_NUMBER_PR="","",TITLE_NUMBER_PR),TITLE_NUMBER_PR_CHANGE)</f>
        <v/>
      </c>
      <c r="W29" s="2635"/>
      <c r="X29" s="2635"/>
      <c r="Y29" s="2635"/>
      <c r="Z29" s="2635"/>
      <c r="AA29" s="2635"/>
      <c r="AB29" s="263"/>
      <c r="AC29" s="2635" t="str">
        <f>IF(TITLE_NUMBER_PR_CHANGE="",IF(TITLE_NUMBER_PR="","",TITLE_NUMBER_PR),TITLE_NUMBER_PR_CHANGE)</f>
        <v/>
      </c>
      <c r="AD29" s="2635"/>
      <c r="AE29" s="2635"/>
      <c r="AF29" s="2635"/>
      <c r="AG29" s="2635"/>
      <c r="AH29" s="2635"/>
      <c r="AI29" s="263"/>
      <c r="AJ29" s="263"/>
      <c r="AK29" s="217"/>
      <c r="AL29" s="304"/>
      <c r="AM29" s="304"/>
      <c r="AN29" s="304"/>
      <c r="AO29" s="304"/>
      <c r="AP29" s="304"/>
      <c r="AQ29" s="354">
        <v>0</v>
      </c>
    </row>
    <row r="30" spans="1:43" s="2416" customFormat="1" ht="18.75" hidden="1" customHeight="1">
      <c r="A30" s="1286"/>
      <c r="B30" s="1286"/>
      <c r="C30" s="1286"/>
      <c r="D30" s="1286"/>
      <c r="E30" s="1286"/>
      <c r="F30" s="1286"/>
      <c r="G30" s="1286"/>
      <c r="H30" s="1286"/>
      <c r="I30" s="1286"/>
      <c r="J30" s="1286"/>
      <c r="K30" s="1286"/>
      <c r="L30" s="1287"/>
      <c r="M30" s="1286"/>
      <c r="N30" s="1286"/>
      <c r="O30" s="1286"/>
      <c r="S30" s="2633" t="s">
        <v>42</v>
      </c>
      <c r="T30" s="2633"/>
      <c r="U30" s="1290"/>
      <c r="V30" s="2635" t="str">
        <f>IF(TITLE_IST_PUB_CHANGE="",IF(TITLE_IST_PUB="","",TITLE_IST_PUB),TITLE_IST_PUB_CHANGE)</f>
        <v/>
      </c>
      <c r="W30" s="2635"/>
      <c r="X30" s="2635"/>
      <c r="Y30" s="2635"/>
      <c r="Z30" s="2635"/>
      <c r="AA30" s="2635"/>
      <c r="AB30" s="263"/>
      <c r="AC30" s="2635" t="str">
        <f>IF(TITLE_IST_PUB_CHANGE="",IF(TITLE_IST_PUB="","",TITLE_IST_PUB),TITLE_IST_PUB_CHANGE)</f>
        <v/>
      </c>
      <c r="AD30" s="2635"/>
      <c r="AE30" s="2635"/>
      <c r="AF30" s="2635"/>
      <c r="AG30" s="2635"/>
      <c r="AH30" s="2635"/>
      <c r="AI30" s="263"/>
      <c r="AJ30" s="263"/>
      <c r="AK30" s="217"/>
      <c r="AL30" s="304"/>
      <c r="AM30" s="304"/>
      <c r="AN30" s="304"/>
      <c r="AO30" s="304"/>
      <c r="AP30" s="304"/>
      <c r="AQ30" s="354">
        <v>0</v>
      </c>
    </row>
    <row r="31" spans="1:43" ht="14.25" hidden="1" customHeight="1">
      <c r="Q31" s="312"/>
      <c r="R31" s="312"/>
      <c r="S31" s="1193"/>
      <c r="T31" s="299"/>
      <c r="U31" s="299"/>
      <c r="V31" s="259"/>
      <c r="W31" s="259"/>
      <c r="X31" s="259"/>
      <c r="Y31" s="259"/>
      <c r="Z31" s="259"/>
      <c r="AA31" s="259"/>
      <c r="AB31" s="259"/>
      <c r="AC31" s="259"/>
      <c r="AD31" s="259"/>
      <c r="AE31" s="259"/>
      <c r="AF31" s="259"/>
      <c r="AG31" s="259"/>
      <c r="AH31" s="259"/>
      <c r="AI31" s="259"/>
      <c r="AJ31" s="445"/>
      <c r="AQ31" s="1073">
        <v>0</v>
      </c>
    </row>
    <row r="32" spans="1:43" s="2416" customFormat="1" ht="18.75" hidden="1" customHeight="1">
      <c r="A32" s="1286"/>
      <c r="B32" s="1286"/>
      <c r="C32" s="1286"/>
      <c r="D32" s="1286"/>
      <c r="E32" s="1286"/>
      <c r="F32" s="1286"/>
      <c r="G32" s="1286"/>
      <c r="H32" s="1286"/>
      <c r="I32" s="1286"/>
      <c r="J32" s="1286"/>
      <c r="K32" s="1286"/>
      <c r="L32" s="1287"/>
      <c r="M32" s="1286"/>
      <c r="N32" s="1286"/>
      <c r="O32" s="1286"/>
      <c r="S32" s="2633" t="s">
        <v>416</v>
      </c>
      <c r="T32" s="2633"/>
      <c r="U32" s="1290"/>
      <c r="V32" s="2634" t="str">
        <f>IF(TITLE_DATE_PR_CHANGE="",IF(TITLE_DATE_PR="","",TITLE_DATE_PR),TITLE_DATE_PR_CHANGE)</f>
        <v/>
      </c>
      <c r="W32" s="2634"/>
      <c r="X32" s="2634"/>
      <c r="Y32" s="2634"/>
      <c r="Z32" s="2634"/>
      <c r="AA32" s="2634"/>
      <c r="AB32" s="263"/>
      <c r="AC32" s="2634" t="str">
        <f>IF(TITLE_DATE_PR_CHANGE="",IF(TITLE_DATE_PR="","",TITLE_DATE_PR),TITLE_DATE_PR_CHANGE)</f>
        <v/>
      </c>
      <c r="AD32" s="2634"/>
      <c r="AE32" s="2634"/>
      <c r="AF32" s="2634"/>
      <c r="AG32" s="2634"/>
      <c r="AH32" s="2634"/>
      <c r="AI32" s="263"/>
      <c r="AJ32" s="263"/>
      <c r="AK32" s="217"/>
      <c r="AL32" s="304"/>
      <c r="AM32" s="304"/>
      <c r="AN32" s="304"/>
      <c r="AO32" s="304"/>
      <c r="AP32" s="304"/>
      <c r="AQ32" s="354">
        <v>0</v>
      </c>
    </row>
    <row r="33" spans="1:43" s="2416" customFormat="1" ht="18.75" hidden="1" customHeight="1">
      <c r="A33" s="1286"/>
      <c r="B33" s="1286"/>
      <c r="C33" s="1286"/>
      <c r="D33" s="1286"/>
      <c r="E33" s="1286"/>
      <c r="F33" s="1286"/>
      <c r="G33" s="1286"/>
      <c r="H33" s="1286"/>
      <c r="I33" s="1286"/>
      <c r="J33" s="1286"/>
      <c r="K33" s="1286"/>
      <c r="L33" s="1287"/>
      <c r="M33" s="1286"/>
      <c r="N33" s="1286"/>
      <c r="O33" s="1286"/>
      <c r="S33" s="2633" t="s">
        <v>417</v>
      </c>
      <c r="T33" s="2633"/>
      <c r="U33" s="1290"/>
      <c r="V33" s="2635" t="str">
        <f>IF(TITLE_NUMBER_PR_CHANGE="",IF(TITLE_NUMBER_PR="","",TITLE_NUMBER_PR),TITLE_NUMBER_PR_CHANGE)</f>
        <v/>
      </c>
      <c r="W33" s="2635"/>
      <c r="X33" s="2635"/>
      <c r="Y33" s="2635"/>
      <c r="Z33" s="2635"/>
      <c r="AA33" s="2635"/>
      <c r="AB33" s="263"/>
      <c r="AC33" s="2635" t="str">
        <f>IF(TITLE_NUMBER_PR_CHANGE="",IF(TITLE_NUMBER_PR="","",TITLE_NUMBER_PR),TITLE_NUMBER_PR_CHANGE)</f>
        <v/>
      </c>
      <c r="AD33" s="2635"/>
      <c r="AE33" s="2635"/>
      <c r="AF33" s="2635"/>
      <c r="AG33" s="2635"/>
      <c r="AH33" s="2635"/>
      <c r="AI33" s="263"/>
      <c r="AJ33" s="263"/>
      <c r="AK33" s="217"/>
      <c r="AL33" s="304"/>
      <c r="AM33" s="304"/>
      <c r="AN33" s="304"/>
      <c r="AO33" s="304"/>
      <c r="AP33" s="304"/>
      <c r="AQ33" s="354">
        <v>0</v>
      </c>
    </row>
    <row r="34" spans="1:43" s="2416"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263"/>
      <c r="X34" s="263"/>
      <c r="Y34" s="263"/>
      <c r="Z34" s="263"/>
      <c r="AA34" s="263"/>
      <c r="AB34" s="215" t="s">
        <v>418</v>
      </c>
      <c r="AC34" s="263"/>
      <c r="AD34" s="263"/>
      <c r="AE34" s="263"/>
      <c r="AF34" s="263"/>
      <c r="AG34" s="263"/>
      <c r="AH34" s="263"/>
      <c r="AI34" s="215" t="s">
        <v>418</v>
      </c>
      <c r="AL34" s="304"/>
      <c r="AM34" s="304"/>
      <c r="AN34" s="304"/>
      <c r="AO34" s="304"/>
      <c r="AP34" s="304"/>
      <c r="AQ34" s="354">
        <v>1</v>
      </c>
    </row>
    <row r="35" spans="1:43" ht="14.65" customHeight="1">
      <c r="Q35" s="312"/>
      <c r="R35" s="312"/>
      <c r="S35" s="1193"/>
      <c r="T35" s="299"/>
      <c r="U35" s="1162"/>
      <c r="V35" s="2654"/>
      <c r="W35" s="2654"/>
      <c r="X35" s="2654"/>
      <c r="Y35" s="2654"/>
      <c r="Z35" s="2654"/>
      <c r="AA35" s="2654"/>
      <c r="AB35" s="2654"/>
      <c r="AC35" s="2654"/>
      <c r="AD35" s="2654"/>
      <c r="AE35" s="2654"/>
      <c r="AF35" s="2654"/>
      <c r="AG35" s="2654"/>
      <c r="AH35" s="2654"/>
      <c r="AI35" s="2654"/>
      <c r="AQ35" s="1073">
        <v>14</v>
      </c>
    </row>
    <row r="36" spans="1:43" ht="14.65" customHeight="1">
      <c r="Q36" s="312"/>
      <c r="R36" s="312"/>
      <c r="S36" s="2514" t="s">
        <v>291</v>
      </c>
      <c r="T36" s="2514"/>
      <c r="U36" s="2514"/>
      <c r="V36" s="2514"/>
      <c r="W36" s="2514"/>
      <c r="X36" s="2514"/>
      <c r="Y36" s="2514"/>
      <c r="Z36" s="2514"/>
      <c r="AA36" s="2514"/>
      <c r="AB36" s="2514"/>
      <c r="AC36" s="2514"/>
      <c r="AD36" s="2514"/>
      <c r="AE36" s="2514"/>
      <c r="AF36" s="2514"/>
      <c r="AG36" s="2514"/>
      <c r="AH36" s="2514"/>
      <c r="AI36" s="2514"/>
      <c r="AJ36" s="2514"/>
      <c r="AK36" s="2514" t="s">
        <v>292</v>
      </c>
      <c r="AQ36" s="1073">
        <v>14</v>
      </c>
    </row>
    <row r="37" spans="1:43" ht="14.65" customHeight="1">
      <c r="Q37" s="312"/>
      <c r="R37" s="312"/>
      <c r="S37" s="2655" t="s">
        <v>84</v>
      </c>
      <c r="T37" s="2603" t="s">
        <v>419</v>
      </c>
      <c r="U37" s="238"/>
      <c r="V37" s="2656" t="s">
        <v>420</v>
      </c>
      <c r="W37" s="2657"/>
      <c r="X37" s="2657"/>
      <c r="Y37" s="2657"/>
      <c r="Z37" s="2657"/>
      <c r="AA37" s="2658"/>
      <c r="AB37" s="2659" t="s">
        <v>421</v>
      </c>
      <c r="AC37" s="2656" t="s">
        <v>420</v>
      </c>
      <c r="AD37" s="2657"/>
      <c r="AE37" s="2657"/>
      <c r="AF37" s="2657"/>
      <c r="AG37" s="2657"/>
      <c r="AH37" s="2658"/>
      <c r="AI37" s="2659" t="s">
        <v>422</v>
      </c>
      <c r="AJ37" s="2662" t="s">
        <v>423</v>
      </c>
      <c r="AK37" s="2514"/>
      <c r="AQ37" s="1073">
        <v>14</v>
      </c>
    </row>
    <row r="38" spans="1:43" ht="35.65" customHeight="1">
      <c r="Q38" s="312"/>
      <c r="R38" s="312"/>
      <c r="S38" s="2655"/>
      <c r="T38" s="2603"/>
      <c r="U38" s="954"/>
      <c r="V38" s="1401" t="s">
        <v>480</v>
      </c>
      <c r="W38" s="2496" t="s">
        <v>426</v>
      </c>
      <c r="X38" s="2495"/>
      <c r="Y38" s="2496" t="s">
        <v>427</v>
      </c>
      <c r="Z38" s="2501"/>
      <c r="AA38" s="2495"/>
      <c r="AB38" s="2660"/>
      <c r="AC38" s="1401" t="s">
        <v>480</v>
      </c>
      <c r="AD38" s="2496" t="s">
        <v>426</v>
      </c>
      <c r="AE38" s="2495"/>
      <c r="AF38" s="2496" t="s">
        <v>427</v>
      </c>
      <c r="AG38" s="2501"/>
      <c r="AH38" s="2495"/>
      <c r="AI38" s="2660"/>
      <c r="AJ38" s="2663"/>
      <c r="AK38" s="2514"/>
      <c r="AQ38" s="1073">
        <v>34</v>
      </c>
    </row>
    <row r="39" spans="1:43" ht="90.4" customHeight="1">
      <c r="A39" s="1288"/>
      <c r="B39" s="1288" t="s">
        <v>128</v>
      </c>
      <c r="C39" s="1288" t="s">
        <v>129</v>
      </c>
      <c r="D39" s="1288" t="s">
        <v>130</v>
      </c>
      <c r="E39" s="1282" t="s">
        <v>428</v>
      </c>
      <c r="F39" s="1282" t="s">
        <v>429</v>
      </c>
      <c r="G39" s="1282" t="s">
        <v>430</v>
      </c>
      <c r="H39" s="1282"/>
      <c r="I39" s="1282" t="s">
        <v>481</v>
      </c>
      <c r="J39" s="1282" t="s">
        <v>433</v>
      </c>
      <c r="K39" s="1282" t="s">
        <v>482</v>
      </c>
      <c r="L39" s="1282" t="s">
        <v>409</v>
      </c>
      <c r="Q39" s="312"/>
      <c r="R39" s="312"/>
      <c r="S39" s="2655"/>
      <c r="T39" s="2603"/>
      <c r="U39" s="239"/>
      <c r="V39" s="1401" t="s">
        <v>509</v>
      </c>
      <c r="W39" s="1140" t="s">
        <v>510</v>
      </c>
      <c r="X39" s="1140" t="s">
        <v>485</v>
      </c>
      <c r="Y39" s="1407" t="s">
        <v>437</v>
      </c>
      <c r="Z39" s="2608" t="s">
        <v>438</v>
      </c>
      <c r="AA39" s="2622"/>
      <c r="AB39" s="2661"/>
      <c r="AC39" s="1401" t="s">
        <v>509</v>
      </c>
      <c r="AD39" s="1140" t="s">
        <v>510</v>
      </c>
      <c r="AE39" s="1140" t="s">
        <v>485</v>
      </c>
      <c r="AF39" s="1407" t="s">
        <v>437</v>
      </c>
      <c r="AG39" s="2608" t="s">
        <v>438</v>
      </c>
      <c r="AH39" s="2622"/>
      <c r="AI39" s="2661"/>
      <c r="AJ39" s="2664"/>
      <c r="AK39" s="2514"/>
      <c r="AQ39" s="1073">
        <v>86</v>
      </c>
    </row>
    <row r="40" spans="1:43" s="243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102</v>
      </c>
      <c r="T40" s="1173" t="s">
        <v>103</v>
      </c>
      <c r="U40" s="1163" t="str">
        <f ca="1">OFFSET(U40,0,-1)</f>
        <v>2</v>
      </c>
      <c r="V40" s="1400">
        <f ca="1">OFFSET(V40,0,-1)+1</f>
        <v>3</v>
      </c>
      <c r="W40" s="1400">
        <f ca="1">OFFSET(W40,0,-1)+1</f>
        <v>4</v>
      </c>
      <c r="X40" s="1400">
        <f ca="1">OFFSET(X40,0,-1)+1</f>
        <v>5</v>
      </c>
      <c r="Y40" s="1400">
        <f ca="1">OFFSET(Y40,0,-1)+1</f>
        <v>6</v>
      </c>
      <c r="Z40" s="2653">
        <f ca="1">OFFSET(Z40,0,-1)+1</f>
        <v>7</v>
      </c>
      <c r="AA40" s="2653"/>
      <c r="AB40" s="1400">
        <f ca="1">OFFSET(AB40,0,-2)+1</f>
        <v>8</v>
      </c>
      <c r="AC40" s="1400">
        <f ca="1">OFFSET(AC40,0,-1)+1</f>
        <v>9</v>
      </c>
      <c r="AD40" s="1400">
        <f ca="1">OFFSET(AD40,0,-1)+1</f>
        <v>10</v>
      </c>
      <c r="AE40" s="1400">
        <f ca="1">OFFSET(AE40,0,-1)+1</f>
        <v>11</v>
      </c>
      <c r="AF40" s="1400">
        <f ca="1">OFFSET(AF40,0,-1)+1</f>
        <v>12</v>
      </c>
      <c r="AG40" s="2653">
        <f ca="1">OFFSET(AG40,0,-1)+1</f>
        <v>13</v>
      </c>
      <c r="AH40" s="2653"/>
      <c r="AI40" s="1400">
        <f ca="1">OFFSET(AI40,0,-2)+1</f>
        <v>14</v>
      </c>
      <c r="AJ40" s="1163">
        <f ca="1">OFFSET(AJ40,0,-1)</f>
        <v>14</v>
      </c>
      <c r="AK40" s="1400">
        <f ca="1">OFFSET(AK40,0,-1)+1</f>
        <v>15</v>
      </c>
      <c r="AL40" s="447"/>
      <c r="AM40" s="447"/>
      <c r="AN40" s="447"/>
      <c r="AO40" s="447"/>
      <c r="AP40" s="447"/>
      <c r="AQ40" s="432">
        <v>0</v>
      </c>
    </row>
    <row r="41" spans="1:43" ht="24" customHeight="1">
      <c r="A41" s="1281" t="s">
        <v>262</v>
      </c>
      <c r="B41" s="1281"/>
      <c r="C41" s="1281"/>
      <c r="D41" s="1281"/>
      <c r="E41" s="2642">
        <v>1</v>
      </c>
      <c r="F41" s="1281"/>
      <c r="G41" s="1281"/>
      <c r="H41" s="1281"/>
      <c r="I41" s="1281"/>
      <c r="J41" s="1281"/>
      <c r="K41" s="1281"/>
      <c r="L41" s="1282"/>
      <c r="M41" s="1283"/>
      <c r="N41" s="1283"/>
      <c r="O41" s="1283"/>
      <c r="P41" s="297"/>
      <c r="Q41" s="296"/>
      <c r="R41" s="291"/>
      <c r="S41" s="1411">
        <f>INDEX(PT_DIFFERENTIATION_NUM_NTAR,MATCH(A41,PT_DIFFERENTIATION_NTAR_ID,0))</f>
        <v>0</v>
      </c>
      <c r="T41" s="235" t="s">
        <v>116</v>
      </c>
      <c r="U41" s="237"/>
      <c r="V41" s="2636"/>
      <c r="W41" s="2637"/>
      <c r="X41" s="2637"/>
      <c r="Y41" s="2637"/>
      <c r="Z41" s="2637"/>
      <c r="AA41" s="2637"/>
      <c r="AB41" s="2638"/>
      <c r="AC41" s="2636" t="str">
        <f>INDEX(PT_DIFFERENTIATION_NTAR,MATCH(A41,PT_DIFFERENTIATION_NTAR_ID,0))</f>
        <v/>
      </c>
      <c r="AD41" s="2637"/>
      <c r="AE41" s="2637"/>
      <c r="AF41" s="2637"/>
      <c r="AG41" s="2637"/>
      <c r="AH41" s="2637"/>
      <c r="AI41" s="2637"/>
      <c r="AJ41" s="263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3">
        <v>23</v>
      </c>
    </row>
    <row r="42" spans="1:43" ht="24" customHeight="1">
      <c r="A42" s="1281" t="s">
        <v>262</v>
      </c>
      <c r="B42" s="1281" t="s">
        <v>263</v>
      </c>
      <c r="C42" s="1281"/>
      <c r="D42" s="1281"/>
      <c r="E42" s="2643"/>
      <c r="F42" s="2642">
        <v>1</v>
      </c>
      <c r="G42" s="1281"/>
      <c r="H42" s="1281"/>
      <c r="I42" s="1281"/>
      <c r="J42" s="1281"/>
      <c r="K42" s="1281"/>
      <c r="L42" s="1282"/>
      <c r="M42" s="1283"/>
      <c r="N42" s="1283"/>
      <c r="O42" s="1283"/>
      <c r="P42" s="1405"/>
      <c r="Q42" s="288"/>
      <c r="R42" s="289"/>
      <c r="S42" s="1411" t="str">
        <f>INDEX(PT_DIFFERENTIATION_NUM_TER,MATCH(B42,PT_DIFFERENTIATION_TER_ID,0))</f>
        <v>.</v>
      </c>
      <c r="T42" s="245" t="s">
        <v>388</v>
      </c>
      <c r="U42" s="237"/>
      <c r="V42" s="2636"/>
      <c r="W42" s="2637"/>
      <c r="X42" s="2637"/>
      <c r="Y42" s="2637"/>
      <c r="Z42" s="2637"/>
      <c r="AA42" s="2637"/>
      <c r="AB42" s="2638"/>
      <c r="AC42" s="2636" t="str">
        <f>INDEX(PT_DIFFERENTIATION_TER,MATCH(B42,PT_DIFFERENTIATION_TER_ID,0))</f>
        <v/>
      </c>
      <c r="AD42" s="2637"/>
      <c r="AE42" s="2637"/>
      <c r="AF42" s="2637"/>
      <c r="AG42" s="2637"/>
      <c r="AH42" s="2637"/>
      <c r="AI42" s="2637"/>
      <c r="AJ42" s="2638"/>
      <c r="AK42" s="1176" t="s">
        <v>389</v>
      </c>
      <c r="AM42" s="436"/>
      <c r="AN42" s="436" t="str">
        <f t="shared" si="1"/>
        <v>Территория действия тарифа</v>
      </c>
      <c r="AO42" s="436"/>
      <c r="AP42" s="436"/>
      <c r="AQ42" s="1073">
        <v>23</v>
      </c>
    </row>
    <row r="43" spans="1:43" ht="24" customHeight="1">
      <c r="A43" s="1281" t="s">
        <v>262</v>
      </c>
      <c r="B43" s="1281" t="s">
        <v>263</v>
      </c>
      <c r="C43" s="1281" t="s">
        <v>264</v>
      </c>
      <c r="D43" s="1281"/>
      <c r="E43" s="2643"/>
      <c r="F43" s="2643"/>
      <c r="G43" s="2642">
        <v>1</v>
      </c>
      <c r="H43" s="1281"/>
      <c r="I43" s="1281"/>
      <c r="J43" s="1281"/>
      <c r="K43" s="1281"/>
      <c r="L43" s="1282"/>
      <c r="M43" s="1283"/>
      <c r="N43" s="1283"/>
      <c r="O43" s="1283"/>
      <c r="P43" s="290"/>
      <c r="Q43" s="288"/>
      <c r="R43" s="289"/>
      <c r="S43" s="1411" t="str">
        <f>INDEX(PT_DIFFERENTIATION_NUM_CS,MATCH(C43,PT_DIFFERENTIATION_CS_ID,0))</f>
        <v>..</v>
      </c>
      <c r="T43" s="246" t="s">
        <v>507</v>
      </c>
      <c r="U43" s="237"/>
      <c r="V43" s="2636"/>
      <c r="W43" s="2637"/>
      <c r="X43" s="2637"/>
      <c r="Y43" s="2637"/>
      <c r="Z43" s="2637"/>
      <c r="AA43" s="2637"/>
      <c r="AB43" s="2638"/>
      <c r="AC43" s="2636" t="str">
        <f>INDEX(PT_DIFFERENTIATION_CS,MATCH(C43,PT_DIFFERENTIATION_CS_ID,0))</f>
        <v/>
      </c>
      <c r="AD43" s="2637"/>
      <c r="AE43" s="2637"/>
      <c r="AF43" s="2637"/>
      <c r="AG43" s="2637"/>
      <c r="AH43" s="2637"/>
      <c r="AI43" s="2637"/>
      <c r="AJ43" s="2638"/>
      <c r="AK43" s="1176" t="s">
        <v>508</v>
      </c>
      <c r="AM43" s="436"/>
      <c r="AN43" s="436" t="str">
        <f t="shared" si="1"/>
        <v>Наименование централизованной системы водоотведения</v>
      </c>
      <c r="AO43" s="436"/>
      <c r="AP43" s="436"/>
      <c r="AQ43" s="1073">
        <v>23</v>
      </c>
    </row>
    <row r="44" spans="1:43" ht="24" customHeight="1">
      <c r="A44" s="1281" t="s">
        <v>262</v>
      </c>
      <c r="B44" s="1281" t="s">
        <v>263</v>
      </c>
      <c r="C44" s="1281" t="s">
        <v>264</v>
      </c>
      <c r="D44" s="1281" t="s">
        <v>512</v>
      </c>
      <c r="E44" s="2643"/>
      <c r="F44" s="2643"/>
      <c r="G44" s="2643"/>
      <c r="H44" s="2643"/>
      <c r="I44" s="2644" t="str">
        <f>S43&amp;".1"</f>
        <v>...1</v>
      </c>
      <c r="J44" s="1281"/>
      <c r="K44" s="1281"/>
      <c r="L44" s="1282"/>
      <c r="P44" s="2646">
        <v>1</v>
      </c>
      <c r="Q44" s="1399"/>
      <c r="R44" s="292"/>
      <c r="S44" s="1411" t="str">
        <f>$I44</f>
        <v>...1</v>
      </c>
      <c r="T44" s="222" t="s">
        <v>474</v>
      </c>
      <c r="U44" s="237"/>
      <c r="V44" s="2710"/>
      <c r="W44" s="2711"/>
      <c r="X44" s="2711"/>
      <c r="Y44" s="2711"/>
      <c r="Z44" s="2711"/>
      <c r="AA44" s="2711"/>
      <c r="AB44" s="2712"/>
      <c r="AC44" s="2713"/>
      <c r="AD44" s="2714"/>
      <c r="AE44" s="2714"/>
      <c r="AF44" s="2714"/>
      <c r="AG44" s="2714"/>
      <c r="AH44" s="2714"/>
      <c r="AI44" s="2714"/>
      <c r="AJ44" s="2715"/>
      <c r="AK44" s="1176" t="s">
        <v>475</v>
      </c>
      <c r="AM44" s="436"/>
      <c r="AN44" s="436" t="str">
        <f t="shared" si="1"/>
        <v>Наименование признака дифференциации</v>
      </c>
      <c r="AO44" s="436"/>
      <c r="AP44" s="436"/>
      <c r="AQ44" s="1073">
        <v>23</v>
      </c>
    </row>
    <row r="45" spans="1:43" ht="24" customHeight="1">
      <c r="A45" s="1281" t="s">
        <v>262</v>
      </c>
      <c r="B45" s="1281" t="s">
        <v>263</v>
      </c>
      <c r="C45" s="1281" t="s">
        <v>264</v>
      </c>
      <c r="D45" s="1281" t="s">
        <v>512</v>
      </c>
      <c r="E45" s="2643"/>
      <c r="F45" s="2643"/>
      <c r="G45" s="2643"/>
      <c r="H45" s="2643"/>
      <c r="I45" s="2645"/>
      <c r="J45" s="2644" t="str">
        <f>I44&amp;".1"</f>
        <v>...1.1</v>
      </c>
      <c r="K45" s="1281"/>
      <c r="L45" s="1282" t="s">
        <v>397</v>
      </c>
      <c r="P45" s="2646"/>
      <c r="Q45" s="2646">
        <v>1</v>
      </c>
      <c r="R45" s="293"/>
      <c r="S45" s="1411" t="str">
        <f>$J45</f>
        <v>...1.1</v>
      </c>
      <c r="T45" s="223" t="s">
        <v>398</v>
      </c>
      <c r="U45" s="237"/>
      <c r="V45" s="2630"/>
      <c r="W45" s="2631"/>
      <c r="X45" s="2631"/>
      <c r="Y45" s="2631"/>
      <c r="Z45" s="2631"/>
      <c r="AA45" s="2631"/>
      <c r="AB45" s="2632"/>
      <c r="AC45" s="2630"/>
      <c r="AD45" s="2631"/>
      <c r="AE45" s="2631"/>
      <c r="AF45" s="2631"/>
      <c r="AG45" s="2631"/>
      <c r="AH45" s="2631"/>
      <c r="AI45" s="2631"/>
      <c r="AJ45" s="2632"/>
      <c r="AK45" s="1225" t="s">
        <v>476</v>
      </c>
      <c r="AM45" s="436"/>
      <c r="AN45" s="436" t="str">
        <f t="shared" si="1"/>
        <v>Группа потребителей</v>
      </c>
      <c r="AO45" s="436"/>
      <c r="AP45" s="436"/>
      <c r="AQ45" s="1073">
        <v>23</v>
      </c>
    </row>
    <row r="46" spans="1:43" ht="24" customHeight="1">
      <c r="A46" s="1281" t="s">
        <v>262</v>
      </c>
      <c r="B46" s="1281" t="s">
        <v>263</v>
      </c>
      <c r="C46" s="1281" t="s">
        <v>264</v>
      </c>
      <c r="D46" s="1281" t="s">
        <v>512</v>
      </c>
      <c r="E46" s="2643"/>
      <c r="F46" s="2643"/>
      <c r="G46" s="2643"/>
      <c r="H46" s="2643"/>
      <c r="I46" s="2645"/>
      <c r="J46" s="2645"/>
      <c r="K46" s="2644" t="str">
        <f>J45&amp;".1"</f>
        <v>...1.1.1</v>
      </c>
      <c r="L46" s="1282"/>
      <c r="P46" s="2646"/>
      <c r="Q46" s="2646"/>
      <c r="R46" s="293">
        <v>1</v>
      </c>
      <c r="S46" s="1411" t="str">
        <f>$K46</f>
        <v>...1.1.1</v>
      </c>
      <c r="T46" s="1355"/>
      <c r="U46" s="237"/>
      <c r="V46" s="1278"/>
      <c r="W46" s="1278"/>
      <c r="X46" s="1279"/>
      <c r="Y46" s="2640"/>
      <c r="Z46" s="2639" t="s">
        <v>65</v>
      </c>
      <c r="AA46" s="2640"/>
      <c r="AB46" s="2639" t="s">
        <v>65</v>
      </c>
      <c r="AC46" s="687"/>
      <c r="AD46" s="687"/>
      <c r="AE46" s="1175"/>
      <c r="AF46" s="2647"/>
      <c r="AG46" s="2524" t="s">
        <v>65</v>
      </c>
      <c r="AH46" s="2649"/>
      <c r="AI46" s="2524" t="s">
        <v>19</v>
      </c>
      <c r="AJ46" s="1356"/>
      <c r="AK46"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3">
        <v>23</v>
      </c>
    </row>
    <row r="47" spans="1:43" ht="0" hidden="1" customHeight="1">
      <c r="A47" s="1281" t="s">
        <v>262</v>
      </c>
      <c r="B47" s="1281" t="s">
        <v>263</v>
      </c>
      <c r="C47" s="1281" t="s">
        <v>264</v>
      </c>
      <c r="D47" s="1281" t="s">
        <v>512</v>
      </c>
      <c r="E47" s="2643"/>
      <c r="F47" s="2643"/>
      <c r="G47" s="2643"/>
      <c r="H47" s="2643"/>
      <c r="I47" s="2645"/>
      <c r="J47" s="2645"/>
      <c r="K47" s="2644"/>
      <c r="L47" s="1282"/>
      <c r="P47" s="2646"/>
      <c r="Q47" s="2646"/>
      <c r="R47" s="293"/>
      <c r="S47" s="1408"/>
      <c r="T47" s="237"/>
      <c r="U47" s="237"/>
      <c r="V47" s="1278"/>
      <c r="W47" s="1278"/>
      <c r="X47" s="265" t="str">
        <f>Y46&amp;"-"&amp;AA46</f>
        <v>-</v>
      </c>
      <c r="Y47" s="2639"/>
      <c r="Z47" s="2639"/>
      <c r="AA47" s="2639"/>
      <c r="AB47" s="2639"/>
      <c r="AC47" s="262"/>
      <c r="AD47" s="262"/>
      <c r="AE47" s="265" t="str">
        <f>AF46&amp;"-"&amp;AH46</f>
        <v>-</v>
      </c>
      <c r="AF47" s="2648"/>
      <c r="AG47" s="2524"/>
      <c r="AH47" s="2650"/>
      <c r="AI47" s="2524"/>
      <c r="AJ47" s="1357"/>
      <c r="AK47" s="2716"/>
      <c r="AM47" s="436"/>
      <c r="AN47" s="436" t="str">
        <f t="shared" si="1"/>
        <v/>
      </c>
      <c r="AO47" s="436"/>
      <c r="AP47" s="436"/>
      <c r="AQ47" s="1073">
        <v>0</v>
      </c>
    </row>
    <row r="48" spans="1:43" ht="21" customHeight="1">
      <c r="A48" s="1281" t="s">
        <v>262</v>
      </c>
      <c r="B48" s="1281" t="s">
        <v>263</v>
      </c>
      <c r="C48" s="1281" t="s">
        <v>264</v>
      </c>
      <c r="D48" s="1281" t="s">
        <v>512</v>
      </c>
      <c r="E48" s="2643"/>
      <c r="F48" s="2643"/>
      <c r="G48" s="2643"/>
      <c r="H48" s="2643"/>
      <c r="I48" s="2645"/>
      <c r="J48" s="2644"/>
      <c r="K48" s="1281"/>
      <c r="L48" s="1282"/>
      <c r="P48" s="2646"/>
      <c r="Q48" s="2646"/>
      <c r="R48" s="292"/>
      <c r="S48" s="1196"/>
      <c r="T48" s="224" t="s">
        <v>477</v>
      </c>
      <c r="U48" s="303"/>
      <c r="V48" s="303"/>
      <c r="W48" s="303"/>
      <c r="X48" s="303"/>
      <c r="Y48" s="303"/>
      <c r="Z48" s="303"/>
      <c r="AA48" s="303"/>
      <c r="AB48" s="303"/>
      <c r="AC48" s="303"/>
      <c r="AD48" s="303"/>
      <c r="AE48" s="303"/>
      <c r="AF48" s="303"/>
      <c r="AG48" s="303"/>
      <c r="AH48" s="303"/>
      <c r="AI48" s="303"/>
      <c r="AJ48" s="303"/>
      <c r="AK48" s="1176" t="s">
        <v>478</v>
      </c>
      <c r="AM48" s="436"/>
      <c r="AN48" s="436" t="str">
        <f t="shared" si="1"/>
        <v>Добавить значение признака дифференциации</v>
      </c>
      <c r="AO48" s="436"/>
      <c r="AP48" s="436"/>
      <c r="AQ48" s="1073">
        <v>20</v>
      </c>
    </row>
    <row r="49" spans="1:43" ht="21.95" customHeight="1">
      <c r="A49" s="1281" t="s">
        <v>262</v>
      </c>
      <c r="B49" s="1281" t="s">
        <v>263</v>
      </c>
      <c r="C49" s="1281" t="s">
        <v>264</v>
      </c>
      <c r="D49" s="1281" t="s">
        <v>512</v>
      </c>
      <c r="E49" s="2643"/>
      <c r="F49" s="2643"/>
      <c r="G49" s="2643"/>
      <c r="H49" s="2643"/>
      <c r="I49" s="2644"/>
      <c r="J49" s="1281"/>
      <c r="K49" s="1281"/>
      <c r="L49" s="1282"/>
      <c r="P49" s="2646"/>
      <c r="Q49" s="1399"/>
      <c r="R49" s="292"/>
      <c r="S49" s="1196"/>
      <c r="T49" s="301" t="s">
        <v>403</v>
      </c>
      <c r="U49" s="303"/>
      <c r="V49" s="303"/>
      <c r="W49" s="303"/>
      <c r="X49" s="303"/>
      <c r="Y49" s="303"/>
      <c r="Z49" s="303"/>
      <c r="AA49" s="303"/>
      <c r="AB49" s="302"/>
      <c r="AC49" s="303"/>
      <c r="AD49" s="303"/>
      <c r="AE49" s="303"/>
      <c r="AF49" s="303"/>
      <c r="AG49" s="303"/>
      <c r="AH49" s="303"/>
      <c r="AI49" s="302"/>
      <c r="AJ49" s="303"/>
      <c r="AK49" s="1358"/>
      <c r="AM49" s="436"/>
      <c r="AN49" s="436" t="str">
        <f t="shared" si="1"/>
        <v>Добавить группу потребителей</v>
      </c>
      <c r="AO49" s="436"/>
      <c r="AP49" s="436"/>
      <c r="AQ49" s="1073">
        <v>21</v>
      </c>
    </row>
    <row r="50" spans="1:43" ht="21.95" customHeight="1">
      <c r="A50" s="1281" t="s">
        <v>262</v>
      </c>
      <c r="B50" s="1281" t="s">
        <v>263</v>
      </c>
      <c r="C50" s="1281" t="s">
        <v>264</v>
      </c>
      <c r="D50" s="1281" t="s">
        <v>512</v>
      </c>
      <c r="E50" s="2643"/>
      <c r="F50" s="2643"/>
      <c r="G50" s="2643"/>
      <c r="H50" s="2642"/>
      <c r="I50" s="1281"/>
      <c r="J50" s="1281"/>
      <c r="K50" s="1281"/>
      <c r="L50" s="1282"/>
      <c r="M50" s="1283"/>
      <c r="N50" s="1283"/>
      <c r="O50" s="473"/>
      <c r="P50" s="296"/>
      <c r="Q50" s="311"/>
      <c r="R50" s="291"/>
      <c r="S50" s="1196"/>
      <c r="T50" s="308" t="s">
        <v>479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3">
        <v>21</v>
      </c>
    </row>
    <row r="51" spans="1:43" s="2407" customFormat="1" ht="0" hidden="1" customHeight="1">
      <c r="A51" s="1261" t="s">
        <v>262</v>
      </c>
      <c r="B51" s="1261" t="s">
        <v>263</v>
      </c>
      <c r="C51" s="1232"/>
      <c r="D51" s="1232"/>
      <c r="E51" s="2643"/>
      <c r="F51" s="2642"/>
      <c r="G51" s="1232"/>
      <c r="H51" s="1232"/>
      <c r="I51" s="1232"/>
      <c r="J51" s="1232"/>
      <c r="K51" s="1232"/>
      <c r="L51" s="1412"/>
      <c r="M51" s="1239"/>
      <c r="N51" s="1239"/>
      <c r="P51" s="1234"/>
      <c r="Q51" s="1235"/>
      <c r="R51" s="1234"/>
      <c r="S51" s="1240"/>
      <c r="T51" s="1243" t="s">
        <v>406</v>
      </c>
      <c r="U51" s="1242"/>
      <c r="V51" s="1242"/>
      <c r="W51" s="1242"/>
      <c r="X51" s="1242"/>
      <c r="Y51" s="1242"/>
      <c r="Z51" s="1242"/>
      <c r="AA51" s="1242"/>
      <c r="AB51" s="1242"/>
      <c r="AC51" s="1242"/>
      <c r="AD51" s="1242"/>
      <c r="AE51" s="1242"/>
      <c r="AF51" s="1242"/>
      <c r="AG51" s="1242"/>
      <c r="AH51" s="1242"/>
      <c r="AI51" s="1242"/>
      <c r="AJ51" s="1242"/>
      <c r="AK51" s="1242"/>
      <c r="AM51" s="719"/>
      <c r="AN51" s="719" t="str">
        <f t="shared" si="1"/>
        <v>Добавить централизованную систему для дифференциации</v>
      </c>
      <c r="AO51" s="719"/>
      <c r="AP51" s="719"/>
      <c r="AQ51" s="454">
        <v>0</v>
      </c>
    </row>
    <row r="52" spans="1:43" s="2407" customFormat="1" ht="0" hidden="1" customHeight="1">
      <c r="A52" s="1261" t="s">
        <v>262</v>
      </c>
      <c r="B52" s="1261"/>
      <c r="C52" s="1261"/>
      <c r="D52" s="1261"/>
      <c r="E52" s="2642"/>
      <c r="F52" s="1261"/>
      <c r="G52" s="1261"/>
      <c r="H52" s="1261"/>
      <c r="I52" s="1261"/>
      <c r="J52" s="1261"/>
      <c r="K52" s="1261"/>
      <c r="L52" s="1264"/>
      <c r="M52" s="1239"/>
      <c r="N52" s="1239"/>
      <c r="O52" s="454"/>
      <c r="P52" s="316"/>
      <c r="Q52" s="1262"/>
      <c r="R52" s="316"/>
      <c r="S52" s="1240"/>
      <c r="T52" s="1243" t="s">
        <v>407</v>
      </c>
      <c r="U52" s="1242"/>
      <c r="V52" s="1242"/>
      <c r="W52" s="1242"/>
      <c r="X52" s="1242"/>
      <c r="Y52" s="1242"/>
      <c r="Z52" s="1242"/>
      <c r="AA52" s="1242"/>
      <c r="AB52" s="1242"/>
      <c r="AC52" s="1242"/>
      <c r="AD52" s="1242"/>
      <c r="AE52" s="1242"/>
      <c r="AF52" s="1242"/>
      <c r="AG52" s="1242"/>
      <c r="AH52" s="1242"/>
      <c r="AI52" s="1242"/>
      <c r="AJ52" s="1242"/>
      <c r="AK52" s="1242"/>
      <c r="AM52" s="436"/>
      <c r="AN52" s="436" t="str">
        <f t="shared" si="1"/>
        <v>Добавить территорию для дифференциации</v>
      </c>
      <c r="AO52" s="436"/>
      <c r="AP52" s="436"/>
      <c r="AQ52" s="447">
        <v>0</v>
      </c>
    </row>
    <row r="53" spans="1:43" s="240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439</v>
      </c>
      <c r="U53" s="1242"/>
      <c r="V53" s="1242"/>
      <c r="W53" s="1242"/>
      <c r="X53" s="1242"/>
      <c r="Y53" s="1242"/>
      <c r="Z53" s="1242"/>
      <c r="AA53" s="1242"/>
      <c r="AB53" s="1242"/>
      <c r="AC53" s="1242"/>
      <c r="AD53" s="1242"/>
      <c r="AE53" s="1242"/>
      <c r="AF53" s="1242"/>
      <c r="AG53" s="1242"/>
      <c r="AH53" s="1242"/>
      <c r="AI53" s="1242"/>
      <c r="AJ53" s="1242"/>
      <c r="AK53" s="1242"/>
      <c r="AM53" s="719"/>
      <c r="AN53" s="719" t="str">
        <f t="shared" si="1"/>
        <v>Добавить наименование тарифа</v>
      </c>
      <c r="AO53" s="719"/>
      <c r="AP53" s="719"/>
      <c r="AQ53" s="454">
        <v>0</v>
      </c>
    </row>
    <row r="54" spans="1:43" ht="11.45" customHeight="1">
      <c r="M54" s="1078"/>
      <c r="N54" s="1078"/>
      <c r="O54" s="473"/>
      <c r="P54" s="1073"/>
      <c r="Q54" s="1073"/>
      <c r="R54" s="1073"/>
      <c r="S54" s="1073"/>
      <c r="AL54" s="1073"/>
      <c r="AM54" s="1073"/>
      <c r="AN54" s="1073"/>
      <c r="AO54" s="1073"/>
      <c r="AP54" s="1073"/>
      <c r="AQ54" s="1073">
        <v>11</v>
      </c>
    </row>
    <row r="55" spans="1:43" ht="14.65" customHeight="1">
      <c r="O55" s="473"/>
      <c r="S55" s="1171"/>
      <c r="T55" s="2641"/>
      <c r="U55" s="2641"/>
      <c r="V55" s="2641"/>
      <c r="W55" s="2641"/>
      <c r="X55" s="2641"/>
      <c r="Y55" s="2641"/>
      <c r="Z55" s="2641"/>
      <c r="AA55" s="2641"/>
      <c r="AB55" s="2641"/>
      <c r="AC55" s="2641"/>
      <c r="AD55" s="2641"/>
      <c r="AE55" s="2641"/>
      <c r="AF55" s="2641"/>
      <c r="AG55" s="2641"/>
      <c r="AH55" s="2641"/>
      <c r="AI55" s="2641"/>
      <c r="AJ55" s="2641"/>
      <c r="AK55" s="2641"/>
      <c r="AQ55" s="1073">
        <v>14</v>
      </c>
    </row>
    <row r="56" spans="1:43" ht="14.65" customHeight="1">
      <c r="O56" s="473"/>
      <c r="AQ56" s="1073">
        <v>14</v>
      </c>
    </row>
    <row r="57" spans="1:43" ht="14.65" customHeight="1">
      <c r="O57" s="473"/>
      <c r="S57" s="1171"/>
      <c r="T57" s="2641"/>
      <c r="U57" s="2641"/>
      <c r="V57" s="2641"/>
      <c r="W57" s="2641"/>
      <c r="X57" s="2641"/>
      <c r="Y57" s="2641"/>
      <c r="Z57" s="2641"/>
      <c r="AA57" s="2641"/>
      <c r="AB57" s="2641"/>
      <c r="AC57" s="2641"/>
      <c r="AD57" s="2641"/>
      <c r="AE57" s="2641"/>
      <c r="AF57" s="2641"/>
      <c r="AG57" s="2641"/>
      <c r="AH57" s="2641"/>
      <c r="AI57" s="2641"/>
      <c r="AJ57" s="2641"/>
      <c r="AK57" s="264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1">
        <v>3</v>
      </c>
      <c r="R58" s="281">
        <v>3</v>
      </c>
      <c r="S58" s="517">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7">
        <v>10</v>
      </c>
      <c r="AM58" s="447">
        <v>10</v>
      </c>
      <c r="AN58" s="447">
        <v>10</v>
      </c>
      <c r="AO58" s="447">
        <v>10</v>
      </c>
      <c r="AP58" s="447">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06" hidden="1" customWidth="1"/>
    <col min="2" max="2" width="11" style="2406" hidden="1" customWidth="1"/>
    <col min="3" max="3" width="10.5703125" style="2406" hidden="1"/>
    <col min="4" max="4" width="12.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2" style="2406" hidden="1" customWidth="1"/>
    <col min="10" max="10" width="9.85546875" style="2406" hidden="1" customWidth="1"/>
    <col min="11" max="11" width="11.42578125" style="2406" hidden="1" customWidth="1"/>
    <col min="12" max="12" width="19.140625" style="2432" hidden="1" customWidth="1"/>
    <col min="13" max="14" width="12.28515625" style="2433" hidden="1" customWidth="1"/>
    <col min="15" max="15" width="23.42578125" style="2433" hidden="1" customWidth="1"/>
    <col min="16" max="16" width="3.7109375" style="2433" hidden="1" customWidth="1"/>
    <col min="17" max="17" width="3.7109375" style="2438" hidden="1" customWidth="1"/>
    <col min="18" max="18" width="3" style="2435" customWidth="1"/>
    <col min="19" max="19" width="12" style="2436" customWidth="1"/>
    <col min="20" max="20" width="31" style="2400" customWidth="1"/>
    <col min="21" max="21" width="0.140625" style="2400" customWidth="1"/>
    <col min="22" max="25" width="21.7109375" style="2400" hidden="1" customWidth="1"/>
    <col min="26" max="26" width="11.7109375" style="2400" hidden="1" customWidth="1"/>
    <col min="27" max="27" width="3.7109375" style="2400" hidden="1" customWidth="1"/>
    <col min="28" max="28" width="11.7109375" style="2400" hidden="1" customWidth="1"/>
    <col min="29" max="29" width="8.5703125" style="2400" hidden="1" customWidth="1"/>
    <col min="30" max="30" width="3.7109375" style="2400" customWidth="1"/>
    <col min="31" max="32" width="3" style="2400" customWidth="1"/>
    <col min="33" max="33" width="24" style="2400" customWidth="1"/>
    <col min="34" max="34" width="3.7109375" style="2400" customWidth="1"/>
    <col min="35" max="36" width="3" style="2400" customWidth="1"/>
    <col min="37" max="37" width="24" style="2400" customWidth="1"/>
    <col min="38" max="38" width="3.7109375" style="2400" customWidth="1"/>
    <col min="39" max="40" width="3" style="2400" customWidth="1"/>
    <col min="41" max="41" width="18" style="2400" customWidth="1"/>
    <col min="42" max="42" width="3.7109375" style="2400" customWidth="1"/>
    <col min="43" max="44" width="3" style="2400" customWidth="1"/>
    <col min="45" max="45" width="18" style="2400" customWidth="1"/>
    <col min="46" max="49" width="21" style="2400" customWidth="1"/>
    <col min="50" max="50" width="11" style="2400" customWidth="1"/>
    <col min="51" max="51" width="3.7109375" style="2400" customWidth="1"/>
    <col min="52" max="52" width="11" style="2400" customWidth="1"/>
    <col min="53" max="53" width="8.5703125" style="2400" hidden="1" customWidth="1"/>
    <col min="54" max="54" width="4" style="2400" customWidth="1"/>
    <col min="55" max="55" width="115" style="2400" customWidth="1"/>
    <col min="56" max="60" width="10" style="2407" customWidth="1"/>
    <col min="61" max="61" width="10.5703125" style="2400" hidden="1"/>
  </cols>
  <sheetData>
    <row r="1" spans="1:61" ht="22.5" hidden="1" customHeight="1">
      <c r="W1" s="264"/>
      <c r="Y1" s="264"/>
      <c r="Z1" s="264"/>
      <c r="AW1" s="264"/>
      <c r="AX1" s="264"/>
      <c r="BI1" s="1073" t="s">
        <v>14</v>
      </c>
    </row>
    <row r="2" spans="1:61" ht="21" hidden="1" customHeight="1">
      <c r="A2" s="1281"/>
      <c r="B2" s="1281"/>
      <c r="C2" s="1281"/>
      <c r="D2" s="1281"/>
      <c r="E2" s="2642">
        <v>1</v>
      </c>
      <c r="F2" s="1281"/>
      <c r="G2" s="1281"/>
      <c r="H2" s="1281"/>
      <c r="I2" s="1281"/>
      <c r="J2" s="1281"/>
      <c r="K2" s="1281"/>
      <c r="L2" s="1282"/>
      <c r="M2" s="1283"/>
      <c r="N2" s="1283"/>
      <c r="O2" s="1283"/>
      <c r="P2" s="1327"/>
      <c r="Q2" s="799"/>
      <c r="R2" s="291"/>
      <c r="S2" s="1411" t="e">
        <f>INDEX(PT_DIFFERENTIATION_NUM_NTAR,MATCH(A2,PT_DIFFERENTIATION_NTAR_ID,0))</f>
        <v>#N/A</v>
      </c>
      <c r="T2" s="235" t="s">
        <v>116</v>
      </c>
      <c r="U2" s="237"/>
      <c r="V2" s="2637"/>
      <c r="W2" s="2637"/>
      <c r="X2" s="2637"/>
      <c r="Y2" s="2637"/>
      <c r="Z2" s="2637"/>
      <c r="AA2" s="2637"/>
      <c r="AB2" s="2637"/>
      <c r="AC2" s="2638"/>
      <c r="AD2" s="2636" t="e">
        <f>INDEX(PT_DIFFERENTIATION_NTAR,MATCH(A2,PT_DIFFERENTIATION_NTAR_ID,0))</f>
        <v>#N/A</v>
      </c>
      <c r="AE2" s="2637"/>
      <c r="AF2" s="2637"/>
      <c r="AG2" s="2637"/>
      <c r="AH2" s="2637"/>
      <c r="AI2" s="2637"/>
      <c r="AJ2" s="2637"/>
      <c r="AK2" s="2637"/>
      <c r="AL2" s="2637"/>
      <c r="AM2" s="2637"/>
      <c r="AN2" s="2637"/>
      <c r="AO2" s="2637"/>
      <c r="AP2" s="2637"/>
      <c r="AQ2" s="2637"/>
      <c r="AR2" s="2637"/>
      <c r="AS2" s="2637"/>
      <c r="AT2" s="2637"/>
      <c r="AU2" s="2637"/>
      <c r="AV2" s="2637"/>
      <c r="AW2" s="2637"/>
      <c r="AX2" s="2637"/>
      <c r="AY2" s="2637"/>
      <c r="AZ2" s="2637"/>
      <c r="BA2" s="2637"/>
      <c r="BB2" s="263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643"/>
      <c r="F3" s="2642">
        <v>1</v>
      </c>
      <c r="G3" s="1281"/>
      <c r="H3" s="1281"/>
      <c r="I3" s="1281"/>
      <c r="J3" s="1281"/>
      <c r="K3" s="1281"/>
      <c r="L3" s="1282"/>
      <c r="M3" s="1283"/>
      <c r="N3" s="1283"/>
      <c r="O3" s="1283"/>
      <c r="P3" s="1328"/>
      <c r="Q3" s="1329"/>
      <c r="R3" s="289"/>
      <c r="S3" s="1411" t="e">
        <f>INDEX(PT_DIFFERENTIATION_NUM_TER,MATCH(B3,PT_DIFFERENTIATION_TER_ID,0))</f>
        <v>#N/A</v>
      </c>
      <c r="T3" s="245" t="s">
        <v>388</v>
      </c>
      <c r="U3" s="237"/>
      <c r="V3" s="2637"/>
      <c r="W3" s="2637"/>
      <c r="X3" s="2637"/>
      <c r="Y3" s="2637"/>
      <c r="Z3" s="2637"/>
      <c r="AA3" s="2637"/>
      <c r="AB3" s="2637"/>
      <c r="AC3" s="2638"/>
      <c r="AD3" s="2636" t="e">
        <f>INDEX(PT_DIFFERENTIATION_TER,MATCH(B3,PT_DIFFERENTIATION_TER_ID,0))</f>
        <v>#N/A</v>
      </c>
      <c r="AE3" s="2637"/>
      <c r="AF3" s="2637"/>
      <c r="AG3" s="2637"/>
      <c r="AH3" s="2637"/>
      <c r="AI3" s="2637"/>
      <c r="AJ3" s="2637"/>
      <c r="AK3" s="2637"/>
      <c r="AL3" s="2637"/>
      <c r="AM3" s="2637"/>
      <c r="AN3" s="2637"/>
      <c r="AO3" s="2637"/>
      <c r="AP3" s="2637"/>
      <c r="AQ3" s="2637"/>
      <c r="AR3" s="2637"/>
      <c r="AS3" s="2637"/>
      <c r="AT3" s="2637"/>
      <c r="AU3" s="2637"/>
      <c r="AV3" s="2637"/>
      <c r="AW3" s="2637"/>
      <c r="AX3" s="2637"/>
      <c r="AY3" s="2637"/>
      <c r="AZ3" s="2637"/>
      <c r="BA3" s="2637"/>
      <c r="BB3" s="2638"/>
      <c r="BC3" s="1176" t="s">
        <v>389</v>
      </c>
      <c r="BE3" s="436"/>
      <c r="BF3" s="436" t="str">
        <f t="shared" si="0"/>
        <v>Территория действия тарифа</v>
      </c>
      <c r="BG3" s="436"/>
      <c r="BH3" s="436"/>
      <c r="BI3" s="1073">
        <v>0</v>
      </c>
    </row>
    <row r="4" spans="1:61" ht="33.75" hidden="1" customHeight="1">
      <c r="A4" s="1281"/>
      <c r="B4" s="1281"/>
      <c r="C4" s="1281"/>
      <c r="D4" s="1281"/>
      <c r="E4" s="2643"/>
      <c r="F4" s="2643"/>
      <c r="G4" s="2642">
        <v>1</v>
      </c>
      <c r="H4" s="1281"/>
      <c r="I4" s="1281"/>
      <c r="J4" s="1281"/>
      <c r="K4" s="1281"/>
      <c r="L4" s="1282"/>
      <c r="M4" s="1283"/>
      <c r="N4" s="1283"/>
      <c r="O4" s="1283"/>
      <c r="P4" s="1330"/>
      <c r="Q4" s="1329"/>
      <c r="R4" s="289"/>
      <c r="S4" s="1411" t="e">
        <f>INDEX(PT_DIFFERENTIATION_NUM_CS,MATCH(C4,PT_DIFFERENTIATION_CS_ID,0))</f>
        <v>#N/A</v>
      </c>
      <c r="T4" s="246" t="s">
        <v>507</v>
      </c>
      <c r="U4" s="237"/>
      <c r="V4" s="2637"/>
      <c r="W4" s="2637"/>
      <c r="X4" s="2637"/>
      <c r="Y4" s="2637"/>
      <c r="Z4" s="2637"/>
      <c r="AA4" s="2637"/>
      <c r="AB4" s="2637"/>
      <c r="AC4" s="2638"/>
      <c r="AD4" s="2636" t="e">
        <f>INDEX(PT_DIFFERENTIATION_CS,MATCH(C4,PT_DIFFERENTIATION_CS_ID,0))</f>
        <v>#N/A</v>
      </c>
      <c r="AE4" s="2637"/>
      <c r="AF4" s="2637"/>
      <c r="AG4" s="2637"/>
      <c r="AH4" s="2637"/>
      <c r="AI4" s="2637"/>
      <c r="AJ4" s="2637"/>
      <c r="AK4" s="2637"/>
      <c r="AL4" s="2637"/>
      <c r="AM4" s="2637"/>
      <c r="AN4" s="2637"/>
      <c r="AO4" s="2637"/>
      <c r="AP4" s="2637"/>
      <c r="AQ4" s="2637"/>
      <c r="AR4" s="2637"/>
      <c r="AS4" s="2637"/>
      <c r="AT4" s="2637"/>
      <c r="AU4" s="2637"/>
      <c r="AV4" s="2637"/>
      <c r="AW4" s="2637"/>
      <c r="AX4" s="2637"/>
      <c r="AY4" s="2637"/>
      <c r="AZ4" s="2637"/>
      <c r="BA4" s="2637"/>
      <c r="BB4" s="2638"/>
      <c r="BC4" s="1176" t="s">
        <v>508</v>
      </c>
      <c r="BE4" s="436"/>
      <c r="BF4" s="436" t="str">
        <f t="shared" si="0"/>
        <v>Наименование централизованной системы водоотведения</v>
      </c>
      <c r="BG4" s="436"/>
      <c r="BH4" s="436"/>
      <c r="BI4" s="1073">
        <v>0</v>
      </c>
    </row>
    <row r="5" spans="1:61" s="2407" customFormat="1" ht="14.25" hidden="1" customHeight="1">
      <c r="A5" s="1261"/>
      <c r="B5" s="1261"/>
      <c r="C5" s="1261"/>
      <c r="D5" s="1261"/>
      <c r="E5" s="2643"/>
      <c r="F5" s="2643"/>
      <c r="G5" s="2643"/>
      <c r="H5" s="2642">
        <v>1</v>
      </c>
      <c r="I5" s="1261"/>
      <c r="J5" s="1261"/>
      <c r="K5" s="1261"/>
      <c r="L5" s="1264"/>
      <c r="M5" s="1233"/>
      <c r="N5" s="1233"/>
      <c r="O5" s="1233"/>
      <c r="P5" s="1415"/>
      <c r="Q5" s="1416"/>
      <c r="R5" s="293"/>
      <c r="S5" s="965"/>
      <c r="T5" s="1417"/>
      <c r="U5" s="1302"/>
      <c r="V5" s="2674"/>
      <c r="W5" s="2674"/>
      <c r="X5" s="2674"/>
      <c r="Y5" s="2674"/>
      <c r="Z5" s="2674"/>
      <c r="AA5" s="2674"/>
      <c r="AB5" s="2674"/>
      <c r="AC5" s="2675"/>
      <c r="AD5" s="2673"/>
      <c r="AE5" s="2674"/>
      <c r="AF5" s="2674"/>
      <c r="AG5" s="2674"/>
      <c r="AH5" s="2674"/>
      <c r="AI5" s="2674"/>
      <c r="AJ5" s="2674"/>
      <c r="AK5" s="2674"/>
      <c r="AL5" s="2674"/>
      <c r="AM5" s="2674"/>
      <c r="AN5" s="2674"/>
      <c r="AO5" s="2674"/>
      <c r="AP5" s="2674"/>
      <c r="AQ5" s="2674"/>
      <c r="AR5" s="2674"/>
      <c r="AS5" s="2674"/>
      <c r="AT5" s="2674"/>
      <c r="AU5" s="2674"/>
      <c r="AV5" s="2674"/>
      <c r="AW5" s="2674"/>
      <c r="AX5" s="2674"/>
      <c r="AY5" s="2674"/>
      <c r="AZ5" s="2674"/>
      <c r="BA5" s="2674"/>
      <c r="BB5" s="2675"/>
      <c r="BC5" s="1303" t="s">
        <v>393</v>
      </c>
      <c r="BE5" s="436"/>
      <c r="BF5" s="436" t="str">
        <f t="shared" si="0"/>
        <v/>
      </c>
      <c r="BG5" s="436"/>
      <c r="BH5" s="436"/>
      <c r="BI5" s="447">
        <v>0</v>
      </c>
    </row>
    <row r="6" spans="1:61" s="2407" customFormat="1" ht="14.25" hidden="1" customHeight="1">
      <c r="A6" s="1261"/>
      <c r="B6" s="1261"/>
      <c r="C6" s="1261"/>
      <c r="D6" s="1261"/>
      <c r="E6" s="2643"/>
      <c r="F6" s="2643"/>
      <c r="G6" s="2643"/>
      <c r="H6" s="2643"/>
      <c r="I6" s="2644" t="str">
        <f>S5&amp;".1"</f>
        <v>.1</v>
      </c>
      <c r="J6" s="1261"/>
      <c r="K6" s="1261"/>
      <c r="L6" s="1264" t="s">
        <v>394</v>
      </c>
      <c r="M6" s="446"/>
      <c r="N6" s="446"/>
      <c r="O6" s="446"/>
      <c r="P6" s="2646">
        <v>1</v>
      </c>
      <c r="Q6" s="1399"/>
      <c r="R6" s="292"/>
      <c r="S6" s="965"/>
      <c r="T6" s="1301"/>
      <c r="U6" s="1302"/>
      <c r="V6" s="2674"/>
      <c r="W6" s="2674"/>
      <c r="X6" s="2674"/>
      <c r="Y6" s="2674"/>
      <c r="Z6" s="2674"/>
      <c r="AA6" s="2674"/>
      <c r="AB6" s="2674"/>
      <c r="AC6" s="2675"/>
      <c r="AD6" s="2673"/>
      <c r="AE6" s="2674"/>
      <c r="AF6" s="2674"/>
      <c r="AG6" s="2674"/>
      <c r="AH6" s="2674"/>
      <c r="AI6" s="2674"/>
      <c r="AJ6" s="2674"/>
      <c r="AK6" s="2674"/>
      <c r="AL6" s="2674"/>
      <c r="AM6" s="2674"/>
      <c r="AN6" s="2674"/>
      <c r="AO6" s="2674"/>
      <c r="AP6" s="2674"/>
      <c r="AQ6" s="2674"/>
      <c r="AR6" s="2674"/>
      <c r="AS6" s="2674"/>
      <c r="AT6" s="2674"/>
      <c r="AU6" s="2674"/>
      <c r="AV6" s="2674"/>
      <c r="AW6" s="2674"/>
      <c r="AX6" s="2674"/>
      <c r="AY6" s="2674"/>
      <c r="AZ6" s="2674"/>
      <c r="BA6" s="2674"/>
      <c r="BB6" s="2675"/>
      <c r="BC6" s="1303"/>
      <c r="BE6" s="436"/>
      <c r="BF6" s="436" t="str">
        <f t="shared" si="0"/>
        <v/>
      </c>
      <c r="BG6" s="436"/>
      <c r="BH6" s="436"/>
      <c r="BI6" s="447">
        <v>0</v>
      </c>
    </row>
    <row r="7" spans="1:61" s="2407" customFormat="1" ht="14.25" hidden="1" customHeight="1">
      <c r="A7" s="1261"/>
      <c r="B7" s="1261"/>
      <c r="C7" s="1261"/>
      <c r="D7" s="1261"/>
      <c r="E7" s="2643"/>
      <c r="F7" s="2643"/>
      <c r="G7" s="2643"/>
      <c r="H7" s="2643"/>
      <c r="I7" s="2645"/>
      <c r="J7" s="2644" t="str">
        <f>S5&amp;".1"</f>
        <v>.1</v>
      </c>
      <c r="K7" s="1261"/>
      <c r="L7" s="1264"/>
      <c r="M7" s="446"/>
      <c r="N7" s="446"/>
      <c r="O7" s="446"/>
      <c r="P7" s="2646"/>
      <c r="Q7" s="2646">
        <v>1</v>
      </c>
      <c r="R7" s="293"/>
      <c r="S7" s="965"/>
      <c r="T7" s="1317"/>
      <c r="U7" s="1302"/>
      <c r="V7" s="2674"/>
      <c r="W7" s="2674"/>
      <c r="X7" s="2674"/>
      <c r="Y7" s="2674"/>
      <c r="Z7" s="2674"/>
      <c r="AA7" s="2674"/>
      <c r="AB7" s="2674"/>
      <c r="AC7" s="2675"/>
      <c r="AD7" s="2673"/>
      <c r="AE7" s="2674"/>
      <c r="AF7" s="2674"/>
      <c r="AG7" s="2674"/>
      <c r="AH7" s="2674"/>
      <c r="AI7" s="2674"/>
      <c r="AJ7" s="2674"/>
      <c r="AK7" s="2674"/>
      <c r="AL7" s="2674"/>
      <c r="AM7" s="2674"/>
      <c r="AN7" s="2674"/>
      <c r="AO7" s="2674"/>
      <c r="AP7" s="2674"/>
      <c r="AQ7" s="2674"/>
      <c r="AR7" s="2674"/>
      <c r="AS7" s="2674"/>
      <c r="AT7" s="2674"/>
      <c r="AU7" s="2674"/>
      <c r="AV7" s="2674"/>
      <c r="AW7" s="2674"/>
      <c r="AX7" s="2674"/>
      <c r="AY7" s="2674"/>
      <c r="AZ7" s="2674"/>
      <c r="BA7" s="2674"/>
      <c r="BB7" s="2675"/>
      <c r="BC7" s="1303"/>
      <c r="BE7" s="436"/>
      <c r="BF7" s="436" t="str">
        <f t="shared" si="0"/>
        <v/>
      </c>
      <c r="BG7" s="436"/>
      <c r="BH7" s="436"/>
      <c r="BI7" s="447">
        <v>0</v>
      </c>
    </row>
    <row r="8" spans="1:61" ht="11.25" hidden="1" customHeight="1">
      <c r="A8" s="1281"/>
      <c r="B8" s="1281"/>
      <c r="C8" s="1281"/>
      <c r="D8" s="1281"/>
      <c r="E8" s="2643"/>
      <c r="F8" s="2643"/>
      <c r="G8" s="2643"/>
      <c r="H8" s="2643"/>
      <c r="I8" s="2645"/>
      <c r="J8" s="2645"/>
      <c r="K8" s="2644" t="e">
        <f>S4&amp;".1"</f>
        <v>#N/A</v>
      </c>
      <c r="L8" s="1282"/>
      <c r="P8" s="2646"/>
      <c r="Q8" s="2646"/>
      <c r="R8" s="2702">
        <v>1</v>
      </c>
      <c r="S8" s="2699" t="e">
        <f>$K8</f>
        <v>#N/A</v>
      </c>
      <c r="T8" s="2719"/>
      <c r="U8" s="237"/>
      <c r="V8" s="687"/>
      <c r="W8" s="1175"/>
      <c r="X8" s="687"/>
      <c r="Y8" s="1175"/>
      <c r="Z8" s="1651"/>
      <c r="AA8" s="1387" t="s">
        <v>65</v>
      </c>
      <c r="AB8" s="1651"/>
      <c r="AC8" s="1387" t="s">
        <v>65</v>
      </c>
      <c r="AD8" s="2586" t="s">
        <v>65</v>
      </c>
      <c r="AE8" s="2695"/>
      <c r="AF8" s="2599">
        <v>1</v>
      </c>
      <c r="AG8" s="2718"/>
      <c r="AH8" s="2524" t="s">
        <v>65</v>
      </c>
      <c r="AI8" s="2695"/>
      <c r="AJ8" s="2599">
        <v>1</v>
      </c>
      <c r="AK8" s="2709" t="s">
        <v>22</v>
      </c>
      <c r="AL8" s="2524" t="s">
        <v>65</v>
      </c>
      <c r="AM8" s="2574"/>
      <c r="AN8" s="2599">
        <v>1</v>
      </c>
      <c r="AO8" s="2722"/>
      <c r="AP8" s="2723" t="s">
        <v>65</v>
      </c>
      <c r="AQ8" s="248"/>
      <c r="AR8" s="1404">
        <v>1</v>
      </c>
      <c r="AS8" s="1410" t="s">
        <v>22</v>
      </c>
      <c r="AT8" s="687"/>
      <c r="AU8" s="1175"/>
      <c r="AV8" s="687"/>
      <c r="AW8" s="1175"/>
      <c r="AX8" s="1651"/>
      <c r="AY8" s="1387" t="s">
        <v>65</v>
      </c>
      <c r="AZ8" s="1651"/>
      <c r="BA8" s="1387" t="s">
        <v>65</v>
      </c>
      <c r="BB8" s="1266"/>
      <c r="BC8" s="2665" t="s">
        <v>492</v>
      </c>
      <c r="BE8" s="436"/>
      <c r="BF8" s="436" t="str">
        <f t="shared" si="0"/>
        <v/>
      </c>
      <c r="BG8" s="436"/>
      <c r="BH8" s="436"/>
      <c r="BI8" s="1073">
        <v>0</v>
      </c>
    </row>
    <row r="9" spans="1:61" ht="11.25" hidden="1" customHeight="1">
      <c r="A9" s="1281"/>
      <c r="B9" s="1281"/>
      <c r="C9" s="1281"/>
      <c r="D9" s="1281"/>
      <c r="E9" s="2643"/>
      <c r="F9" s="2643"/>
      <c r="G9" s="2643"/>
      <c r="H9" s="2643"/>
      <c r="I9" s="2645"/>
      <c r="J9" s="2645"/>
      <c r="K9" s="2644"/>
      <c r="L9" s="1282"/>
      <c r="P9" s="2646"/>
      <c r="Q9" s="2646"/>
      <c r="R9" s="2702"/>
      <c r="S9" s="2700"/>
      <c r="T9" s="2720"/>
      <c r="U9" s="237"/>
      <c r="V9" s="1311"/>
      <c r="W9" s="1414"/>
      <c r="X9" s="1311"/>
      <c r="Y9" s="1414"/>
      <c r="Z9" s="1311"/>
      <c r="AA9" s="1311"/>
      <c r="AB9" s="1311"/>
      <c r="AC9" s="1311"/>
      <c r="AD9" s="2587"/>
      <c r="AE9" s="2695"/>
      <c r="AF9" s="2599"/>
      <c r="AG9" s="2718"/>
      <c r="AH9" s="2524"/>
      <c r="AI9" s="2695"/>
      <c r="AJ9" s="2599"/>
      <c r="AK9" s="2709"/>
      <c r="AL9" s="2524"/>
      <c r="AM9" s="2579"/>
      <c r="AN9" s="2599"/>
      <c r="AO9" s="2722"/>
      <c r="AP9" s="2724"/>
      <c r="AQ9" s="253"/>
      <c r="AR9" s="352"/>
      <c r="AS9" s="352" t="s">
        <v>493</v>
      </c>
      <c r="AT9" s="1311"/>
      <c r="AU9" s="1414"/>
      <c r="AV9" s="1311"/>
      <c r="AW9" s="1414"/>
      <c r="AX9" s="1311"/>
      <c r="AY9" s="1311"/>
      <c r="AZ9" s="1311"/>
      <c r="BA9" s="1311"/>
      <c r="BB9" s="1315"/>
      <c r="BC9" s="2666"/>
      <c r="BE9" s="436"/>
      <c r="BF9" s="436"/>
      <c r="BG9" s="436"/>
      <c r="BH9" s="436"/>
      <c r="BI9" s="1073">
        <v>0</v>
      </c>
    </row>
    <row r="10" spans="1:61" ht="11.25" hidden="1" customHeight="1">
      <c r="A10" s="1281"/>
      <c r="B10" s="1281"/>
      <c r="C10" s="1281"/>
      <c r="D10" s="1281"/>
      <c r="E10" s="2643"/>
      <c r="F10" s="2643"/>
      <c r="G10" s="2643"/>
      <c r="H10" s="2643"/>
      <c r="I10" s="2645"/>
      <c r="J10" s="2645"/>
      <c r="K10" s="2644"/>
      <c r="L10" s="1282"/>
      <c r="P10" s="2646"/>
      <c r="Q10" s="2646"/>
      <c r="R10" s="2702"/>
      <c r="S10" s="2700"/>
      <c r="T10" s="2720"/>
      <c r="U10" s="237"/>
      <c r="V10" s="1311"/>
      <c r="W10" s="1414"/>
      <c r="X10" s="1311"/>
      <c r="Y10" s="1414"/>
      <c r="Z10" s="1311"/>
      <c r="AA10" s="1311"/>
      <c r="AB10" s="1311"/>
      <c r="AC10" s="1311"/>
      <c r="AD10" s="2587"/>
      <c r="AE10" s="2695"/>
      <c r="AF10" s="2599"/>
      <c r="AG10" s="2718"/>
      <c r="AH10" s="2524"/>
      <c r="AI10" s="2695"/>
      <c r="AJ10" s="2599"/>
      <c r="AK10" s="2709"/>
      <c r="AL10" s="2524"/>
      <c r="AM10" s="253"/>
      <c r="AN10" s="1418"/>
      <c r="AO10" s="1418" t="s">
        <v>513</v>
      </c>
      <c r="AP10" s="352"/>
      <c r="AQ10" s="352"/>
      <c r="AR10" s="352"/>
      <c r="AS10" s="1311"/>
      <c r="AT10" s="1311"/>
      <c r="AU10" s="1414"/>
      <c r="AV10" s="1311"/>
      <c r="AW10" s="1414"/>
      <c r="AX10" s="1311"/>
      <c r="AY10" s="1311"/>
      <c r="AZ10" s="1311"/>
      <c r="BA10" s="1311"/>
      <c r="BB10" s="1315"/>
      <c r="BC10" s="2666"/>
      <c r="BE10" s="436"/>
      <c r="BF10" s="436"/>
      <c r="BG10" s="436"/>
      <c r="BH10" s="436"/>
      <c r="BI10" s="1073">
        <v>0</v>
      </c>
    </row>
    <row r="11" spans="1:61" ht="11.25" hidden="1" customHeight="1">
      <c r="A11" s="1281"/>
      <c r="B11" s="1281"/>
      <c r="C11" s="1281"/>
      <c r="D11" s="1281"/>
      <c r="E11" s="2643"/>
      <c r="F11" s="2643"/>
      <c r="G11" s="2643"/>
      <c r="H11" s="2643"/>
      <c r="I11" s="2645"/>
      <c r="J11" s="2645"/>
      <c r="K11" s="2644"/>
      <c r="L11" s="1282"/>
      <c r="P11" s="2646"/>
      <c r="Q11" s="2646"/>
      <c r="R11" s="2702"/>
      <c r="S11" s="2700"/>
      <c r="T11" s="2720"/>
      <c r="U11" s="237"/>
      <c r="V11" s="1311"/>
      <c r="W11" s="1414"/>
      <c r="X11" s="1311"/>
      <c r="Y11" s="1414"/>
      <c r="Z11" s="1311"/>
      <c r="AA11" s="1311"/>
      <c r="AB11" s="1311"/>
      <c r="AC11" s="1311"/>
      <c r="AD11" s="2587"/>
      <c r="AE11" s="2695"/>
      <c r="AF11" s="2599"/>
      <c r="AG11" s="2718"/>
      <c r="AH11" s="2524"/>
      <c r="AI11" s="231"/>
      <c r="AJ11" s="351"/>
      <c r="AK11" s="250" t="s">
        <v>514</v>
      </c>
      <c r="AL11" s="1311"/>
      <c r="AM11" s="1311"/>
      <c r="AN11" s="1311"/>
      <c r="AO11" s="1311"/>
      <c r="AP11" s="1311"/>
      <c r="AQ11" s="1311"/>
      <c r="AR11" s="1311"/>
      <c r="AS11" s="1311"/>
      <c r="AT11" s="1311"/>
      <c r="AU11" s="1414"/>
      <c r="AV11" s="1311"/>
      <c r="AW11" s="1414"/>
      <c r="AX11" s="1311"/>
      <c r="AY11" s="1311"/>
      <c r="AZ11" s="1311"/>
      <c r="BA11" s="1311"/>
      <c r="BB11" s="1315"/>
      <c r="BC11" s="2666"/>
      <c r="BE11" s="436"/>
      <c r="BF11" s="436"/>
      <c r="BG11" s="436"/>
      <c r="BH11" s="436"/>
      <c r="BI11" s="1073">
        <v>0</v>
      </c>
    </row>
    <row r="12" spans="1:61" ht="11.25" hidden="1" customHeight="1">
      <c r="A12" s="1281"/>
      <c r="B12" s="1281"/>
      <c r="C12" s="1281"/>
      <c r="D12" s="1281"/>
      <c r="E12" s="2643"/>
      <c r="F12" s="2643"/>
      <c r="G12" s="2643"/>
      <c r="H12" s="2643"/>
      <c r="I12" s="2645"/>
      <c r="J12" s="2645"/>
      <c r="K12" s="2644"/>
      <c r="L12" s="1282"/>
      <c r="P12" s="2646"/>
      <c r="Q12" s="2646"/>
      <c r="R12" s="2702"/>
      <c r="S12" s="2701"/>
      <c r="T12" s="2721"/>
      <c r="U12" s="237"/>
      <c r="V12" s="1311"/>
      <c r="W12" s="1312" t="str">
        <f>Z8&amp;"-"&amp;AB8</f>
        <v>-</v>
      </c>
      <c r="X12" s="1311"/>
      <c r="Y12" s="1312" t="str">
        <f>AB8&amp;"-"&amp;AD8</f>
        <v>-да</v>
      </c>
      <c r="Z12" s="1311"/>
      <c r="AA12" s="1311"/>
      <c r="AB12" s="1311"/>
      <c r="AC12" s="1311"/>
      <c r="AD12" s="2529"/>
      <c r="AE12" s="249"/>
      <c r="AF12" s="251"/>
      <c r="AG12" s="352" t="s">
        <v>496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66"/>
      <c r="BE12" s="436"/>
      <c r="BF12" s="436" t="str">
        <f t="shared" ref="BF12:BF18" si="1">IF(T12="","",T12)</f>
        <v/>
      </c>
      <c r="BG12" s="436"/>
      <c r="BH12" s="436"/>
      <c r="BI12" s="1073">
        <v>0</v>
      </c>
    </row>
    <row r="13" spans="1:61" ht="11.25" hidden="1" customHeight="1">
      <c r="A13" s="1281"/>
      <c r="B13" s="1281"/>
      <c r="C13" s="1281"/>
      <c r="D13" s="1281"/>
      <c r="E13" s="2643"/>
      <c r="F13" s="2643"/>
      <c r="G13" s="2643"/>
      <c r="H13" s="2643"/>
      <c r="I13" s="2645"/>
      <c r="J13" s="2644"/>
      <c r="K13" s="1281"/>
      <c r="L13" s="1282"/>
      <c r="P13" s="2646"/>
      <c r="Q13" s="2646"/>
      <c r="R13" s="292"/>
      <c r="S13" s="1196"/>
      <c r="T13" s="224" t="s">
        <v>459</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7"/>
      <c r="BE13" s="436"/>
      <c r="BF13" s="436" t="str">
        <f t="shared" si="1"/>
        <v>Добавить строку</v>
      </c>
      <c r="BG13" s="436"/>
      <c r="BH13" s="436"/>
      <c r="BI13" s="1073">
        <v>0</v>
      </c>
    </row>
    <row r="14" spans="1:61" s="2407" customFormat="1" ht="14.25" hidden="1" customHeight="1">
      <c r="A14" s="1261"/>
      <c r="B14" s="1261"/>
      <c r="C14" s="1261"/>
      <c r="D14" s="1261"/>
      <c r="E14" s="2643"/>
      <c r="F14" s="2643"/>
      <c r="G14" s="2643"/>
      <c r="H14" s="2643"/>
      <c r="I14" s="2644"/>
      <c r="J14" s="1261"/>
      <c r="K14" s="1261"/>
      <c r="L14" s="1264"/>
      <c r="M14" s="446"/>
      <c r="N14" s="446"/>
      <c r="O14" s="446"/>
      <c r="P14" s="2646"/>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407" customFormat="1" ht="14.25" hidden="1" customHeight="1">
      <c r="A15" s="1261"/>
      <c r="B15" s="1261"/>
      <c r="C15" s="1261"/>
      <c r="D15" s="1261"/>
      <c r="E15" s="2643"/>
      <c r="F15" s="2643"/>
      <c r="G15" s="2643"/>
      <c r="H15" s="2642"/>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407" customFormat="1" ht="14.25" hidden="1" customHeight="1">
      <c r="A16" s="1261"/>
      <c r="B16" s="1261"/>
      <c r="C16" s="1261"/>
      <c r="D16" s="1232"/>
      <c r="E16" s="2643"/>
      <c r="F16" s="2643"/>
      <c r="G16" s="264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407" customFormat="1" ht="14.25" hidden="1" customHeight="1">
      <c r="A17" s="1261"/>
      <c r="B17" s="1261"/>
      <c r="C17" s="1232"/>
      <c r="D17" s="1232"/>
      <c r="E17" s="2643"/>
      <c r="F17" s="2642"/>
      <c r="G17" s="1232"/>
      <c r="H17" s="1232"/>
      <c r="I17" s="1232"/>
      <c r="J17" s="1232"/>
      <c r="K17" s="1232"/>
      <c r="L17" s="1412"/>
      <c r="M17" s="1239"/>
      <c r="N17" s="1239"/>
      <c r="P17" s="1234"/>
      <c r="Q17" s="1235"/>
      <c r="R17" s="1234"/>
      <c r="S17" s="1240"/>
      <c r="T17" s="1243" t="s">
        <v>406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407" customFormat="1" ht="14.25" hidden="1" customHeight="1">
      <c r="A18" s="1261"/>
      <c r="B18" s="1261"/>
      <c r="C18" s="1261"/>
      <c r="D18" s="1261"/>
      <c r="E18" s="2642"/>
      <c r="F18" s="1261"/>
      <c r="G18" s="1261"/>
      <c r="H18" s="1261"/>
      <c r="I18" s="1261"/>
      <c r="J18" s="1261"/>
      <c r="K18" s="1261"/>
      <c r="L18" s="1264"/>
      <c r="M18" s="1239"/>
      <c r="N18" s="1239"/>
      <c r="O18" s="454"/>
      <c r="P18" s="316"/>
      <c r="Q18" s="1262"/>
      <c r="R18" s="316"/>
      <c r="S18" s="1240"/>
      <c r="T18" s="1243" t="s">
        <v>407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65</v>
      </c>
      <c r="AZ20" s="1653"/>
      <c r="BA20" s="1403" t="s">
        <v>65</v>
      </c>
      <c r="BI20" s="1073">
        <v>0</v>
      </c>
    </row>
    <row r="21" spans="1:61" ht="14.25" hidden="1" customHeight="1">
      <c r="BD21" s="432"/>
      <c r="BE21" s="432"/>
      <c r="BF21" s="432"/>
      <c r="BG21" s="432"/>
      <c r="BH21" s="432"/>
      <c r="BI21" s="1073">
        <v>0</v>
      </c>
    </row>
    <row r="22" spans="1:61" ht="14.25" hidden="1" customHeight="1">
      <c r="O22" s="1285" t="s">
        <v>408</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437" customFormat="1" ht="14.25" hidden="1" customHeight="1">
      <c r="M24" s="1426"/>
      <c r="N24" s="1426"/>
      <c r="O24" s="1427" t="s">
        <v>409</v>
      </c>
      <c r="P24" s="1426"/>
      <c r="Q24" s="1428"/>
      <c r="R24" s="1428"/>
      <c r="AA24" s="1425" t="s">
        <v>411</v>
      </c>
      <c r="AC24" s="1425" t="s">
        <v>412</v>
      </c>
      <c r="AD24" s="1425" t="s">
        <v>460</v>
      </c>
      <c r="AH24" s="1425" t="s">
        <v>460</v>
      </c>
      <c r="AK24" s="1425" t="s">
        <v>497</v>
      </c>
      <c r="AL24" s="1425" t="s">
        <v>460</v>
      </c>
      <c r="AP24" s="1425" t="s">
        <v>460</v>
      </c>
      <c r="AY24" s="1425" t="s">
        <v>411</v>
      </c>
      <c r="BA24" s="1425" t="s">
        <v>412</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62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23"/>
      <c r="U28" s="2623"/>
      <c r="V28" s="2623"/>
      <c r="W28" s="2623"/>
      <c r="X28" s="2623"/>
      <c r="Y28" s="2623"/>
      <c r="Z28" s="2623"/>
      <c r="AA28" s="2623"/>
      <c r="AB28" s="2623"/>
      <c r="AC28" s="2623"/>
      <c r="AD28" s="2623"/>
      <c r="AE28" s="2623"/>
      <c r="AF28" s="2623"/>
      <c r="AG28" s="2623"/>
      <c r="AH28" s="2623"/>
      <c r="AI28" s="2623"/>
      <c r="AJ28" s="2623"/>
      <c r="AK28" s="2623"/>
      <c r="AL28" s="2623"/>
      <c r="AM28" s="2623"/>
      <c r="AN28" s="2623"/>
      <c r="AO28" s="2623"/>
      <c r="AP28" s="2623"/>
      <c r="AQ28" s="2623"/>
      <c r="AR28" s="2623"/>
      <c r="AS28" s="2623"/>
      <c r="AT28" s="2623"/>
      <c r="AU28" s="2623"/>
      <c r="AV28" s="2623"/>
      <c r="AW28" s="2623"/>
      <c r="AX28" s="2623"/>
      <c r="AY28" s="2623"/>
      <c r="AZ28" s="2623"/>
      <c r="BA28" s="1161"/>
      <c r="BI28" s="1073">
        <v>14</v>
      </c>
    </row>
    <row r="29" spans="1:61" ht="14.65" customHeight="1">
      <c r="Q29" s="228"/>
      <c r="R29" s="312"/>
      <c r="S29" s="2595" t="str">
        <f>IF(org=0,"Не определено",org)</f>
        <v>ПАО "ТГК-1" (филиал "Кольский")</v>
      </c>
      <c r="T29" s="2595"/>
      <c r="U29" s="2595"/>
      <c r="V29" s="2595"/>
      <c r="W29" s="2595"/>
      <c r="X29" s="2595"/>
      <c r="Y29" s="2595"/>
      <c r="Z29" s="2595"/>
      <c r="AA29" s="2595"/>
      <c r="AB29" s="2595"/>
      <c r="AC29" s="2595"/>
      <c r="AD29" s="2595"/>
      <c r="AE29" s="2595"/>
      <c r="AF29" s="2595"/>
      <c r="AG29" s="2595"/>
      <c r="AH29" s="2595"/>
      <c r="AI29" s="2595"/>
      <c r="AJ29" s="2595"/>
      <c r="AK29" s="2595"/>
      <c r="AL29" s="2595"/>
      <c r="AM29" s="2595"/>
      <c r="AN29" s="2595"/>
      <c r="AO29" s="2595"/>
      <c r="AP29" s="2595"/>
      <c r="AQ29" s="2595"/>
      <c r="AR29" s="2595"/>
      <c r="AS29" s="2595"/>
      <c r="AT29" s="2595"/>
      <c r="AU29" s="2595"/>
      <c r="AV29" s="2595"/>
      <c r="AW29" s="2595"/>
      <c r="AX29" s="2595"/>
      <c r="AY29" s="2595"/>
      <c r="AZ29" s="2595"/>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416" customFormat="1" ht="25.5" hidden="1" customHeight="1">
      <c r="A31" s="1286"/>
      <c r="B31" s="1286"/>
      <c r="C31" s="1286"/>
      <c r="D31" s="1286"/>
      <c r="E31" s="1286"/>
      <c r="F31" s="1286"/>
      <c r="G31" s="1286"/>
      <c r="H31" s="1286"/>
      <c r="I31" s="1286"/>
      <c r="J31" s="1286"/>
      <c r="K31" s="1286"/>
      <c r="L31" s="1287"/>
      <c r="M31" s="1286"/>
      <c r="N31" s="1286"/>
      <c r="O31" s="1286"/>
      <c r="P31" s="1286"/>
      <c r="Q31" s="1286"/>
      <c r="S31" s="2633" t="s">
        <v>41</v>
      </c>
      <c r="T31" s="2633"/>
      <c r="U31" s="1290"/>
      <c r="V31" s="2635" t="str">
        <f>IF(TITLE_NAME_OR_PR_CHANGE="",IF(TITLE_NAME_OR_PR="","",TITLE_NAME_OR_PR),TITLE_NAME_OR_PR_CHANGE)</f>
        <v/>
      </c>
      <c r="W31" s="2635"/>
      <c r="X31" s="2635"/>
      <c r="Y31" s="2635"/>
      <c r="Z31" s="2635"/>
      <c r="AA31" s="2635"/>
      <c r="AB31" s="2635"/>
      <c r="AC31" s="263"/>
      <c r="AD31" s="2635" t="str">
        <f>IF(TITLE_NAME_OR_PR_CHANGE="",IF(TITLE_NAME_OR_PR="","",TITLE_NAME_OR_PR),TITLE_NAME_OR_PR_CHANGE)</f>
        <v/>
      </c>
      <c r="AE31" s="2635"/>
      <c r="AF31" s="2635"/>
      <c r="AG31" s="2635"/>
      <c r="AH31" s="2635"/>
      <c r="AI31" s="2635"/>
      <c r="AJ31" s="2635"/>
      <c r="AK31" s="2635"/>
      <c r="AL31" s="2635"/>
      <c r="AM31" s="2635"/>
      <c r="AN31" s="2635"/>
      <c r="AO31" s="2635"/>
      <c r="AP31" s="2635"/>
      <c r="AQ31" s="2635"/>
      <c r="AR31" s="2635"/>
      <c r="AS31" s="2635"/>
      <c r="AT31" s="2635"/>
      <c r="AU31" s="2635"/>
      <c r="AV31" s="2635"/>
      <c r="AW31" s="2635"/>
      <c r="AX31" s="2635"/>
      <c r="AY31" s="2635"/>
      <c r="AZ31" s="2635"/>
      <c r="BA31" s="263"/>
      <c r="BB31" s="263"/>
      <c r="BC31" s="217"/>
      <c r="BD31" s="304"/>
      <c r="BE31" s="304"/>
      <c r="BF31" s="304"/>
      <c r="BG31" s="304"/>
      <c r="BH31" s="304"/>
      <c r="BI31" s="354">
        <v>0</v>
      </c>
    </row>
    <row r="32" spans="1:61" s="2416" customFormat="1" ht="18.75" hidden="1" customHeight="1">
      <c r="A32" s="1286"/>
      <c r="B32" s="1286"/>
      <c r="C32" s="1286"/>
      <c r="D32" s="1286"/>
      <c r="E32" s="1286"/>
      <c r="F32" s="1286"/>
      <c r="G32" s="1286"/>
      <c r="H32" s="1286"/>
      <c r="I32" s="1286"/>
      <c r="J32" s="1286"/>
      <c r="K32" s="1286"/>
      <c r="L32" s="1287"/>
      <c r="M32" s="1286"/>
      <c r="N32" s="1286"/>
      <c r="O32" s="1286"/>
      <c r="P32" s="1286"/>
      <c r="Q32" s="1286"/>
      <c r="S32" s="2633" t="s">
        <v>414</v>
      </c>
      <c r="T32" s="2633"/>
      <c r="U32" s="1290"/>
      <c r="V32" s="2634" t="str">
        <f>IF(TITLE_DATE_PR_CHANGE="",IF(TITLE_DATE_PR="","",TITLE_DATE_PR),TITLE_DATE_PR_CHANGE)</f>
        <v/>
      </c>
      <c r="W32" s="2634"/>
      <c r="X32" s="2634"/>
      <c r="Y32" s="2634"/>
      <c r="Z32" s="2634"/>
      <c r="AA32" s="2634"/>
      <c r="AB32" s="2634"/>
      <c r="AC32" s="263"/>
      <c r="AD32" s="2634" t="str">
        <f>IF(TITLE_DATE_PR_CHANGE="",IF(TITLE_DATE_PR="","",TITLE_DATE_PR),TITLE_DATE_PR_CHANGE)</f>
        <v/>
      </c>
      <c r="AE32" s="2634"/>
      <c r="AF32" s="2634"/>
      <c r="AG32" s="2634"/>
      <c r="AH32" s="2634"/>
      <c r="AI32" s="2634"/>
      <c r="AJ32" s="2634"/>
      <c r="AK32" s="2634"/>
      <c r="AL32" s="2634"/>
      <c r="AM32" s="2634"/>
      <c r="AN32" s="2634"/>
      <c r="AO32" s="2634"/>
      <c r="AP32" s="2634"/>
      <c r="AQ32" s="2634"/>
      <c r="AR32" s="2634"/>
      <c r="AS32" s="2634"/>
      <c r="AT32" s="2634"/>
      <c r="AU32" s="2634"/>
      <c r="AV32" s="2634"/>
      <c r="AW32" s="2634"/>
      <c r="AX32" s="2634"/>
      <c r="AY32" s="2634"/>
      <c r="AZ32" s="2634"/>
      <c r="BA32" s="263"/>
      <c r="BB32" s="263"/>
      <c r="BC32" s="217"/>
      <c r="BD32" s="304"/>
      <c r="BE32" s="304"/>
      <c r="BF32" s="304"/>
      <c r="BG32" s="304"/>
      <c r="BH32" s="304"/>
      <c r="BI32" s="354">
        <v>0</v>
      </c>
    </row>
    <row r="33" spans="1:61" s="2416" customFormat="1" ht="18.75" hidden="1" customHeight="1">
      <c r="A33" s="1286"/>
      <c r="B33" s="1286"/>
      <c r="C33" s="1286"/>
      <c r="D33" s="1286"/>
      <c r="E33" s="1286"/>
      <c r="F33" s="1286"/>
      <c r="G33" s="1286"/>
      <c r="H33" s="1286"/>
      <c r="I33" s="1286"/>
      <c r="J33" s="1286"/>
      <c r="K33" s="1286"/>
      <c r="L33" s="1287"/>
      <c r="M33" s="1286"/>
      <c r="N33" s="1286"/>
      <c r="O33" s="1286"/>
      <c r="P33" s="1286"/>
      <c r="Q33" s="1286"/>
      <c r="S33" s="2633" t="s">
        <v>415</v>
      </c>
      <c r="T33" s="2633"/>
      <c r="U33" s="1290"/>
      <c r="V33" s="2635" t="str">
        <f>IF(TITLE_NUMBER_PR_CHANGE="",IF(TITLE_NUMBER_PR="","",TITLE_NUMBER_PR),TITLE_NUMBER_PR_CHANGE)</f>
        <v/>
      </c>
      <c r="W33" s="2635"/>
      <c r="X33" s="2635"/>
      <c r="Y33" s="2635"/>
      <c r="Z33" s="2635"/>
      <c r="AA33" s="2635"/>
      <c r="AB33" s="2635"/>
      <c r="AC33" s="263"/>
      <c r="AD33" s="2635" t="str">
        <f>IF(TITLE_NUMBER_PR_CHANGE="",IF(TITLE_NUMBER_PR="","",TITLE_NUMBER_PR),TITLE_NUMBER_PR_CHANGE)</f>
        <v/>
      </c>
      <c r="AE33" s="2635"/>
      <c r="AF33" s="2635"/>
      <c r="AG33" s="2635"/>
      <c r="AH33" s="2635"/>
      <c r="AI33" s="2635"/>
      <c r="AJ33" s="2635"/>
      <c r="AK33" s="2635"/>
      <c r="AL33" s="2635"/>
      <c r="AM33" s="2635"/>
      <c r="AN33" s="2635"/>
      <c r="AO33" s="2635"/>
      <c r="AP33" s="2635"/>
      <c r="AQ33" s="2635"/>
      <c r="AR33" s="2635"/>
      <c r="AS33" s="2635"/>
      <c r="AT33" s="2635"/>
      <c r="AU33" s="2635"/>
      <c r="AV33" s="2635"/>
      <c r="AW33" s="2635"/>
      <c r="AX33" s="2635"/>
      <c r="AY33" s="2635"/>
      <c r="AZ33" s="2635"/>
      <c r="BA33" s="263"/>
      <c r="BB33" s="263"/>
      <c r="BC33" s="217"/>
      <c r="BD33" s="304"/>
      <c r="BE33" s="304"/>
      <c r="BF33" s="304"/>
      <c r="BG33" s="304"/>
      <c r="BH33" s="304"/>
      <c r="BI33" s="354">
        <v>0</v>
      </c>
    </row>
    <row r="34" spans="1:61" s="2416" customFormat="1" ht="18.75" hidden="1" customHeight="1">
      <c r="A34" s="1286"/>
      <c r="B34" s="1286"/>
      <c r="C34" s="1286"/>
      <c r="D34" s="1286"/>
      <c r="E34" s="1286"/>
      <c r="F34" s="1286"/>
      <c r="G34" s="1286"/>
      <c r="H34" s="1286"/>
      <c r="I34" s="1286"/>
      <c r="J34" s="1286"/>
      <c r="K34" s="1286"/>
      <c r="L34" s="1287"/>
      <c r="M34" s="1286"/>
      <c r="N34" s="1286"/>
      <c r="O34" s="1286"/>
      <c r="P34" s="1286"/>
      <c r="Q34" s="1286"/>
      <c r="S34" s="2633" t="s">
        <v>42</v>
      </c>
      <c r="T34" s="2633"/>
      <c r="U34" s="1290"/>
      <c r="V34" s="2635" t="str">
        <f>IF(TITLE_IST_PUB_CHANGE="",IF(TITLE_IST_PUB="","",TITLE_IST_PUB),TITLE_IST_PUB_CHANGE)</f>
        <v/>
      </c>
      <c r="W34" s="2635"/>
      <c r="X34" s="2635"/>
      <c r="Y34" s="2635"/>
      <c r="Z34" s="2635"/>
      <c r="AA34" s="2635"/>
      <c r="AB34" s="2635"/>
      <c r="AC34" s="263"/>
      <c r="AD34" s="2635" t="str">
        <f>IF(TITLE_IST_PUB_CHANGE="",IF(TITLE_IST_PUB="","",TITLE_IST_PUB),TITLE_IST_PUB_CHANGE)</f>
        <v/>
      </c>
      <c r="AE34" s="2635"/>
      <c r="AF34" s="2635"/>
      <c r="AG34" s="2635"/>
      <c r="AH34" s="2635"/>
      <c r="AI34" s="2635"/>
      <c r="AJ34" s="2635"/>
      <c r="AK34" s="2635"/>
      <c r="AL34" s="2635"/>
      <c r="AM34" s="2635"/>
      <c r="AN34" s="2635"/>
      <c r="AO34" s="2635"/>
      <c r="AP34" s="2635"/>
      <c r="AQ34" s="2635"/>
      <c r="AR34" s="2635"/>
      <c r="AS34" s="2635"/>
      <c r="AT34" s="2635"/>
      <c r="AU34" s="2635"/>
      <c r="AV34" s="2635"/>
      <c r="AW34" s="2635"/>
      <c r="AX34" s="2635"/>
      <c r="AY34" s="2635"/>
      <c r="AZ34" s="2635"/>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416" customFormat="1" ht="18.75" hidden="1" customHeight="1">
      <c r="A36" s="1286"/>
      <c r="B36" s="1286"/>
      <c r="C36" s="1286"/>
      <c r="D36" s="1286"/>
      <c r="E36" s="1286"/>
      <c r="F36" s="1286"/>
      <c r="G36" s="1286"/>
      <c r="H36" s="1286"/>
      <c r="I36" s="1286"/>
      <c r="J36" s="1286"/>
      <c r="K36" s="1286"/>
      <c r="L36" s="1287"/>
      <c r="M36" s="1286"/>
      <c r="N36" s="1286"/>
      <c r="O36" s="1286"/>
      <c r="P36" s="1286"/>
      <c r="Q36" s="1286"/>
      <c r="S36" s="2633" t="s">
        <v>414</v>
      </c>
      <c r="T36" s="2633"/>
      <c r="U36" s="1290"/>
      <c r="V36" s="2634" t="str">
        <f>IF(TITLE_DATE_PR_CHANGE="",IF(TITLE_DATE_PR="","",TITLE_DATE_PR),TITLE_DATE_PR_CHANGE)</f>
        <v/>
      </c>
      <c r="W36" s="2634"/>
      <c r="X36" s="2634"/>
      <c r="Y36" s="2634"/>
      <c r="Z36" s="2634"/>
      <c r="AA36" s="2634"/>
      <c r="AB36" s="2634"/>
      <c r="AC36" s="263"/>
      <c r="AD36" s="2634" t="str">
        <f>IF(TITLE_DATE_PR_CHANGE="",IF(TITLE_DATE_PR="","",TITLE_DATE_PR),TITLE_DATE_PR_CHANGE)</f>
        <v/>
      </c>
      <c r="AE36" s="2634"/>
      <c r="AF36" s="2634"/>
      <c r="AG36" s="2634"/>
      <c r="AH36" s="2634"/>
      <c r="AI36" s="2634"/>
      <c r="AJ36" s="2634"/>
      <c r="AK36" s="2634"/>
      <c r="AL36" s="2634"/>
      <c r="AM36" s="2634"/>
      <c r="AN36" s="2634"/>
      <c r="AO36" s="2634"/>
      <c r="AP36" s="2634"/>
      <c r="AQ36" s="2634"/>
      <c r="AR36" s="2634"/>
      <c r="AS36" s="2634"/>
      <c r="AT36" s="2634"/>
      <c r="AU36" s="2634"/>
      <c r="AV36" s="2634"/>
      <c r="AW36" s="2634"/>
      <c r="AX36" s="2634"/>
      <c r="AY36" s="2634"/>
      <c r="AZ36" s="2634"/>
      <c r="BA36" s="263"/>
      <c r="BB36" s="263"/>
      <c r="BC36" s="217"/>
      <c r="BD36" s="304"/>
      <c r="BE36" s="304"/>
      <c r="BF36" s="304"/>
      <c r="BG36" s="304"/>
      <c r="BH36" s="304"/>
      <c r="BI36" s="354">
        <v>0</v>
      </c>
    </row>
    <row r="37" spans="1:61" s="2416" customFormat="1" ht="18.75" hidden="1" customHeight="1">
      <c r="A37" s="1286"/>
      <c r="B37" s="1286"/>
      <c r="C37" s="1286"/>
      <c r="D37" s="1286"/>
      <c r="E37" s="1286"/>
      <c r="F37" s="1286"/>
      <c r="G37" s="1286"/>
      <c r="H37" s="1286"/>
      <c r="I37" s="1286"/>
      <c r="J37" s="1286"/>
      <c r="K37" s="1286"/>
      <c r="L37" s="1287"/>
      <c r="M37" s="1286"/>
      <c r="N37" s="1286"/>
      <c r="O37" s="1286"/>
      <c r="P37" s="1286"/>
      <c r="Q37" s="1286"/>
      <c r="S37" s="2633" t="s">
        <v>415</v>
      </c>
      <c r="T37" s="2633"/>
      <c r="U37" s="1290"/>
      <c r="V37" s="2635" t="str">
        <f>IF(TITLE_NUMBER_PR_CHANGE="",IF(TITLE_NUMBER_PR="","",TITLE_NUMBER_PR),TITLE_NUMBER_PR_CHANGE)</f>
        <v/>
      </c>
      <c r="W37" s="2635"/>
      <c r="X37" s="2635"/>
      <c r="Y37" s="2635"/>
      <c r="Z37" s="2635"/>
      <c r="AA37" s="2635"/>
      <c r="AB37" s="2635"/>
      <c r="AC37" s="263"/>
      <c r="AD37" s="2635" t="str">
        <f>IF(TITLE_NUMBER_PR_CHANGE="",IF(TITLE_NUMBER_PR="","",TITLE_NUMBER_PR),TITLE_NUMBER_PR_CHANGE)</f>
        <v/>
      </c>
      <c r="AE37" s="2635"/>
      <c r="AF37" s="2635"/>
      <c r="AG37" s="2635"/>
      <c r="AH37" s="2635"/>
      <c r="AI37" s="2635"/>
      <c r="AJ37" s="2635"/>
      <c r="AK37" s="2635"/>
      <c r="AL37" s="2635"/>
      <c r="AM37" s="2635"/>
      <c r="AN37" s="2635"/>
      <c r="AO37" s="2635"/>
      <c r="AP37" s="2635"/>
      <c r="AQ37" s="2635"/>
      <c r="AR37" s="2635"/>
      <c r="AS37" s="2635"/>
      <c r="AT37" s="2635"/>
      <c r="AU37" s="2635"/>
      <c r="AV37" s="2635"/>
      <c r="AW37" s="2635"/>
      <c r="AX37" s="2635"/>
      <c r="AY37" s="2635"/>
      <c r="AZ37" s="2635"/>
      <c r="BA37" s="263"/>
      <c r="BB37" s="263"/>
      <c r="BC37" s="217"/>
      <c r="BD37" s="304"/>
      <c r="BE37" s="304"/>
      <c r="BF37" s="304"/>
      <c r="BG37" s="304"/>
      <c r="BH37" s="304"/>
      <c r="BI37" s="354">
        <v>0</v>
      </c>
    </row>
    <row r="38" spans="1:61" s="2416"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418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418</v>
      </c>
      <c r="BD38" s="304"/>
      <c r="BE38" s="304"/>
      <c r="BF38" s="304"/>
      <c r="BG38" s="304"/>
      <c r="BH38" s="304"/>
      <c r="BI38" s="354">
        <v>0</v>
      </c>
    </row>
    <row r="39" spans="1:61" ht="14.65" customHeight="1">
      <c r="Q39" s="228"/>
      <c r="R39" s="312"/>
      <c r="S39" s="1193"/>
      <c r="T39" s="299"/>
      <c r="U39" s="1162"/>
      <c r="V39" s="2654"/>
      <c r="W39" s="2654"/>
      <c r="X39" s="2654"/>
      <c r="Y39" s="2654"/>
      <c r="Z39" s="2654"/>
      <c r="AA39" s="2654"/>
      <c r="AB39" s="2654"/>
      <c r="AC39" s="2654"/>
      <c r="AD39" s="2654"/>
      <c r="AE39" s="2654"/>
      <c r="AF39" s="2654"/>
      <c r="AG39" s="2654"/>
      <c r="AH39" s="2654"/>
      <c r="AI39" s="2654"/>
      <c r="AJ39" s="2654"/>
      <c r="AK39" s="2654"/>
      <c r="AL39" s="2654"/>
      <c r="AM39" s="2654"/>
      <c r="AN39" s="2654"/>
      <c r="AO39" s="2654"/>
      <c r="AP39" s="2654"/>
      <c r="AQ39" s="2654"/>
      <c r="AR39" s="2654"/>
      <c r="AS39" s="2654"/>
      <c r="AT39" s="2654"/>
      <c r="AU39" s="2654"/>
      <c r="AV39" s="2654"/>
      <c r="AW39" s="2654"/>
      <c r="AX39" s="2654"/>
      <c r="AY39" s="2654"/>
      <c r="AZ39" s="2654"/>
      <c r="BA39" s="2654"/>
      <c r="BI39" s="1073">
        <v>14</v>
      </c>
    </row>
    <row r="40" spans="1:61" ht="14.65" customHeight="1">
      <c r="Q40" s="228"/>
      <c r="R40" s="312"/>
      <c r="S40" s="2514" t="s">
        <v>291</v>
      </c>
      <c r="T40" s="2514"/>
      <c r="U40" s="2514"/>
      <c r="V40" s="2514"/>
      <c r="W40" s="2514"/>
      <c r="X40" s="2514"/>
      <c r="Y40" s="2514"/>
      <c r="Z40" s="2514"/>
      <c r="AA40" s="2514"/>
      <c r="AB40" s="2514"/>
      <c r="AC40" s="2514"/>
      <c r="AD40" s="2514"/>
      <c r="AE40" s="2514"/>
      <c r="AF40" s="2514"/>
      <c r="AG40" s="2514"/>
      <c r="AH40" s="2514"/>
      <c r="AI40" s="2514"/>
      <c r="AJ40" s="2514"/>
      <c r="AK40" s="2514"/>
      <c r="AL40" s="2514"/>
      <c r="AM40" s="2514"/>
      <c r="AN40" s="2514"/>
      <c r="AO40" s="2514"/>
      <c r="AP40" s="2514"/>
      <c r="AQ40" s="2514"/>
      <c r="AR40" s="2514"/>
      <c r="AS40" s="2514"/>
      <c r="AT40" s="2514"/>
      <c r="AU40" s="2514"/>
      <c r="AV40" s="2514"/>
      <c r="AW40" s="2514"/>
      <c r="AX40" s="2514"/>
      <c r="AY40" s="2514"/>
      <c r="AZ40" s="2514"/>
      <c r="BA40" s="2514"/>
      <c r="BB40" s="2514"/>
      <c r="BC40" s="2514" t="s">
        <v>292</v>
      </c>
      <c r="BI40" s="1073">
        <v>14</v>
      </c>
    </row>
    <row r="41" spans="1:61" ht="14.65" customHeight="1">
      <c r="Q41" s="228"/>
      <c r="R41" s="312"/>
      <c r="S41" s="2655" t="s">
        <v>84</v>
      </c>
      <c r="T41" s="2603" t="s">
        <v>498</v>
      </c>
      <c r="U41" s="238"/>
      <c r="V41" s="2656" t="s">
        <v>420</v>
      </c>
      <c r="W41" s="2657"/>
      <c r="X41" s="2657"/>
      <c r="Y41" s="2657"/>
      <c r="Z41" s="2657"/>
      <c r="AA41" s="2657"/>
      <c r="AB41" s="2658"/>
      <c r="AC41" s="2659" t="s">
        <v>421</v>
      </c>
      <c r="AD41" s="2688" t="s">
        <v>515</v>
      </c>
      <c r="AE41" s="2672"/>
      <c r="AF41" s="2672"/>
      <c r="AG41" s="2689"/>
      <c r="AH41" s="2688" t="s">
        <v>516</v>
      </c>
      <c r="AI41" s="2672"/>
      <c r="AJ41" s="2672"/>
      <c r="AK41" s="2689"/>
      <c r="AL41" s="2688" t="s">
        <v>517</v>
      </c>
      <c r="AM41" s="2672"/>
      <c r="AN41" s="2672"/>
      <c r="AO41" s="2689"/>
      <c r="AP41" s="2688" t="s">
        <v>502</v>
      </c>
      <c r="AQ41" s="2672"/>
      <c r="AR41" s="2672"/>
      <c r="AS41" s="2689"/>
      <c r="AT41" s="2656" t="s">
        <v>420</v>
      </c>
      <c r="AU41" s="2657"/>
      <c r="AV41" s="2657"/>
      <c r="AW41" s="2657"/>
      <c r="AX41" s="2657"/>
      <c r="AY41" s="2657"/>
      <c r="AZ41" s="2658"/>
      <c r="BA41" s="2659" t="s">
        <v>421</v>
      </c>
      <c r="BB41" s="2662" t="s">
        <v>423</v>
      </c>
      <c r="BC41" s="2514"/>
      <c r="BI41" s="1073">
        <v>14</v>
      </c>
    </row>
    <row r="42" spans="1:61" ht="35.65" customHeight="1">
      <c r="Q42" s="228"/>
      <c r="R42" s="312"/>
      <c r="S42" s="2655"/>
      <c r="T42" s="2603"/>
      <c r="U42" s="954"/>
      <c r="V42" s="2574" t="s">
        <v>503</v>
      </c>
      <c r="W42" s="2575"/>
      <c r="X42" s="2574" t="s">
        <v>504</v>
      </c>
      <c r="Y42" s="2575"/>
      <c r="Z42" s="2574" t="s">
        <v>505</v>
      </c>
      <c r="AA42" s="2684"/>
      <c r="AB42" s="2575"/>
      <c r="AC42" s="2660"/>
      <c r="AD42" s="2690"/>
      <c r="AE42" s="2691"/>
      <c r="AF42" s="2691"/>
      <c r="AG42" s="2703"/>
      <c r="AH42" s="2690"/>
      <c r="AI42" s="2691"/>
      <c r="AJ42" s="2691"/>
      <c r="AK42" s="2703"/>
      <c r="AL42" s="2690"/>
      <c r="AM42" s="2691"/>
      <c r="AN42" s="2691"/>
      <c r="AO42" s="2703"/>
      <c r="AP42" s="2690"/>
      <c r="AQ42" s="2691"/>
      <c r="AR42" s="2691"/>
      <c r="AS42" s="2703"/>
      <c r="AT42" s="2574" t="s">
        <v>518</v>
      </c>
      <c r="AU42" s="2575"/>
      <c r="AV42" s="2574" t="s">
        <v>519</v>
      </c>
      <c r="AW42" s="2575"/>
      <c r="AX42" s="2574" t="s">
        <v>505</v>
      </c>
      <c r="AY42" s="2684"/>
      <c r="AZ42" s="2575"/>
      <c r="BA42" s="2660"/>
      <c r="BB42" s="2663"/>
      <c r="BC42" s="2514"/>
      <c r="BI42" s="1073">
        <v>34</v>
      </c>
    </row>
    <row r="43" spans="1:61" ht="14.65" customHeight="1">
      <c r="Q43" s="228"/>
      <c r="R43" s="312"/>
      <c r="S43" s="2655"/>
      <c r="T43" s="2603"/>
      <c r="U43" s="954"/>
      <c r="V43" s="2579"/>
      <c r="W43" s="2580"/>
      <c r="X43" s="2579"/>
      <c r="Y43" s="2580"/>
      <c r="Z43" s="2579"/>
      <c r="AA43" s="2685"/>
      <c r="AB43" s="2580"/>
      <c r="AC43" s="2660"/>
      <c r="AD43" s="2690"/>
      <c r="AE43" s="2691"/>
      <c r="AF43" s="2691"/>
      <c r="AG43" s="2703"/>
      <c r="AH43" s="2690"/>
      <c r="AI43" s="2691"/>
      <c r="AJ43" s="2691"/>
      <c r="AK43" s="2703"/>
      <c r="AL43" s="2690"/>
      <c r="AM43" s="2691"/>
      <c r="AN43" s="2691"/>
      <c r="AO43" s="2703"/>
      <c r="AP43" s="2690"/>
      <c r="AQ43" s="2691"/>
      <c r="AR43" s="2691"/>
      <c r="AS43" s="2703"/>
      <c r="AT43" s="2579"/>
      <c r="AU43" s="2580"/>
      <c r="AV43" s="2579"/>
      <c r="AW43" s="2580"/>
      <c r="AX43" s="2579"/>
      <c r="AY43" s="2685"/>
      <c r="AZ43" s="2580"/>
      <c r="BA43" s="2660"/>
      <c r="BB43" s="2663"/>
      <c r="BC43" s="2514"/>
      <c r="BI43" s="1073">
        <v>14</v>
      </c>
    </row>
    <row r="44" spans="1:61" ht="14.65" customHeight="1">
      <c r="A44" s="1288"/>
      <c r="B44" s="1288" t="s">
        <v>128</v>
      </c>
      <c r="C44" s="1288" t="s">
        <v>129</v>
      </c>
      <c r="D44" s="1288" t="s">
        <v>130</v>
      </c>
      <c r="E44" s="1282" t="s">
        <v>428</v>
      </c>
      <c r="F44" s="1282" t="s">
        <v>429</v>
      </c>
      <c r="G44" s="1282" t="s">
        <v>430</v>
      </c>
      <c r="H44" s="1282" t="s">
        <v>431</v>
      </c>
      <c r="I44" s="1282" t="s">
        <v>432</v>
      </c>
      <c r="J44" s="1282" t="s">
        <v>433</v>
      </c>
      <c r="K44" s="1282" t="s">
        <v>434</v>
      </c>
      <c r="L44" s="1282" t="s">
        <v>409</v>
      </c>
      <c r="Q44" s="228"/>
      <c r="R44" s="312"/>
      <c r="S44" s="2655"/>
      <c r="T44" s="2603"/>
      <c r="U44" s="239"/>
      <c r="V44" s="1397" t="s">
        <v>469</v>
      </c>
      <c r="W44" s="1397" t="s">
        <v>470</v>
      </c>
      <c r="X44" s="1397" t="s">
        <v>469</v>
      </c>
      <c r="Y44" s="1397" t="s">
        <v>470</v>
      </c>
      <c r="Z44" s="1407" t="s">
        <v>437</v>
      </c>
      <c r="AA44" s="2608" t="s">
        <v>438</v>
      </c>
      <c r="AB44" s="2622"/>
      <c r="AC44" s="2661"/>
      <c r="AD44" s="2692"/>
      <c r="AE44" s="2693"/>
      <c r="AF44" s="2693"/>
      <c r="AG44" s="2694"/>
      <c r="AH44" s="2692"/>
      <c r="AI44" s="2693"/>
      <c r="AJ44" s="2693"/>
      <c r="AK44" s="2694"/>
      <c r="AL44" s="2692"/>
      <c r="AM44" s="2693"/>
      <c r="AN44" s="2693"/>
      <c r="AO44" s="2694"/>
      <c r="AP44" s="2692"/>
      <c r="AQ44" s="2693"/>
      <c r="AR44" s="2693"/>
      <c r="AS44" s="2694"/>
      <c r="AT44" s="1397" t="s">
        <v>469</v>
      </c>
      <c r="AU44" s="1397" t="s">
        <v>470</v>
      </c>
      <c r="AV44" s="1397" t="s">
        <v>469</v>
      </c>
      <c r="AW44" s="1397" t="s">
        <v>470</v>
      </c>
      <c r="AX44" s="1407" t="s">
        <v>437</v>
      </c>
      <c r="AY44" s="2608" t="s">
        <v>438</v>
      </c>
      <c r="AZ44" s="2622"/>
      <c r="BA44" s="2661"/>
      <c r="BB44" s="2664"/>
      <c r="BC44" s="2514"/>
      <c r="BI44" s="1073">
        <v>14</v>
      </c>
    </row>
    <row r="45" spans="1:61" s="2431" customFormat="1" ht="11.25"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102</v>
      </c>
      <c r="T45" s="1173" t="s">
        <v>103</v>
      </c>
      <c r="U45" s="1163" t="str">
        <f ca="1">OFFSET(U45,0,-1)</f>
        <v>2</v>
      </c>
      <c r="V45" s="1400">
        <f t="shared" ref="V45:AA45" ca="1" si="2">OFFSET(V45,0,-1)+1</f>
        <v>3</v>
      </c>
      <c r="W45" s="1400">
        <f t="shared" ca="1" si="2"/>
        <v>4</v>
      </c>
      <c r="X45" s="1400">
        <f t="shared" ca="1" si="2"/>
        <v>5</v>
      </c>
      <c r="Y45" s="1400">
        <f t="shared" ca="1" si="2"/>
        <v>6</v>
      </c>
      <c r="Z45" s="1400">
        <f t="shared" ca="1" si="2"/>
        <v>7</v>
      </c>
      <c r="AA45" s="2653">
        <f t="shared" ca="1" si="2"/>
        <v>8</v>
      </c>
      <c r="AB45" s="265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653">
        <f ca="1">OFFSET(AY45,0,-1)+1</f>
        <v>3</v>
      </c>
      <c r="AZ45" s="2653"/>
      <c r="BA45" s="1400">
        <f ca="1">OFFSET(BA45,0,-2)+1</f>
        <v>4</v>
      </c>
      <c r="BB45" s="1163">
        <f ca="1">OFFSET(BB45,0,-1)</f>
        <v>4</v>
      </c>
      <c r="BC45" s="1400">
        <f ca="1">OFFSET(BC45,0,-1)+1</f>
        <v>5</v>
      </c>
      <c r="BD45" s="447"/>
      <c r="BE45" s="447"/>
      <c r="BF45" s="447"/>
      <c r="BG45" s="447"/>
      <c r="BH45" s="447"/>
      <c r="BI45" s="432">
        <v>0</v>
      </c>
    </row>
    <row r="46" spans="1:61" ht="21.95" customHeight="1">
      <c r="A46" s="1281" t="s">
        <v>267</v>
      </c>
      <c r="B46" s="1281"/>
      <c r="C46" s="1281"/>
      <c r="D46" s="1281"/>
      <c r="E46" s="2642">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116</v>
      </c>
      <c r="U46" s="237"/>
      <c r="V46" s="2637"/>
      <c r="W46" s="2637"/>
      <c r="X46" s="2637"/>
      <c r="Y46" s="2637"/>
      <c r="Z46" s="2637"/>
      <c r="AA46" s="2637"/>
      <c r="AB46" s="2637"/>
      <c r="AC46" s="2638"/>
      <c r="AD46" s="2636" t="str">
        <f>INDEX(PT_DIFFERENTIATION_NTAR,MATCH(A46,PT_DIFFERENTIATION_NTAR_ID,0))</f>
        <v/>
      </c>
      <c r="AE46" s="2637"/>
      <c r="AF46" s="2637"/>
      <c r="AG46" s="2637"/>
      <c r="AH46" s="2637"/>
      <c r="AI46" s="2637"/>
      <c r="AJ46" s="2637"/>
      <c r="AK46" s="2637"/>
      <c r="AL46" s="2637"/>
      <c r="AM46" s="2637"/>
      <c r="AN46" s="2637"/>
      <c r="AO46" s="2637"/>
      <c r="AP46" s="2637"/>
      <c r="AQ46" s="2637"/>
      <c r="AR46" s="2637"/>
      <c r="AS46" s="2637"/>
      <c r="AT46" s="2637"/>
      <c r="AU46" s="2637"/>
      <c r="AV46" s="2637"/>
      <c r="AW46" s="2637"/>
      <c r="AX46" s="2637"/>
      <c r="AY46" s="2637"/>
      <c r="AZ46" s="2637"/>
      <c r="BA46" s="2637"/>
      <c r="BB46" s="263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267</v>
      </c>
      <c r="B47" s="1281" t="s">
        <v>268</v>
      </c>
      <c r="C47" s="1281"/>
      <c r="D47" s="1281"/>
      <c r="E47" s="2643"/>
      <c r="F47" s="2642">
        <v>1</v>
      </c>
      <c r="G47" s="1281"/>
      <c r="H47" s="1281"/>
      <c r="I47" s="1281"/>
      <c r="J47" s="1281"/>
      <c r="K47" s="1281"/>
      <c r="L47" s="1282"/>
      <c r="M47" s="1283"/>
      <c r="N47" s="1283"/>
      <c r="O47" s="1283"/>
      <c r="P47" s="1328"/>
      <c r="Q47" s="1329"/>
      <c r="R47" s="289"/>
      <c r="S47" s="1411" t="str">
        <f>INDEX(PT_DIFFERENTIATION_NUM_TER,MATCH(B47,PT_DIFFERENTIATION_TER_ID,0))</f>
        <v>.</v>
      </c>
      <c r="T47" s="245" t="s">
        <v>388</v>
      </c>
      <c r="U47" s="237"/>
      <c r="V47" s="2637"/>
      <c r="W47" s="2637"/>
      <c r="X47" s="2637"/>
      <c r="Y47" s="2637"/>
      <c r="Z47" s="2637"/>
      <c r="AA47" s="2637"/>
      <c r="AB47" s="2637"/>
      <c r="AC47" s="2638"/>
      <c r="AD47" s="2636" t="str">
        <f>INDEX(PT_DIFFERENTIATION_TER,MATCH(B47,PT_DIFFERENTIATION_TER_ID,0))</f>
        <v/>
      </c>
      <c r="AE47" s="2637"/>
      <c r="AF47" s="2637"/>
      <c r="AG47" s="2637"/>
      <c r="AH47" s="2637"/>
      <c r="AI47" s="2637"/>
      <c r="AJ47" s="2637"/>
      <c r="AK47" s="2637"/>
      <c r="AL47" s="2637"/>
      <c r="AM47" s="2637"/>
      <c r="AN47" s="2637"/>
      <c r="AO47" s="2637"/>
      <c r="AP47" s="2637"/>
      <c r="AQ47" s="2637"/>
      <c r="AR47" s="2637"/>
      <c r="AS47" s="2637"/>
      <c r="AT47" s="2637"/>
      <c r="AU47" s="2637"/>
      <c r="AV47" s="2637"/>
      <c r="AW47" s="2637"/>
      <c r="AX47" s="2637"/>
      <c r="AY47" s="2637"/>
      <c r="AZ47" s="2637"/>
      <c r="BA47" s="2637"/>
      <c r="BB47" s="2638"/>
      <c r="BC47" s="1176" t="s">
        <v>389</v>
      </c>
      <c r="BE47" s="436"/>
      <c r="BF47" s="436" t="str">
        <f t="shared" si="3"/>
        <v>Территория действия тарифа</v>
      </c>
      <c r="BG47" s="436"/>
      <c r="BH47" s="436"/>
      <c r="BI47" s="1073">
        <v>21</v>
      </c>
    </row>
    <row r="48" spans="1:61" ht="35.65" customHeight="1">
      <c r="A48" s="1281" t="s">
        <v>267</v>
      </c>
      <c r="B48" s="1281" t="s">
        <v>268</v>
      </c>
      <c r="C48" s="1281" t="s">
        <v>269</v>
      </c>
      <c r="D48" s="1281"/>
      <c r="E48" s="2643"/>
      <c r="F48" s="2643"/>
      <c r="G48" s="2642">
        <v>1</v>
      </c>
      <c r="H48" s="1281"/>
      <c r="I48" s="1281"/>
      <c r="J48" s="1281"/>
      <c r="K48" s="1281"/>
      <c r="L48" s="1282"/>
      <c r="M48" s="1283"/>
      <c r="N48" s="1283"/>
      <c r="O48" s="1283"/>
      <c r="P48" s="1330"/>
      <c r="Q48" s="1329"/>
      <c r="R48" s="289"/>
      <c r="S48" s="1411" t="str">
        <f>INDEX(PT_DIFFERENTIATION_NUM_CS,MATCH(C48,PT_DIFFERENTIATION_CS_ID,0))</f>
        <v>..</v>
      </c>
      <c r="T48" s="246" t="s">
        <v>507</v>
      </c>
      <c r="U48" s="237"/>
      <c r="V48" s="2637"/>
      <c r="W48" s="2637"/>
      <c r="X48" s="2637"/>
      <c r="Y48" s="2637"/>
      <c r="Z48" s="2637"/>
      <c r="AA48" s="2637"/>
      <c r="AB48" s="2637"/>
      <c r="AC48" s="2638"/>
      <c r="AD48" s="2636" t="str">
        <f>INDEX(PT_DIFFERENTIATION_CS,MATCH(C48,PT_DIFFERENTIATION_CS_ID,0))</f>
        <v/>
      </c>
      <c r="AE48" s="2637"/>
      <c r="AF48" s="2637"/>
      <c r="AG48" s="2637"/>
      <c r="AH48" s="2637"/>
      <c r="AI48" s="2637"/>
      <c r="AJ48" s="2637"/>
      <c r="AK48" s="2637"/>
      <c r="AL48" s="2637"/>
      <c r="AM48" s="2637"/>
      <c r="AN48" s="2637"/>
      <c r="AO48" s="2637"/>
      <c r="AP48" s="2637"/>
      <c r="AQ48" s="2637"/>
      <c r="AR48" s="2637"/>
      <c r="AS48" s="2637"/>
      <c r="AT48" s="2637"/>
      <c r="AU48" s="2637"/>
      <c r="AV48" s="2637"/>
      <c r="AW48" s="2637"/>
      <c r="AX48" s="2637"/>
      <c r="AY48" s="2637"/>
      <c r="AZ48" s="2637"/>
      <c r="BA48" s="2637"/>
      <c r="BB48" s="2638"/>
      <c r="BC48" s="1176" t="s">
        <v>508</v>
      </c>
      <c r="BE48" s="436"/>
      <c r="BF48" s="436" t="str">
        <f t="shared" si="3"/>
        <v>Наименование централизованной системы водоотведения</v>
      </c>
      <c r="BG48" s="436"/>
      <c r="BH48" s="436"/>
      <c r="BI48" s="1073">
        <v>34</v>
      </c>
    </row>
    <row r="49" spans="1:61" s="2407" customFormat="1" ht="0" hidden="1" customHeight="1">
      <c r="A49" s="1261" t="s">
        <v>267</v>
      </c>
      <c r="B49" s="1261" t="s">
        <v>268</v>
      </c>
      <c r="C49" s="1261" t="s">
        <v>269</v>
      </c>
      <c r="D49" s="1261" t="s">
        <v>520</v>
      </c>
      <c r="E49" s="2643"/>
      <c r="F49" s="2643"/>
      <c r="G49" s="2643"/>
      <c r="H49" s="2642">
        <v>1</v>
      </c>
      <c r="I49" s="1261"/>
      <c r="J49" s="1261"/>
      <c r="K49" s="1261"/>
      <c r="L49" s="1264"/>
      <c r="M49" s="1233"/>
      <c r="N49" s="1233"/>
      <c r="O49" s="1233"/>
      <c r="P49" s="1415"/>
      <c r="Q49" s="1416"/>
      <c r="R49" s="293"/>
      <c r="S49" s="965"/>
      <c r="T49" s="1417"/>
      <c r="U49" s="1302"/>
      <c r="V49" s="2674"/>
      <c r="W49" s="2674"/>
      <c r="X49" s="2674"/>
      <c r="Y49" s="2674"/>
      <c r="Z49" s="2674"/>
      <c r="AA49" s="2674"/>
      <c r="AB49" s="2674"/>
      <c r="AC49" s="2675"/>
      <c r="AD49" s="2673"/>
      <c r="AE49" s="2674"/>
      <c r="AF49" s="2674"/>
      <c r="AG49" s="2674"/>
      <c r="AH49" s="2674"/>
      <c r="AI49" s="2674"/>
      <c r="AJ49" s="2674"/>
      <c r="AK49" s="2674"/>
      <c r="AL49" s="2674"/>
      <c r="AM49" s="2674"/>
      <c r="AN49" s="2674"/>
      <c r="AO49" s="2674"/>
      <c r="AP49" s="2674"/>
      <c r="AQ49" s="2674"/>
      <c r="AR49" s="2674"/>
      <c r="AS49" s="2674"/>
      <c r="AT49" s="2674"/>
      <c r="AU49" s="2674"/>
      <c r="AV49" s="2674"/>
      <c r="AW49" s="2674"/>
      <c r="AX49" s="2674"/>
      <c r="AY49" s="2674"/>
      <c r="AZ49" s="2674"/>
      <c r="BA49" s="2674"/>
      <c r="BB49" s="2675"/>
      <c r="BC49" s="1303" t="s">
        <v>393</v>
      </c>
      <c r="BE49" s="436"/>
      <c r="BF49" s="436" t="str">
        <f t="shared" si="3"/>
        <v/>
      </c>
      <c r="BG49" s="436"/>
      <c r="BH49" s="436"/>
      <c r="BI49" s="447">
        <v>0</v>
      </c>
    </row>
    <row r="50" spans="1:61" s="2407" customFormat="1" ht="0" hidden="1" customHeight="1">
      <c r="A50" s="1261" t="s">
        <v>267</v>
      </c>
      <c r="B50" s="1261" t="s">
        <v>268</v>
      </c>
      <c r="C50" s="1261" t="s">
        <v>269</v>
      </c>
      <c r="D50" s="1261" t="s">
        <v>520</v>
      </c>
      <c r="E50" s="2643"/>
      <c r="F50" s="2643"/>
      <c r="G50" s="2643"/>
      <c r="H50" s="2643"/>
      <c r="I50" s="2644" t="str">
        <f>S49&amp;".1"</f>
        <v>.1</v>
      </c>
      <c r="J50" s="1261"/>
      <c r="K50" s="1261"/>
      <c r="L50" s="1264" t="s">
        <v>394</v>
      </c>
      <c r="M50" s="446"/>
      <c r="N50" s="446"/>
      <c r="O50" s="446"/>
      <c r="P50" s="2646">
        <v>1</v>
      </c>
      <c r="Q50" s="1399"/>
      <c r="R50" s="292"/>
      <c r="S50" s="965"/>
      <c r="T50" s="1301"/>
      <c r="U50" s="1302"/>
      <c r="V50" s="2674"/>
      <c r="W50" s="2674"/>
      <c r="X50" s="2674"/>
      <c r="Y50" s="2674"/>
      <c r="Z50" s="2674"/>
      <c r="AA50" s="2674"/>
      <c r="AB50" s="2674"/>
      <c r="AC50" s="2675"/>
      <c r="AD50" s="2673"/>
      <c r="AE50" s="2674"/>
      <c r="AF50" s="2674"/>
      <c r="AG50" s="2674"/>
      <c r="AH50" s="2674"/>
      <c r="AI50" s="2674"/>
      <c r="AJ50" s="2674"/>
      <c r="AK50" s="2674"/>
      <c r="AL50" s="2674"/>
      <c r="AM50" s="2674"/>
      <c r="AN50" s="2674"/>
      <c r="AO50" s="2674"/>
      <c r="AP50" s="2674"/>
      <c r="AQ50" s="2674"/>
      <c r="AR50" s="2674"/>
      <c r="AS50" s="2674"/>
      <c r="AT50" s="2674"/>
      <c r="AU50" s="2674"/>
      <c r="AV50" s="2674"/>
      <c r="AW50" s="2674"/>
      <c r="AX50" s="2674"/>
      <c r="AY50" s="2674"/>
      <c r="AZ50" s="2674"/>
      <c r="BA50" s="2674"/>
      <c r="BB50" s="2675"/>
      <c r="BC50" s="1303"/>
      <c r="BE50" s="436"/>
      <c r="BF50" s="436" t="str">
        <f t="shared" si="3"/>
        <v/>
      </c>
      <c r="BG50" s="436"/>
      <c r="BH50" s="436"/>
      <c r="BI50" s="447">
        <v>0</v>
      </c>
    </row>
    <row r="51" spans="1:61" s="2407" customFormat="1" ht="0" hidden="1" customHeight="1">
      <c r="A51" s="1261" t="s">
        <v>267</v>
      </c>
      <c r="B51" s="1261" t="s">
        <v>268</v>
      </c>
      <c r="C51" s="1261" t="s">
        <v>269</v>
      </c>
      <c r="D51" s="1261" t="s">
        <v>520</v>
      </c>
      <c r="E51" s="2643"/>
      <c r="F51" s="2643"/>
      <c r="G51" s="2643"/>
      <c r="H51" s="2643"/>
      <c r="I51" s="2645"/>
      <c r="J51" s="2644" t="str">
        <f>S49&amp;".1"</f>
        <v>.1</v>
      </c>
      <c r="K51" s="1261"/>
      <c r="L51" s="1264"/>
      <c r="M51" s="446"/>
      <c r="N51" s="446"/>
      <c r="O51" s="446"/>
      <c r="P51" s="2646"/>
      <c r="Q51" s="2646">
        <v>1</v>
      </c>
      <c r="R51" s="293"/>
      <c r="S51" s="965"/>
      <c r="T51" s="1317"/>
      <c r="U51" s="1302"/>
      <c r="V51" s="2674"/>
      <c r="W51" s="2674"/>
      <c r="X51" s="2674"/>
      <c r="Y51" s="2674"/>
      <c r="Z51" s="2674"/>
      <c r="AA51" s="2674"/>
      <c r="AB51" s="2674"/>
      <c r="AC51" s="2675"/>
      <c r="AD51" s="2673"/>
      <c r="AE51" s="2674"/>
      <c r="AF51" s="2674"/>
      <c r="AG51" s="2674"/>
      <c r="AH51" s="2674"/>
      <c r="AI51" s="2674"/>
      <c r="AJ51" s="2674"/>
      <c r="AK51" s="2674"/>
      <c r="AL51" s="2674"/>
      <c r="AM51" s="2674"/>
      <c r="AN51" s="2725"/>
      <c r="AO51" s="2725"/>
      <c r="AP51" s="2674"/>
      <c r="AQ51" s="2674"/>
      <c r="AR51" s="2674"/>
      <c r="AS51" s="2674"/>
      <c r="AT51" s="2674"/>
      <c r="AU51" s="2674"/>
      <c r="AV51" s="2674"/>
      <c r="AW51" s="2674"/>
      <c r="AX51" s="2674"/>
      <c r="AY51" s="2674"/>
      <c r="AZ51" s="2674"/>
      <c r="BA51" s="2674"/>
      <c r="BB51" s="2675"/>
      <c r="BC51" s="1303"/>
      <c r="BE51" s="436"/>
      <c r="BF51" s="436" t="str">
        <f t="shared" si="3"/>
        <v/>
      </c>
      <c r="BG51" s="436"/>
      <c r="BH51" s="436"/>
      <c r="BI51" s="447">
        <v>0</v>
      </c>
    </row>
    <row r="52" spans="1:61" ht="11.45" customHeight="1">
      <c r="A52" s="1281" t="s">
        <v>267</v>
      </c>
      <c r="B52" s="1281" t="s">
        <v>268</v>
      </c>
      <c r="C52" s="1281" t="s">
        <v>269</v>
      </c>
      <c r="D52" s="1281" t="s">
        <v>520</v>
      </c>
      <c r="E52" s="2643"/>
      <c r="F52" s="2643"/>
      <c r="G52" s="2643"/>
      <c r="H52" s="2643"/>
      <c r="I52" s="2645"/>
      <c r="J52" s="2645"/>
      <c r="K52" s="2644" t="str">
        <f>S48&amp;".1"</f>
        <v>...1</v>
      </c>
      <c r="L52" s="1282"/>
      <c r="P52" s="2646"/>
      <c r="Q52" s="2646"/>
      <c r="R52" s="293">
        <v>1</v>
      </c>
      <c r="S52" s="2699" t="str">
        <f>$K52</f>
        <v>...1</v>
      </c>
      <c r="T52" s="2719"/>
      <c r="U52" s="237"/>
      <c r="V52" s="687"/>
      <c r="W52" s="1175"/>
      <c r="X52" s="687"/>
      <c r="Y52" s="1175"/>
      <c r="Z52" s="1651"/>
      <c r="AA52" s="1387" t="s">
        <v>65</v>
      </c>
      <c r="AB52" s="1651"/>
      <c r="AC52" s="1387" t="s">
        <v>65</v>
      </c>
      <c r="AD52" s="2586" t="s">
        <v>65</v>
      </c>
      <c r="AE52" s="2695"/>
      <c r="AF52" s="2599">
        <v>1</v>
      </c>
      <c r="AG52" s="2718"/>
      <c r="AH52" s="2524" t="s">
        <v>65</v>
      </c>
      <c r="AI52" s="2695"/>
      <c r="AJ52" s="2599">
        <v>1</v>
      </c>
      <c r="AK52" s="2709" t="s">
        <v>22</v>
      </c>
      <c r="AL52" s="2524" t="s">
        <v>65</v>
      </c>
      <c r="AM52" s="2574"/>
      <c r="AN52" s="2599">
        <v>1</v>
      </c>
      <c r="AO52" s="2722"/>
      <c r="AP52" s="2723" t="s">
        <v>65</v>
      </c>
      <c r="AQ52" s="248"/>
      <c r="AR52" s="1404">
        <v>1</v>
      </c>
      <c r="AS52" s="1410" t="s">
        <v>22</v>
      </c>
      <c r="AT52" s="687"/>
      <c r="AU52" s="1175"/>
      <c r="AV52" s="687"/>
      <c r="AW52" s="1175"/>
      <c r="AX52" s="1651"/>
      <c r="AY52" s="1387" t="s">
        <v>65</v>
      </c>
      <c r="AZ52" s="1651"/>
      <c r="BA52" s="1387" t="s">
        <v>65</v>
      </c>
      <c r="BB52" s="1266"/>
      <c r="BC52" s="2665" t="s">
        <v>492</v>
      </c>
      <c r="BE52" s="436"/>
      <c r="BF52" s="436" t="str">
        <f t="shared" si="3"/>
        <v/>
      </c>
      <c r="BG52" s="436"/>
      <c r="BH52" s="436"/>
      <c r="BI52" s="1073">
        <v>11</v>
      </c>
    </row>
    <row r="53" spans="1:61" ht="11.45" customHeight="1">
      <c r="A53" s="1281"/>
      <c r="B53" s="1281"/>
      <c r="C53" s="1281"/>
      <c r="D53" s="1281"/>
      <c r="E53" s="2643"/>
      <c r="F53" s="2643"/>
      <c r="G53" s="2643"/>
      <c r="H53" s="2643"/>
      <c r="I53" s="2645"/>
      <c r="J53" s="2645"/>
      <c r="K53" s="2644"/>
      <c r="L53" s="1282"/>
      <c r="P53" s="2646"/>
      <c r="Q53" s="2646"/>
      <c r="R53" s="293"/>
      <c r="S53" s="2700"/>
      <c r="T53" s="2720"/>
      <c r="U53" s="237"/>
      <c r="V53" s="1311"/>
      <c r="W53" s="1414"/>
      <c r="X53" s="1311"/>
      <c r="Y53" s="1414"/>
      <c r="Z53" s="1311"/>
      <c r="AA53" s="1311"/>
      <c r="AB53" s="1311"/>
      <c r="AC53" s="1311"/>
      <c r="AD53" s="2587"/>
      <c r="AE53" s="2695"/>
      <c r="AF53" s="2599"/>
      <c r="AG53" s="2718"/>
      <c r="AH53" s="2524"/>
      <c r="AI53" s="2695"/>
      <c r="AJ53" s="2599"/>
      <c r="AK53" s="2709"/>
      <c r="AL53" s="2524"/>
      <c r="AM53" s="2579"/>
      <c r="AN53" s="2599"/>
      <c r="AO53" s="2722"/>
      <c r="AP53" s="2724"/>
      <c r="AQ53" s="253"/>
      <c r="AR53" s="352"/>
      <c r="AS53" s="352" t="s">
        <v>493</v>
      </c>
      <c r="AT53" s="1311"/>
      <c r="AU53" s="1414"/>
      <c r="AV53" s="1311"/>
      <c r="AW53" s="1414"/>
      <c r="AX53" s="1311"/>
      <c r="AY53" s="1311"/>
      <c r="AZ53" s="1311"/>
      <c r="BA53" s="1311"/>
      <c r="BB53" s="1315"/>
      <c r="BC53" s="2666"/>
      <c r="BE53" s="436"/>
      <c r="BF53" s="436"/>
      <c r="BG53" s="436"/>
      <c r="BH53" s="436"/>
      <c r="BI53" s="1073">
        <v>11</v>
      </c>
    </row>
    <row r="54" spans="1:61" ht="11.45" customHeight="1">
      <c r="A54" s="1281" t="s">
        <v>267</v>
      </c>
      <c r="B54" s="1281"/>
      <c r="C54" s="1281"/>
      <c r="D54" s="1281"/>
      <c r="E54" s="2643"/>
      <c r="F54" s="2643"/>
      <c r="G54" s="2643"/>
      <c r="H54" s="2643"/>
      <c r="I54" s="2645"/>
      <c r="J54" s="2645"/>
      <c r="K54" s="2644"/>
      <c r="L54" s="1282"/>
      <c r="P54" s="2646"/>
      <c r="Q54" s="2646"/>
      <c r="R54" s="293"/>
      <c r="S54" s="2700"/>
      <c r="T54" s="2720"/>
      <c r="U54" s="237"/>
      <c r="V54" s="1311"/>
      <c r="W54" s="1414"/>
      <c r="X54" s="1311"/>
      <c r="Y54" s="1414"/>
      <c r="Z54" s="1311"/>
      <c r="AA54" s="1311"/>
      <c r="AB54" s="1311"/>
      <c r="AC54" s="1311"/>
      <c r="AD54" s="2587"/>
      <c r="AE54" s="2695"/>
      <c r="AF54" s="2599"/>
      <c r="AG54" s="2718"/>
      <c r="AH54" s="2524"/>
      <c r="AI54" s="2695"/>
      <c r="AJ54" s="2599"/>
      <c r="AK54" s="2709"/>
      <c r="AL54" s="2524"/>
      <c r="AM54" s="253"/>
      <c r="AN54" s="1418"/>
      <c r="AO54" s="1418" t="s">
        <v>513</v>
      </c>
      <c r="AP54" s="352"/>
      <c r="AQ54" s="352"/>
      <c r="AR54" s="352"/>
      <c r="AS54" s="1311"/>
      <c r="AT54" s="1311"/>
      <c r="AU54" s="1414"/>
      <c r="AV54" s="1311"/>
      <c r="AW54" s="1414"/>
      <c r="AX54" s="1311"/>
      <c r="AY54" s="1311"/>
      <c r="AZ54" s="1311"/>
      <c r="BA54" s="1311"/>
      <c r="BB54" s="1315"/>
      <c r="BC54" s="2666"/>
      <c r="BE54" s="436"/>
      <c r="BF54" s="436"/>
      <c r="BG54" s="436"/>
      <c r="BH54" s="436"/>
      <c r="BI54" s="1073">
        <v>11</v>
      </c>
    </row>
    <row r="55" spans="1:61" ht="11.45" customHeight="1">
      <c r="A55" s="1281" t="s">
        <v>267</v>
      </c>
      <c r="B55" s="1281"/>
      <c r="C55" s="1281"/>
      <c r="D55" s="1281"/>
      <c r="E55" s="2643"/>
      <c r="F55" s="2643"/>
      <c r="G55" s="2643"/>
      <c r="H55" s="2643"/>
      <c r="I55" s="2645"/>
      <c r="J55" s="2645"/>
      <c r="K55" s="2644"/>
      <c r="L55" s="1282"/>
      <c r="P55" s="2646"/>
      <c r="Q55" s="2646"/>
      <c r="R55" s="293"/>
      <c r="S55" s="2700"/>
      <c r="T55" s="2720"/>
      <c r="U55" s="237"/>
      <c r="V55" s="1311"/>
      <c r="W55" s="1414"/>
      <c r="X55" s="1311"/>
      <c r="Y55" s="1414"/>
      <c r="Z55" s="1311"/>
      <c r="AA55" s="1311"/>
      <c r="AB55" s="1311"/>
      <c r="AC55" s="1311"/>
      <c r="AD55" s="2587"/>
      <c r="AE55" s="2695"/>
      <c r="AF55" s="2599"/>
      <c r="AG55" s="2718"/>
      <c r="AH55" s="2524"/>
      <c r="AI55" s="231"/>
      <c r="AJ55" s="351"/>
      <c r="AK55" s="250" t="s">
        <v>514</v>
      </c>
      <c r="AL55" s="1311"/>
      <c r="AM55" s="1311"/>
      <c r="AN55" s="1311"/>
      <c r="AO55" s="1311"/>
      <c r="AP55" s="1311"/>
      <c r="AQ55" s="1311"/>
      <c r="AR55" s="1311"/>
      <c r="AS55" s="1311"/>
      <c r="AT55" s="1311"/>
      <c r="AU55" s="1414"/>
      <c r="AV55" s="1311"/>
      <c r="AW55" s="1414"/>
      <c r="AX55" s="1311"/>
      <c r="AY55" s="1311"/>
      <c r="AZ55" s="1311"/>
      <c r="BA55" s="1311"/>
      <c r="BB55" s="1315"/>
      <c r="BC55" s="2666"/>
      <c r="BE55" s="436"/>
      <c r="BF55" s="436"/>
      <c r="BG55" s="436"/>
      <c r="BH55" s="436"/>
      <c r="BI55" s="1073">
        <v>11</v>
      </c>
    </row>
    <row r="56" spans="1:61" ht="11.45" customHeight="1">
      <c r="A56" s="1281" t="s">
        <v>267</v>
      </c>
      <c r="B56" s="1281" t="s">
        <v>268</v>
      </c>
      <c r="C56" s="1281" t="s">
        <v>269</v>
      </c>
      <c r="D56" s="1281" t="s">
        <v>520</v>
      </c>
      <c r="E56" s="2643"/>
      <c r="F56" s="2643"/>
      <c r="G56" s="2643"/>
      <c r="H56" s="2643"/>
      <c r="I56" s="2645"/>
      <c r="J56" s="2645"/>
      <c r="K56" s="2644"/>
      <c r="L56" s="1282"/>
      <c r="P56" s="2646"/>
      <c r="Q56" s="2646"/>
      <c r="R56" s="293"/>
      <c r="S56" s="2701"/>
      <c r="T56" s="2721"/>
      <c r="U56" s="237"/>
      <c r="V56" s="1311"/>
      <c r="W56" s="1312" t="str">
        <f>Z52&amp;"-"&amp;AB52</f>
        <v>-</v>
      </c>
      <c r="X56" s="1311"/>
      <c r="Y56" s="1312" t="str">
        <f>AB52&amp;"-"&amp;AD52</f>
        <v>-да</v>
      </c>
      <c r="Z56" s="1311"/>
      <c r="AA56" s="1311"/>
      <c r="AB56" s="1311"/>
      <c r="AC56" s="1311"/>
      <c r="AD56" s="2529"/>
      <c r="AE56" s="249"/>
      <c r="AF56" s="251"/>
      <c r="AG56" s="352" t="s">
        <v>496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66"/>
      <c r="BE56" s="436"/>
      <c r="BF56" s="436" t="str">
        <f t="shared" ref="BF56:BF63" si="4">IF(T56="","",T56)</f>
        <v/>
      </c>
      <c r="BG56" s="436"/>
      <c r="BH56" s="436"/>
      <c r="BI56" s="1073">
        <v>11</v>
      </c>
    </row>
    <row r="57" spans="1:61" ht="11.45" customHeight="1">
      <c r="A57" s="1281" t="s">
        <v>267</v>
      </c>
      <c r="B57" s="1281" t="s">
        <v>268</v>
      </c>
      <c r="C57" s="1281" t="s">
        <v>269</v>
      </c>
      <c r="D57" s="1281" t="s">
        <v>520</v>
      </c>
      <c r="E57" s="2643"/>
      <c r="F57" s="2643"/>
      <c r="G57" s="2643"/>
      <c r="H57" s="2643"/>
      <c r="I57" s="2645"/>
      <c r="J57" s="2644"/>
      <c r="K57" s="1281"/>
      <c r="L57" s="1282"/>
      <c r="P57" s="2646"/>
      <c r="Q57" s="2646"/>
      <c r="R57" s="292"/>
      <c r="S57" s="1196"/>
      <c r="T57" s="224" t="s">
        <v>459</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7"/>
      <c r="BE57" s="436"/>
      <c r="BF57" s="436" t="str">
        <f t="shared" si="4"/>
        <v>Добавить строку</v>
      </c>
      <c r="BG57" s="436"/>
      <c r="BH57" s="436"/>
      <c r="BI57" s="1073">
        <v>11</v>
      </c>
    </row>
    <row r="58" spans="1:61" s="2407" customFormat="1" ht="0" hidden="1" customHeight="1">
      <c r="A58" s="1261" t="s">
        <v>267</v>
      </c>
      <c r="B58" s="1261" t="s">
        <v>268</v>
      </c>
      <c r="C58" s="1261" t="s">
        <v>269</v>
      </c>
      <c r="D58" s="1261" t="s">
        <v>520</v>
      </c>
      <c r="E58" s="2643"/>
      <c r="F58" s="2643"/>
      <c r="G58" s="2643"/>
      <c r="H58" s="2643"/>
      <c r="I58" s="2644"/>
      <c r="J58" s="1261"/>
      <c r="K58" s="1261"/>
      <c r="L58" s="1264"/>
      <c r="M58" s="446"/>
      <c r="N58" s="446"/>
      <c r="O58" s="446"/>
      <c r="P58" s="2646"/>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407" customFormat="1" ht="0" hidden="1" customHeight="1">
      <c r="A59" s="1261" t="s">
        <v>267</v>
      </c>
      <c r="B59" s="1261" t="s">
        <v>268</v>
      </c>
      <c r="C59" s="1261" t="s">
        <v>269</v>
      </c>
      <c r="D59" s="1261" t="s">
        <v>520</v>
      </c>
      <c r="E59" s="2643"/>
      <c r="F59" s="2643"/>
      <c r="G59" s="2643"/>
      <c r="H59" s="2642"/>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407" customFormat="1" ht="0" hidden="1" customHeight="1">
      <c r="A60" s="1261" t="s">
        <v>267</v>
      </c>
      <c r="B60" s="1261" t="s">
        <v>268</v>
      </c>
      <c r="C60" s="1261" t="s">
        <v>269</v>
      </c>
      <c r="D60" s="1232"/>
      <c r="E60" s="2643"/>
      <c r="F60" s="2643"/>
      <c r="G60" s="264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407" customFormat="1" ht="0" hidden="1" customHeight="1">
      <c r="A61" s="1261" t="s">
        <v>267</v>
      </c>
      <c r="B61" s="1261" t="s">
        <v>268</v>
      </c>
      <c r="C61" s="1232"/>
      <c r="D61" s="1232"/>
      <c r="E61" s="2643"/>
      <c r="F61" s="2642"/>
      <c r="G61" s="1232"/>
      <c r="H61" s="1232"/>
      <c r="I61" s="1232"/>
      <c r="J61" s="1232"/>
      <c r="K61" s="1232"/>
      <c r="L61" s="1412"/>
      <c r="M61" s="1239"/>
      <c r="N61" s="1239"/>
      <c r="P61" s="1234"/>
      <c r="Q61" s="1235"/>
      <c r="R61" s="1234"/>
      <c r="S61" s="1240"/>
      <c r="T61" s="1243" t="s">
        <v>406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407" customFormat="1" ht="0" hidden="1" customHeight="1">
      <c r="A62" s="1261" t="s">
        <v>267</v>
      </c>
      <c r="B62" s="1261"/>
      <c r="C62" s="1261"/>
      <c r="D62" s="1261"/>
      <c r="E62" s="2642"/>
      <c r="F62" s="1261"/>
      <c r="G62" s="1261"/>
      <c r="H62" s="1261"/>
      <c r="I62" s="1261"/>
      <c r="J62" s="1261"/>
      <c r="K62" s="1261"/>
      <c r="L62" s="1264"/>
      <c r="M62" s="1239"/>
      <c r="N62" s="1239"/>
      <c r="O62" s="454"/>
      <c r="P62" s="316"/>
      <c r="Q62" s="1262"/>
      <c r="R62" s="316"/>
      <c r="S62" s="1240"/>
      <c r="T62" s="1243" t="s">
        <v>407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40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439</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4.65" customHeight="1">
      <c r="O65" s="473"/>
      <c r="S65" s="1171"/>
      <c r="T65" s="2641"/>
      <c r="U65" s="2641"/>
      <c r="V65" s="2641"/>
      <c r="W65" s="2641"/>
      <c r="X65" s="2641"/>
      <c r="Y65" s="2641"/>
      <c r="Z65" s="2641"/>
      <c r="AA65" s="2641"/>
      <c r="AB65" s="2641"/>
      <c r="AC65" s="2641"/>
      <c r="AD65" s="2641"/>
      <c r="AE65" s="2641"/>
      <c r="AF65" s="2641"/>
      <c r="AG65" s="2641"/>
      <c r="AH65" s="2641"/>
      <c r="AI65" s="2641"/>
      <c r="AJ65" s="2641"/>
      <c r="AK65" s="2641"/>
      <c r="AL65" s="2641"/>
      <c r="AM65" s="2641"/>
      <c r="AN65" s="2641"/>
      <c r="AO65" s="2641"/>
      <c r="AP65" s="2641"/>
      <c r="AQ65" s="2641"/>
      <c r="AR65" s="2641"/>
      <c r="AS65" s="2641"/>
      <c r="AT65" s="2641"/>
      <c r="AU65" s="2641"/>
      <c r="AV65" s="2641"/>
      <c r="AW65" s="2641"/>
      <c r="AX65" s="2641"/>
      <c r="AY65" s="2641"/>
      <c r="AZ65" s="2641"/>
      <c r="BA65" s="2641"/>
      <c r="BB65" s="2641"/>
      <c r="BC65" s="2641"/>
      <c r="BI65" s="1073">
        <v>14</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3"/>
      <c r="S67" s="1171"/>
      <c r="T67" s="2641"/>
      <c r="U67" s="2641"/>
      <c r="V67" s="2641"/>
      <c r="W67" s="2641"/>
      <c r="X67" s="2641"/>
      <c r="Y67" s="2641"/>
      <c r="Z67" s="2641"/>
      <c r="AA67" s="2641"/>
      <c r="AB67" s="2641"/>
      <c r="AC67" s="2641"/>
      <c r="AD67" s="2641"/>
      <c r="AE67" s="2641"/>
      <c r="AF67" s="2641"/>
      <c r="AG67" s="2641"/>
      <c r="AH67" s="2641"/>
      <c r="AI67" s="2641"/>
      <c r="AJ67" s="2641"/>
      <c r="AK67" s="2641"/>
      <c r="AL67" s="2641"/>
      <c r="AM67" s="2641"/>
      <c r="AN67" s="2641"/>
      <c r="AO67" s="2641"/>
      <c r="AP67" s="2641"/>
      <c r="AQ67" s="2641"/>
      <c r="AR67" s="2641"/>
      <c r="AS67" s="2641"/>
      <c r="AT67" s="2641"/>
      <c r="AU67" s="2641"/>
      <c r="AV67" s="2641"/>
      <c r="AW67" s="2641"/>
      <c r="AX67" s="2641"/>
      <c r="AY67" s="2641"/>
      <c r="AZ67" s="2641"/>
      <c r="BA67" s="2641"/>
      <c r="BB67" s="2641"/>
      <c r="BC67" s="2641"/>
      <c r="BI67" s="1073">
        <v>14</v>
      </c>
    </row>
    <row r="68" spans="1:61" ht="14.65" customHeight="1">
      <c r="O68" s="473"/>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heetViews>
  <sheetFormatPr defaultColWidth="9.140625" defaultRowHeight="14.25" customHeight="1"/>
  <cols>
    <col min="1" max="1" width="8" style="2400" hidden="1" customWidth="1"/>
    <col min="2" max="2" width="6" style="2406" hidden="1" customWidth="1"/>
    <col min="3" max="3" width="3" style="2400" customWidth="1"/>
    <col min="4" max="4" width="3" style="2412" customWidth="1"/>
    <col min="5" max="5" width="6" style="2400" customWidth="1"/>
    <col min="6" max="6" width="2.7109375" style="2400" hidden="1" customWidth="1"/>
    <col min="7" max="7" width="46.7109375" style="2400" customWidth="1"/>
    <col min="8" max="8" width="42" style="2400" customWidth="1"/>
    <col min="9" max="9" width="14" style="2400" customWidth="1"/>
    <col min="10" max="10" width="3" style="2413" customWidth="1"/>
    <col min="11" max="13" width="9.140625" style="2413" hidden="1"/>
    <col min="14" max="14" width="25.7109375" style="2413" hidden="1" customWidth="1"/>
    <col min="15" max="15" width="14.42578125" style="2413" hidden="1" customWidth="1"/>
    <col min="16" max="19" width="9.140625" style="2414" hidden="1"/>
    <col min="20" max="27" width="9.140625" style="2400" hidden="1"/>
    <col min="28" max="28" width="8" style="2400" customWidth="1"/>
    <col min="29" max="29" width="9.140625" style="2400" hidden="1"/>
  </cols>
  <sheetData>
    <row r="1" spans="1:29" s="2407" customFormat="1" ht="5.25" hidden="1" customHeight="1">
      <c r="A1" s="432"/>
      <c r="B1" s="447"/>
      <c r="C1" s="447"/>
      <c r="D1" s="158"/>
      <c r="F1" s="447"/>
      <c r="G1" s="184" t="s">
        <v>79</v>
      </c>
      <c r="H1" s="430" t="s">
        <v>80</v>
      </c>
      <c r="I1" s="164" t="s">
        <v>81</v>
      </c>
      <c r="J1" s="184" t="s">
        <v>79</v>
      </c>
      <c r="K1" s="184"/>
      <c r="L1" s="184"/>
      <c r="M1" s="184"/>
      <c r="N1" s="185"/>
      <c r="O1" s="184"/>
      <c r="P1" s="184"/>
      <c r="Q1" s="184"/>
      <c r="R1" s="184"/>
      <c r="S1" s="184"/>
      <c r="T1" s="164"/>
      <c r="U1" s="164"/>
      <c r="V1" s="164"/>
      <c r="W1" s="164"/>
      <c r="X1" s="164"/>
      <c r="Y1" s="164"/>
      <c r="Z1" s="164"/>
      <c r="AA1" s="164"/>
      <c r="AB1" s="164"/>
      <c r="AC1" s="90" t="s">
        <v>14</v>
      </c>
    </row>
    <row r="2" spans="1:29" s="240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409" customFormat="1" ht="3" customHeight="1">
      <c r="A3" s="692"/>
      <c r="B3" s="353"/>
      <c r="C3" s="692"/>
      <c r="D3" s="101"/>
      <c r="E3" s="43"/>
      <c r="F3" s="445"/>
      <c r="G3" s="43"/>
      <c r="H3" s="43"/>
      <c r="I3" s="103"/>
      <c r="J3" s="184"/>
      <c r="K3" s="93"/>
      <c r="L3" s="93"/>
      <c r="M3" s="93"/>
      <c r="N3" s="163"/>
      <c r="O3" s="93"/>
      <c r="P3" s="162"/>
      <c r="Q3" s="162"/>
      <c r="R3" s="162"/>
      <c r="S3" s="162"/>
      <c r="AC3" s="56">
        <v>3</v>
      </c>
    </row>
    <row r="4" spans="1:29" s="2409" customFormat="1" ht="27.4" customHeight="1">
      <c r="A4" s="692"/>
      <c r="B4" s="353"/>
      <c r="C4" s="692"/>
      <c r="D4" s="101"/>
      <c r="E4" s="2500" t="str">
        <f>NameTemplatesInListMO</f>
        <v>Перечень муниципальных районов и муниципальных образований (территорий оказания услуг)</v>
      </c>
      <c r="F4" s="2500"/>
      <c r="G4" s="2500"/>
      <c r="H4" s="2500"/>
      <c r="I4" s="2500"/>
      <c r="J4" s="184"/>
      <c r="K4" s="93"/>
      <c r="L4" s="93"/>
      <c r="M4" s="93"/>
      <c r="N4" s="163"/>
      <c r="O4" s="93"/>
      <c r="P4" s="162"/>
      <c r="Q4" s="162"/>
      <c r="R4" s="162"/>
      <c r="S4" s="162"/>
      <c r="AC4" s="56">
        <v>26</v>
      </c>
    </row>
    <row r="5" spans="1:29" s="2409" customFormat="1" ht="3" customHeight="1">
      <c r="A5" s="692"/>
      <c r="B5" s="353"/>
      <c r="C5" s="692"/>
      <c r="D5" s="101"/>
      <c r="E5" s="43"/>
      <c r="F5" s="445"/>
      <c r="G5" s="104"/>
      <c r="H5" s="104"/>
      <c r="I5" s="105"/>
      <c r="J5" s="93"/>
      <c r="K5" s="93"/>
      <c r="L5" s="93"/>
      <c r="M5" s="93"/>
      <c r="N5" s="163"/>
      <c r="O5" s="93"/>
      <c r="P5" s="162"/>
      <c r="Q5" s="162"/>
      <c r="R5" s="162"/>
      <c r="S5" s="162"/>
      <c r="AC5" s="56">
        <v>3</v>
      </c>
    </row>
    <row r="6" spans="1:29" s="2409"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409" customFormat="1" ht="14.65" customHeight="1">
      <c r="A8" s="692"/>
      <c r="B8" s="353"/>
      <c r="C8" s="692"/>
      <c r="D8" s="101"/>
      <c r="E8" s="2496" t="s">
        <v>82</v>
      </c>
      <c r="F8" s="2501"/>
      <c r="G8" s="2495"/>
      <c r="H8" s="2502" t="s">
        <v>83</v>
      </c>
      <c r="I8" s="2502"/>
      <c r="J8" s="93"/>
      <c r="K8" s="93"/>
      <c r="L8" s="93"/>
      <c r="M8" s="93"/>
      <c r="N8" s="163"/>
      <c r="O8" s="93"/>
      <c r="P8" s="162"/>
      <c r="Q8" s="162"/>
      <c r="R8" s="162"/>
      <c r="S8" s="162"/>
      <c r="AC8" s="56">
        <v>14</v>
      </c>
    </row>
    <row r="9" spans="1:29" s="2409" customFormat="1" ht="21" customHeight="1">
      <c r="A9" s="692"/>
      <c r="B9" s="353"/>
      <c r="C9" s="692"/>
      <c r="D9" s="101"/>
      <c r="E9" s="708" t="s">
        <v>84</v>
      </c>
      <c r="F9" s="708"/>
      <c r="G9" s="109" t="s">
        <v>85</v>
      </c>
      <c r="H9" s="109" t="s">
        <v>85</v>
      </c>
      <c r="I9" s="109" t="s">
        <v>81</v>
      </c>
      <c r="J9" s="93"/>
      <c r="K9" s="93"/>
      <c r="L9" s="93"/>
      <c r="M9" s="93"/>
      <c r="N9" s="163"/>
      <c r="O9" s="93"/>
      <c r="P9" s="162"/>
      <c r="Q9" s="162"/>
      <c r="R9" s="162"/>
      <c r="S9" s="162"/>
      <c r="AC9" s="56">
        <v>20</v>
      </c>
    </row>
    <row r="10" spans="1:29" ht="11.45" customHeight="1">
      <c r="D10" s="113"/>
      <c r="E10" s="709" t="s">
        <v>86</v>
      </c>
      <c r="F10" s="709"/>
      <c r="G10" s="160" t="s">
        <v>87</v>
      </c>
      <c r="H10" s="160" t="s">
        <v>88</v>
      </c>
      <c r="I10" s="160" t="s">
        <v>89</v>
      </c>
      <c r="J10" s="123"/>
      <c r="K10" s="123"/>
      <c r="L10" s="123"/>
      <c r="M10" s="123"/>
      <c r="N10" s="108"/>
      <c r="O10" s="123"/>
      <c r="P10" s="161"/>
      <c r="Q10" s="161"/>
      <c r="R10" s="161"/>
      <c r="S10" s="161"/>
      <c r="AC10" s="23">
        <v>11</v>
      </c>
    </row>
    <row r="11" spans="1:29" s="2409" customFormat="1" ht="1.1499999999999999" customHeight="1">
      <c r="A11" s="692"/>
      <c r="B11" s="353"/>
      <c r="C11" s="692"/>
      <c r="D11" s="101"/>
      <c r="E11" s="720"/>
      <c r="F11" s="720"/>
      <c r="G11" s="110"/>
      <c r="H11" s="110"/>
      <c r="I11" s="112"/>
      <c r="J11" s="186" t="s">
        <v>90</v>
      </c>
      <c r="K11" s="93"/>
      <c r="L11" s="93"/>
      <c r="M11" s="93" t="s">
        <v>91</v>
      </c>
      <c r="N11" s="163" t="s">
        <v>92</v>
      </c>
      <c r="O11" s="93" t="s">
        <v>93</v>
      </c>
      <c r="P11" s="162"/>
      <c r="Q11" s="162"/>
      <c r="R11" s="162"/>
      <c r="S11" s="162"/>
      <c r="AC11" s="56">
        <v>1</v>
      </c>
    </row>
    <row r="12" spans="1:29" s="2409" customFormat="1" ht="15" customHeight="1">
      <c r="A12" s="2499">
        <v>1</v>
      </c>
      <c r="B12" s="353"/>
      <c r="C12" s="692"/>
      <c r="D12" s="712"/>
      <c r="E12" s="156">
        <f>A12</f>
        <v>1</v>
      </c>
      <c r="F12" s="732" t="s">
        <v>94</v>
      </c>
      <c r="G12" s="476" t="str">
        <f>"Территория "&amp;E12</f>
        <v>Территория 1</v>
      </c>
      <c r="H12" s="722"/>
      <c r="I12" s="722"/>
      <c r="J12" s="719"/>
      <c r="K12" s="436"/>
      <c r="L12" s="436"/>
      <c r="M12" s="436"/>
      <c r="N12" s="163"/>
      <c r="O12" s="436"/>
      <c r="P12" s="162"/>
      <c r="Q12" s="162"/>
      <c r="R12" s="162"/>
      <c r="S12" s="162"/>
      <c r="AC12" s="443">
        <v>14</v>
      </c>
    </row>
    <row r="13" spans="1:29" s="2410" customFormat="1" ht="15.75" customHeight="1">
      <c r="A13" s="2499"/>
      <c r="B13" s="353">
        <v>1</v>
      </c>
      <c r="C13" s="353"/>
      <c r="D13" s="730"/>
      <c r="E13" s="711" t="str">
        <f>A12&amp;"."&amp;B13</f>
        <v>1.1</v>
      </c>
      <c r="F13" s="725">
        <v>1</v>
      </c>
      <c r="G13" s="723"/>
      <c r="H13" s="723"/>
      <c r="I13" s="721"/>
      <c r="J13" s="436" t="e">
        <f ca="1">MERGEVALUE(G13)</f>
        <v>#NAME?</v>
      </c>
      <c r="K13" s="447"/>
      <c r="L13" s="447"/>
      <c r="M13" s="436" t="str">
        <f t="array" ref="M13">IF(ISERROR(MATCH(MID(N13,1,250),MID(note_ter,1,250),0)),"n","y")</f>
        <v>n</v>
      </c>
      <c r="N13" s="447"/>
      <c r="O13" s="436" t="str">
        <f>H13&amp;"("&amp;I13&amp;")"</f>
        <v>()</v>
      </c>
      <c r="P13" s="353"/>
      <c r="Q13" s="353"/>
      <c r="R13" s="356"/>
      <c r="S13" s="353"/>
      <c r="T13" s="353"/>
      <c r="U13" s="353"/>
      <c r="V13" s="358"/>
      <c r="W13" s="358"/>
      <c r="X13" s="355"/>
      <c r="Y13" s="355"/>
      <c r="Z13" s="355"/>
      <c r="AA13" s="355"/>
      <c r="AB13" s="355"/>
      <c r="AC13" s="359">
        <v>15</v>
      </c>
    </row>
    <row r="14" spans="1:29" s="2410" customFormat="1" ht="15.75" customHeight="1">
      <c r="A14" s="2499"/>
      <c r="B14" s="353"/>
      <c r="C14" s="348"/>
      <c r="D14" s="731"/>
      <c r="E14" s="357"/>
      <c r="F14" s="114"/>
      <c r="G14" s="351" t="s">
        <v>95</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409" customFormat="1" ht="14.65" customHeight="1">
      <c r="A15" s="692"/>
      <c r="B15" s="353"/>
      <c r="C15" s="692"/>
      <c r="D15" s="712"/>
      <c r="E15" s="724"/>
      <c r="F15" s="115"/>
      <c r="G15" s="352" t="s">
        <v>96</v>
      </c>
      <c r="H15" s="115"/>
      <c r="I15" s="116"/>
      <c r="J15" s="186"/>
      <c r="K15" s="93"/>
      <c r="L15" s="93"/>
      <c r="M15" s="93"/>
      <c r="N15" s="163" t="s">
        <v>97</v>
      </c>
      <c r="O15" s="93"/>
      <c r="P15" s="162"/>
      <c r="Q15" s="162"/>
      <c r="R15" s="162"/>
      <c r="S15" s="162"/>
      <c r="AC15" s="56">
        <v>14</v>
      </c>
    </row>
    <row r="16" spans="1:29" s="2409"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409"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409"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411" customFormat="1" ht="10.5" customHeight="1">
      <c r="B19" s="764"/>
      <c r="D19" s="119"/>
      <c r="J19" s="93"/>
      <c r="K19" s="93"/>
      <c r="L19" s="93"/>
      <c r="M19" s="93"/>
      <c r="N19" s="163"/>
      <c r="O19" s="93"/>
      <c r="P19" s="162"/>
      <c r="Q19" s="162"/>
      <c r="R19" s="162"/>
      <c r="S19" s="162"/>
      <c r="AC19" s="118">
        <v>10</v>
      </c>
    </row>
    <row r="20" spans="1:29" s="2411"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78</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4.140625" style="2406" hidden="1" customWidth="1"/>
    <col min="10" max="10" width="9.85546875" style="2406" hidden="1" customWidth="1"/>
    <col min="11" max="11" width="14.7109375" style="2406" hidden="1" customWidth="1"/>
    <col min="12" max="12" width="19.140625" style="2432" hidden="1" customWidth="1"/>
    <col min="13" max="14" width="12.28515625" style="2433" hidden="1" customWidth="1"/>
    <col min="15" max="15" width="23.42578125" style="2433" hidden="1" customWidth="1"/>
    <col min="16" max="16" width="3" style="2434" customWidth="1"/>
    <col min="17" max="18" width="3" style="2435" customWidth="1"/>
    <col min="19" max="19" width="12" style="2436" customWidth="1"/>
    <col min="20" max="20" width="35" style="2400" customWidth="1"/>
    <col min="21" max="21" width="0.140625" style="2400" customWidth="1"/>
    <col min="22" max="28" width="19.7109375" style="2400" hidden="1" customWidth="1"/>
    <col min="29" max="29" width="11.7109375" style="2400" hidden="1" customWidth="1"/>
    <col min="30" max="30" width="3.7109375" style="2400" hidden="1" customWidth="1"/>
    <col min="31" max="31" width="11.7109375" style="2400" hidden="1" customWidth="1"/>
    <col min="32" max="32" width="8.5703125" style="2400" hidden="1" customWidth="1"/>
    <col min="33" max="33" width="19.7109375" style="2400" customWidth="1"/>
    <col min="34" max="39" width="19" style="2400" customWidth="1"/>
    <col min="40" max="40" width="11" style="2400" customWidth="1"/>
    <col min="41" max="41" width="3.7109375" style="2400" customWidth="1"/>
    <col min="42" max="42" width="11" style="2400" customWidth="1"/>
    <col min="43" max="43" width="8.5703125" style="2400" hidden="1" customWidth="1"/>
    <col min="44" max="44" width="4" style="2400" customWidth="1"/>
    <col min="45" max="45" width="115" style="2400" customWidth="1"/>
    <col min="46" max="50" width="10" style="2407" customWidth="1"/>
    <col min="51" max="51" width="10.5703125" style="2400" hidden="1"/>
  </cols>
  <sheetData>
    <row r="1" spans="1:51" ht="22.5" hidden="1" customHeight="1">
      <c r="AC1" s="264"/>
      <c r="AN1" s="264"/>
      <c r="AY1" s="1073" t="s">
        <v>14</v>
      </c>
    </row>
    <row r="2" spans="1:51" ht="23.25" hidden="1" customHeight="1">
      <c r="A2" s="1281"/>
      <c r="B2" s="1281"/>
      <c r="C2" s="1281"/>
      <c r="D2" s="1281"/>
      <c r="E2" s="2642">
        <v>1</v>
      </c>
      <c r="F2" s="1281"/>
      <c r="G2" s="1281"/>
      <c r="H2" s="1281"/>
      <c r="I2" s="1281"/>
      <c r="J2" s="1281"/>
      <c r="K2" s="1281"/>
      <c r="L2" s="1282"/>
      <c r="M2" s="1283"/>
      <c r="N2" s="1283"/>
      <c r="O2" s="1283"/>
      <c r="P2" s="297"/>
      <c r="Q2" s="296"/>
      <c r="R2" s="291"/>
      <c r="S2" s="1411" t="e">
        <f>INDEX(PT_DIFFERENTIATION_NUM_NTAR,MATCH(A2,PT_DIFFERENTIATION_NTAR_ID,0))</f>
        <v>#N/A</v>
      </c>
      <c r="T2" s="235" t="s">
        <v>116</v>
      </c>
      <c r="U2" s="237"/>
      <c r="V2" s="2636"/>
      <c r="W2" s="2637"/>
      <c r="X2" s="2637"/>
      <c r="Y2" s="2637"/>
      <c r="Z2" s="2637"/>
      <c r="AA2" s="2637"/>
      <c r="AB2" s="2637"/>
      <c r="AC2" s="2637"/>
      <c r="AD2" s="2637"/>
      <c r="AE2" s="2637"/>
      <c r="AF2" s="2638"/>
      <c r="AG2" s="2636" t="e">
        <f>INDEX(PT_DIFFERENTIATION_NTAR,MATCH(A2,PT_DIFFERENTIATION_NTAR_ID,0))</f>
        <v>#N/A</v>
      </c>
      <c r="AH2" s="2637"/>
      <c r="AI2" s="2637"/>
      <c r="AJ2" s="2637"/>
      <c r="AK2" s="2637"/>
      <c r="AL2" s="2637"/>
      <c r="AM2" s="2637"/>
      <c r="AN2" s="2637"/>
      <c r="AO2" s="2637"/>
      <c r="AP2" s="2637"/>
      <c r="AQ2" s="2637"/>
      <c r="AR2" s="263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643"/>
      <c r="F3" s="2642">
        <v>1</v>
      </c>
      <c r="G3" s="1281"/>
      <c r="H3" s="1281"/>
      <c r="I3" s="1281"/>
      <c r="J3" s="1281"/>
      <c r="K3" s="1281"/>
      <c r="L3" s="1282"/>
      <c r="M3" s="1283"/>
      <c r="N3" s="1283"/>
      <c r="O3" s="1283"/>
      <c r="P3" s="1405"/>
      <c r="Q3" s="288"/>
      <c r="R3" s="289"/>
      <c r="S3" s="1411" t="e">
        <f>INDEX(PT_DIFFERENTIATION_NUM_TER,MATCH(B3,PT_DIFFERENTIATION_TER_ID,0))</f>
        <v>#N/A</v>
      </c>
      <c r="T3" s="245" t="s">
        <v>388</v>
      </c>
      <c r="U3" s="237"/>
      <c r="V3" s="2636"/>
      <c r="W3" s="2637"/>
      <c r="X3" s="2637"/>
      <c r="Y3" s="2637"/>
      <c r="Z3" s="2637"/>
      <c r="AA3" s="2637"/>
      <c r="AB3" s="2637"/>
      <c r="AC3" s="2637"/>
      <c r="AD3" s="2637"/>
      <c r="AE3" s="2637"/>
      <c r="AF3" s="2638"/>
      <c r="AG3" s="2636" t="e">
        <f>INDEX(PT_DIFFERENTIATION_TER,MATCH(B3,PT_DIFFERENTIATION_TER_ID,0))</f>
        <v>#N/A</v>
      </c>
      <c r="AH3" s="2637"/>
      <c r="AI3" s="2637"/>
      <c r="AJ3" s="2637"/>
      <c r="AK3" s="2637"/>
      <c r="AL3" s="2637"/>
      <c r="AM3" s="2637"/>
      <c r="AN3" s="2637"/>
      <c r="AO3" s="2637"/>
      <c r="AP3" s="2637"/>
      <c r="AQ3" s="2637"/>
      <c r="AR3" s="2638"/>
      <c r="AS3" s="1176" t="s">
        <v>389</v>
      </c>
      <c r="AU3" s="436"/>
      <c r="AV3" s="436" t="str">
        <f t="shared" si="0"/>
        <v>Территория действия тарифа</v>
      </c>
      <c r="AW3" s="436"/>
      <c r="AX3" s="436"/>
      <c r="AY3" s="1073">
        <v>0</v>
      </c>
    </row>
    <row r="4" spans="1:51" ht="23.25" hidden="1" customHeight="1">
      <c r="A4" s="1281"/>
      <c r="B4" s="1281"/>
      <c r="C4" s="1281"/>
      <c r="D4" s="1281"/>
      <c r="E4" s="2643"/>
      <c r="F4" s="2643"/>
      <c r="G4" s="2642">
        <v>1</v>
      </c>
      <c r="H4" s="1281"/>
      <c r="I4" s="1281"/>
      <c r="J4" s="1281"/>
      <c r="K4" s="1281"/>
      <c r="L4" s="1282"/>
      <c r="M4" s="1283"/>
      <c r="N4" s="1283"/>
      <c r="O4" s="1283"/>
      <c r="P4" s="290"/>
      <c r="Q4" s="288"/>
      <c r="R4" s="289"/>
      <c r="S4" s="1411" t="e">
        <f>INDEX(PT_DIFFERENTIATION_NUM_CS,MATCH(C4,PT_DIFFERENTIATION_CS_ID,0))</f>
        <v>#N/A</v>
      </c>
      <c r="T4" s="246" t="s">
        <v>521</v>
      </c>
      <c r="U4" s="237"/>
      <c r="V4" s="2636"/>
      <c r="W4" s="2637"/>
      <c r="X4" s="2637"/>
      <c r="Y4" s="2637"/>
      <c r="Z4" s="2637"/>
      <c r="AA4" s="2637"/>
      <c r="AB4" s="2637"/>
      <c r="AC4" s="2637"/>
      <c r="AD4" s="2637"/>
      <c r="AE4" s="2637"/>
      <c r="AF4" s="2638"/>
      <c r="AG4" s="2636" t="e">
        <f>INDEX(PT_DIFFERENTIATION_CS,MATCH(C4,PT_DIFFERENTIATION_CS_ID,0))</f>
        <v>#N/A</v>
      </c>
      <c r="AH4" s="2637"/>
      <c r="AI4" s="2637"/>
      <c r="AJ4" s="2637"/>
      <c r="AK4" s="2637"/>
      <c r="AL4" s="2637"/>
      <c r="AM4" s="2637"/>
      <c r="AN4" s="2637"/>
      <c r="AO4" s="2637"/>
      <c r="AP4" s="2637"/>
      <c r="AQ4" s="2637"/>
      <c r="AR4" s="2638"/>
      <c r="AS4" s="1176" t="s">
        <v>522</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643"/>
      <c r="F5" s="2643"/>
      <c r="G5" s="2643"/>
      <c r="H5" s="2643"/>
      <c r="I5" s="2644" t="e">
        <f>S4&amp;".1"</f>
        <v>#N/A</v>
      </c>
      <c r="J5" s="1281"/>
      <c r="K5" s="1281"/>
      <c r="L5" s="1282"/>
      <c r="P5" s="2646">
        <v>1</v>
      </c>
      <c r="Q5" s="1399"/>
      <c r="R5" s="292"/>
      <c r="S5" s="1411" t="e">
        <f>$I5</f>
        <v>#N/A</v>
      </c>
      <c r="T5" s="222" t="s">
        <v>474</v>
      </c>
      <c r="U5" s="237"/>
      <c r="V5" s="2710"/>
      <c r="W5" s="2711"/>
      <c r="X5" s="2711"/>
      <c r="Y5" s="2711"/>
      <c r="Z5" s="2711"/>
      <c r="AA5" s="2711"/>
      <c r="AB5" s="2711"/>
      <c r="AC5" s="2711"/>
      <c r="AD5" s="2711"/>
      <c r="AE5" s="2711"/>
      <c r="AF5" s="2712"/>
      <c r="AG5" s="2713"/>
      <c r="AH5" s="2714"/>
      <c r="AI5" s="2714"/>
      <c r="AJ5" s="2714"/>
      <c r="AK5" s="2714"/>
      <c r="AL5" s="2714"/>
      <c r="AM5" s="2714"/>
      <c r="AN5" s="2714"/>
      <c r="AO5" s="2714"/>
      <c r="AP5" s="2714"/>
      <c r="AQ5" s="2714"/>
      <c r="AR5" s="2715"/>
      <c r="AS5" s="1176" t="s">
        <v>475</v>
      </c>
      <c r="AU5" s="436"/>
      <c r="AV5" s="436" t="str">
        <f t="shared" si="0"/>
        <v>Наименование признака дифференциации</v>
      </c>
      <c r="AW5" s="436"/>
      <c r="AX5" s="436"/>
      <c r="AY5" s="1073">
        <v>0</v>
      </c>
    </row>
    <row r="6" spans="1:51" ht="23.25" hidden="1" customHeight="1">
      <c r="A6" s="1281"/>
      <c r="B6" s="1281"/>
      <c r="C6" s="1281"/>
      <c r="D6" s="1281"/>
      <c r="E6" s="2643"/>
      <c r="F6" s="2643"/>
      <c r="G6" s="2643"/>
      <c r="H6" s="2643"/>
      <c r="I6" s="2645"/>
      <c r="J6" s="2644" t="e">
        <f>I5&amp;".1"</f>
        <v>#N/A</v>
      </c>
      <c r="K6" s="1281"/>
      <c r="L6" s="1282" t="s">
        <v>397</v>
      </c>
      <c r="P6" s="2646"/>
      <c r="Q6" s="2646">
        <v>1</v>
      </c>
      <c r="R6" s="293"/>
      <c r="S6" s="1411" t="e">
        <f>$J6</f>
        <v>#N/A</v>
      </c>
      <c r="T6" s="223" t="s">
        <v>398</v>
      </c>
      <c r="U6" s="237"/>
      <c r="V6" s="2630"/>
      <c r="W6" s="2631"/>
      <c r="X6" s="2631"/>
      <c r="Y6" s="2631"/>
      <c r="Z6" s="2631"/>
      <c r="AA6" s="2631"/>
      <c r="AB6" s="2631"/>
      <c r="AC6" s="2631"/>
      <c r="AD6" s="2631"/>
      <c r="AE6" s="2631"/>
      <c r="AF6" s="2632"/>
      <c r="AG6" s="2630"/>
      <c r="AH6" s="2631"/>
      <c r="AI6" s="2631"/>
      <c r="AJ6" s="2631"/>
      <c r="AK6" s="2631"/>
      <c r="AL6" s="2631"/>
      <c r="AM6" s="2631"/>
      <c r="AN6" s="2631"/>
      <c r="AO6" s="2631"/>
      <c r="AP6" s="2631"/>
      <c r="AQ6" s="2631"/>
      <c r="AR6" s="2632"/>
      <c r="AS6" s="1225" t="s">
        <v>476</v>
      </c>
      <c r="AU6" s="436"/>
      <c r="AV6" s="436" t="str">
        <f t="shared" si="0"/>
        <v>Группа потребителей</v>
      </c>
      <c r="AW6" s="436"/>
      <c r="AX6" s="436"/>
      <c r="AY6" s="1073">
        <v>0</v>
      </c>
    </row>
    <row r="7" spans="1:51" ht="23.25" hidden="1" customHeight="1">
      <c r="A7" s="1281"/>
      <c r="B7" s="1281"/>
      <c r="C7" s="1281"/>
      <c r="D7" s="1281"/>
      <c r="E7" s="2643"/>
      <c r="F7" s="2643"/>
      <c r="G7" s="2643"/>
      <c r="H7" s="2643"/>
      <c r="I7" s="2645"/>
      <c r="J7" s="2645"/>
      <c r="K7" s="2644" t="e">
        <f>J6&amp;".1"</f>
        <v>#N/A</v>
      </c>
      <c r="L7" s="1282"/>
      <c r="P7" s="2646"/>
      <c r="Q7" s="2646"/>
      <c r="R7" s="293">
        <v>1</v>
      </c>
      <c r="S7" s="1411" t="e">
        <f>$K7</f>
        <v>#N/A</v>
      </c>
      <c r="T7" s="1355"/>
      <c r="U7" s="237"/>
      <c r="V7" s="687"/>
      <c r="W7" s="687"/>
      <c r="X7" s="687"/>
      <c r="Y7" s="687"/>
      <c r="Z7" s="687"/>
      <c r="AA7" s="687"/>
      <c r="AB7" s="687"/>
      <c r="AC7" s="2647"/>
      <c r="AD7" s="2524" t="s">
        <v>65</v>
      </c>
      <c r="AE7" s="2647"/>
      <c r="AF7" s="2524" t="s">
        <v>65</v>
      </c>
      <c r="AG7" s="687"/>
      <c r="AH7" s="687"/>
      <c r="AI7" s="687"/>
      <c r="AJ7" s="687"/>
      <c r="AK7" s="687"/>
      <c r="AL7" s="687"/>
      <c r="AM7" s="687"/>
      <c r="AN7" s="2647"/>
      <c r="AO7" s="2524" t="s">
        <v>65</v>
      </c>
      <c r="AP7" s="2649"/>
      <c r="AQ7" s="2524" t="s">
        <v>65</v>
      </c>
      <c r="AR7" s="1356"/>
      <c r="AS7"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643"/>
      <c r="F8" s="2643"/>
      <c r="G8" s="2643"/>
      <c r="H8" s="2643"/>
      <c r="I8" s="2645"/>
      <c r="J8" s="2645"/>
      <c r="K8" s="2644"/>
      <c r="L8" s="1282"/>
      <c r="P8" s="2646"/>
      <c r="Q8" s="2646"/>
      <c r="R8" s="293"/>
      <c r="S8" s="1408"/>
      <c r="T8" s="237"/>
      <c r="U8" s="237"/>
      <c r="V8" s="262"/>
      <c r="W8" s="262"/>
      <c r="X8" s="262"/>
      <c r="Y8" s="262"/>
      <c r="Z8" s="262"/>
      <c r="AA8" s="262"/>
      <c r="AB8" s="262"/>
      <c r="AC8" s="2648"/>
      <c r="AD8" s="2524"/>
      <c r="AE8" s="2648"/>
      <c r="AF8" s="2524"/>
      <c r="AG8" s="262"/>
      <c r="AH8" s="262"/>
      <c r="AI8" s="262"/>
      <c r="AJ8" s="262"/>
      <c r="AK8" s="262"/>
      <c r="AL8" s="262"/>
      <c r="AM8" s="262"/>
      <c r="AN8" s="2648"/>
      <c r="AO8" s="2524"/>
      <c r="AP8" s="2650"/>
      <c r="AQ8" s="2524"/>
      <c r="AR8" s="1357"/>
      <c r="AS8" s="2716"/>
      <c r="AU8" s="436"/>
      <c r="AV8" s="436" t="str">
        <f t="shared" si="0"/>
        <v/>
      </c>
      <c r="AW8" s="436"/>
      <c r="AX8" s="436"/>
      <c r="AY8" s="1073">
        <v>0</v>
      </c>
    </row>
    <row r="9" spans="1:51" ht="21" hidden="1" customHeight="1">
      <c r="A9" s="1281"/>
      <c r="B9" s="1281"/>
      <c r="C9" s="1281"/>
      <c r="D9" s="1281"/>
      <c r="E9" s="2643"/>
      <c r="F9" s="2643"/>
      <c r="G9" s="2643"/>
      <c r="H9" s="2643"/>
      <c r="I9" s="2645"/>
      <c r="J9" s="2644"/>
      <c r="K9" s="1281"/>
      <c r="L9" s="1282"/>
      <c r="P9" s="2646"/>
      <c r="Q9" s="2646"/>
      <c r="R9" s="292"/>
      <c r="S9" s="1196"/>
      <c r="T9" s="224" t="s">
        <v>477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6" t="s">
        <v>478</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643"/>
      <c r="F10" s="2643"/>
      <c r="G10" s="2643"/>
      <c r="H10" s="2643"/>
      <c r="I10" s="2644"/>
      <c r="J10" s="1281"/>
      <c r="K10" s="1281"/>
      <c r="L10" s="1282"/>
      <c r="P10" s="2646"/>
      <c r="Q10" s="1399"/>
      <c r="R10" s="292"/>
      <c r="S10" s="1196"/>
      <c r="T10" s="301" t="s">
        <v>403</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2643"/>
      <c r="F11" s="2643"/>
      <c r="G11" s="2643"/>
      <c r="H11" s="2642"/>
      <c r="I11" s="1281"/>
      <c r="J11" s="1281"/>
      <c r="K11" s="1281"/>
      <c r="L11" s="1282"/>
      <c r="M11" s="1283"/>
      <c r="N11" s="1283"/>
      <c r="O11" s="473"/>
      <c r="P11" s="296"/>
      <c r="Q11" s="311"/>
      <c r="R11" s="291"/>
      <c r="S11" s="1196"/>
      <c r="T11" s="308" t="s">
        <v>479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407" customFormat="1" ht="14.25" hidden="1" customHeight="1">
      <c r="A12" s="1261"/>
      <c r="B12" s="1261"/>
      <c r="C12" s="1232"/>
      <c r="D12" s="1232"/>
      <c r="E12" s="2643"/>
      <c r="F12" s="2642"/>
      <c r="G12" s="1232"/>
      <c r="H12" s="1232"/>
      <c r="I12" s="1232"/>
      <c r="J12" s="1232"/>
      <c r="K12" s="1232"/>
      <c r="L12" s="1412"/>
      <c r="M12" s="1239"/>
      <c r="N12" s="1239"/>
      <c r="P12" s="1234"/>
      <c r="Q12" s="1235"/>
      <c r="R12" s="1234"/>
      <c r="S12" s="1240"/>
      <c r="T12" s="1243" t="s">
        <v>406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407" customFormat="1" ht="14.25" hidden="1" customHeight="1">
      <c r="A13" s="1261"/>
      <c r="B13" s="1261"/>
      <c r="C13" s="1261"/>
      <c r="D13" s="1261"/>
      <c r="E13" s="2642"/>
      <c r="F13" s="1261"/>
      <c r="G13" s="1261"/>
      <c r="H13" s="1261"/>
      <c r="I13" s="1261"/>
      <c r="J13" s="1261"/>
      <c r="K13" s="1261"/>
      <c r="L13" s="1264"/>
      <c r="M13" s="1239"/>
      <c r="N13" s="1239"/>
      <c r="O13" s="454"/>
      <c r="P13" s="316"/>
      <c r="Q13" s="1262"/>
      <c r="R13" s="316"/>
      <c r="S13" s="1240"/>
      <c r="T13" s="1243" t="s">
        <v>407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8"/>
      <c r="AN15" s="2640"/>
      <c r="AO15" s="2639" t="s">
        <v>65</v>
      </c>
      <c r="AP15" s="2640"/>
      <c r="AQ15" s="2639" t="s">
        <v>65</v>
      </c>
      <c r="AY15" s="1073">
        <v>0</v>
      </c>
    </row>
    <row r="16" spans="1:51" ht="14.25" hidden="1" customHeight="1">
      <c r="AG16" s="1278"/>
      <c r="AH16" s="1278"/>
      <c r="AI16" s="1278"/>
      <c r="AJ16" s="1278"/>
      <c r="AK16" s="1278"/>
      <c r="AL16" s="1278"/>
      <c r="AM16" s="1278"/>
      <c r="AN16" s="2639"/>
      <c r="AO16" s="2639"/>
      <c r="AP16" s="2639"/>
      <c r="AQ16" s="2639"/>
      <c r="AY16" s="1073">
        <v>0</v>
      </c>
    </row>
    <row r="17" spans="1:51" ht="14.25" hidden="1" customHeight="1">
      <c r="AQ17" s="264"/>
      <c r="AY17" s="1073">
        <v>0</v>
      </c>
    </row>
    <row r="18" spans="1:51" s="2406" customFormat="1" ht="22.5" hidden="1" customHeight="1">
      <c r="L18" s="1396"/>
      <c r="M18" s="1280"/>
      <c r="N18" s="1280"/>
      <c r="O18" s="1285" t="s">
        <v>408</v>
      </c>
      <c r="P18" s="1280"/>
      <c r="Q18" s="1289"/>
      <c r="R18" s="1289"/>
      <c r="S18" s="665"/>
      <c r="W18" s="1284"/>
      <c r="X18" s="1284"/>
      <c r="Y18" s="1284"/>
      <c r="Z18" s="1284"/>
      <c r="AA18" s="1284"/>
      <c r="AB18" s="1284"/>
      <c r="AC18" s="1285"/>
      <c r="AE18" s="1285"/>
      <c r="AF18" s="1284"/>
      <c r="AH18" s="1284"/>
      <c r="AI18" s="1284"/>
      <c r="AJ18" s="1284"/>
      <c r="AK18" s="1284"/>
      <c r="AL18" s="1284"/>
      <c r="AN18" s="1285"/>
      <c r="AP18" s="1285"/>
      <c r="AQ18" s="1284"/>
      <c r="AT18" s="447"/>
      <c r="AU18" s="447"/>
      <c r="AV18" s="447"/>
      <c r="AW18" s="447"/>
      <c r="AX18" s="447"/>
      <c r="AY18" s="1078">
        <v>0</v>
      </c>
    </row>
    <row r="19" spans="1:51" s="2406" customFormat="1" ht="14.25" hidden="1" customHeight="1">
      <c r="L19" s="1396"/>
      <c r="M19" s="1280"/>
      <c r="N19" s="1280"/>
      <c r="O19" s="1280"/>
      <c r="P19" s="1280"/>
      <c r="Q19" s="1289"/>
      <c r="R19" s="1289"/>
      <c r="S19" s="665"/>
      <c r="W19" s="1284"/>
      <c r="X19" s="1284"/>
      <c r="Y19" s="1284"/>
      <c r="Z19" s="1284"/>
      <c r="AA19" s="1284"/>
      <c r="AB19" s="1284"/>
      <c r="AF19" s="1284"/>
      <c r="AH19" s="1284"/>
      <c r="AI19" s="1284"/>
      <c r="AJ19" s="1284"/>
      <c r="AK19" s="1284"/>
      <c r="AL19" s="1284"/>
      <c r="AQ19" s="1284"/>
      <c r="AT19" s="447"/>
      <c r="AU19" s="447"/>
      <c r="AV19" s="447"/>
      <c r="AW19" s="447"/>
      <c r="AX19" s="447"/>
      <c r="AY19" s="1078">
        <v>0</v>
      </c>
    </row>
    <row r="20" spans="1:51" s="2406" customFormat="1" ht="12" hidden="1" customHeight="1">
      <c r="L20" s="1396"/>
      <c r="M20" s="1280"/>
      <c r="N20" s="1280"/>
      <c r="O20" s="1282" t="s">
        <v>409</v>
      </c>
      <c r="P20" s="1280"/>
      <c r="Q20" s="1360"/>
      <c r="R20" s="1360"/>
      <c r="S20" s="665"/>
      <c r="T20" s="1078" t="s">
        <v>410</v>
      </c>
      <c r="W20" s="1284"/>
      <c r="X20" s="1284"/>
      <c r="Y20" s="1284"/>
      <c r="Z20" s="1284"/>
      <c r="AA20" s="1284"/>
      <c r="AB20" s="1284"/>
      <c r="AD20" s="123" t="s">
        <v>411</v>
      </c>
      <c r="AF20" s="123" t="s">
        <v>412</v>
      </c>
      <c r="AG20" s="1078" t="s">
        <v>410</v>
      </c>
      <c r="AH20" s="1284"/>
      <c r="AI20" s="1284"/>
      <c r="AJ20" s="1284"/>
      <c r="AK20" s="1284"/>
      <c r="AL20" s="1284"/>
      <c r="AO20" s="123" t="s">
        <v>413</v>
      </c>
      <c r="AQ20" s="123" t="s">
        <v>412</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1553"/>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262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23"/>
      <c r="U24" s="2623"/>
      <c r="V24" s="2623"/>
      <c r="W24" s="2623"/>
      <c r="X24" s="2623"/>
      <c r="Y24" s="2623"/>
      <c r="Z24" s="2623"/>
      <c r="AA24" s="2623"/>
      <c r="AB24" s="2623"/>
      <c r="AC24" s="2623"/>
      <c r="AD24" s="2623"/>
      <c r="AE24" s="2623"/>
      <c r="AF24" s="2623"/>
      <c r="AG24" s="2623"/>
      <c r="AH24" s="2623"/>
      <c r="AI24" s="2623"/>
      <c r="AJ24" s="2623"/>
      <c r="AK24" s="2623"/>
      <c r="AL24" s="2623"/>
      <c r="AM24" s="2623"/>
      <c r="AN24" s="2623"/>
      <c r="AO24" s="2623"/>
      <c r="AP24" s="2623"/>
      <c r="AQ24" s="1161"/>
      <c r="AY24" s="1073">
        <v>25</v>
      </c>
    </row>
    <row r="25" spans="1:51" ht="14.65" customHeight="1">
      <c r="Q25" s="312"/>
      <c r="R25" s="312"/>
      <c r="S25" s="2595" t="str">
        <f>IF(org=0,"Не определено",org)</f>
        <v>ПАО "ТГК-1" (филиал "Кольский")</v>
      </c>
      <c r="T25" s="2595"/>
      <c r="U25" s="2595"/>
      <c r="V25" s="2595"/>
      <c r="W25" s="2595"/>
      <c r="X25" s="2595"/>
      <c r="Y25" s="2595"/>
      <c r="Z25" s="2595"/>
      <c r="AA25" s="2595"/>
      <c r="AB25" s="2595"/>
      <c r="AC25" s="2595"/>
      <c r="AD25" s="2595"/>
      <c r="AE25" s="2595"/>
      <c r="AF25" s="2595"/>
      <c r="AG25" s="2595"/>
      <c r="AH25" s="2595"/>
      <c r="AI25" s="2595"/>
      <c r="AJ25" s="2595"/>
      <c r="AK25" s="2595"/>
      <c r="AL25" s="2595"/>
      <c r="AM25" s="2595"/>
      <c r="AN25" s="2595"/>
      <c r="AO25" s="2595"/>
      <c r="AP25" s="2595"/>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416" customFormat="1" ht="25.5" hidden="1" customHeight="1">
      <c r="A27" s="1286"/>
      <c r="B27" s="1286"/>
      <c r="C27" s="1286"/>
      <c r="D27" s="1286"/>
      <c r="E27" s="1286"/>
      <c r="F27" s="1286"/>
      <c r="G27" s="1286"/>
      <c r="H27" s="1286"/>
      <c r="I27" s="1286"/>
      <c r="J27" s="1286"/>
      <c r="K27" s="1286"/>
      <c r="L27" s="1287"/>
      <c r="M27" s="1286"/>
      <c r="N27" s="1286"/>
      <c r="O27" s="1286"/>
      <c r="S27" s="2633" t="s">
        <v>41</v>
      </c>
      <c r="T27" s="2633"/>
      <c r="U27" s="1290"/>
      <c r="V27" s="2635" t="str">
        <f>IF(TITLE_NAME_OR_PR_CHANGE="",IF(TITLE_NAME_OR_PR="","",TITLE_NAME_OR_PR),TITLE_NAME_OR_PR_CHANGE)</f>
        <v/>
      </c>
      <c r="W27" s="2635"/>
      <c r="X27" s="2635"/>
      <c r="Y27" s="2635"/>
      <c r="Z27" s="2635"/>
      <c r="AA27" s="2635"/>
      <c r="AB27" s="2635"/>
      <c r="AC27" s="2635"/>
      <c r="AD27" s="2635"/>
      <c r="AE27" s="2635"/>
      <c r="AF27" s="263"/>
      <c r="AG27" s="2635" t="str">
        <f>IF(TITLE_NAME_OR_PR_CHANGE="",IF(TITLE_NAME_OR_PR="","",TITLE_NAME_OR_PR),TITLE_NAME_OR_PR_CHANGE)</f>
        <v/>
      </c>
      <c r="AH27" s="2635"/>
      <c r="AI27" s="2635"/>
      <c r="AJ27" s="2635"/>
      <c r="AK27" s="2635"/>
      <c r="AL27" s="2635"/>
      <c r="AM27" s="2635"/>
      <c r="AN27" s="2635"/>
      <c r="AO27" s="2635"/>
      <c r="AP27" s="2635"/>
      <c r="AQ27" s="263"/>
      <c r="AR27" s="263"/>
      <c r="AS27" s="217"/>
      <c r="AT27" s="304"/>
      <c r="AU27" s="304"/>
      <c r="AV27" s="304"/>
      <c r="AW27" s="304"/>
      <c r="AX27" s="304"/>
      <c r="AY27" s="354">
        <v>0</v>
      </c>
    </row>
    <row r="28" spans="1:51" s="2416" customFormat="1" ht="18.75" hidden="1" customHeight="1">
      <c r="A28" s="1286"/>
      <c r="B28" s="1286"/>
      <c r="C28" s="1286"/>
      <c r="D28" s="1286"/>
      <c r="E28" s="1286"/>
      <c r="F28" s="1286"/>
      <c r="G28" s="1286"/>
      <c r="H28" s="1286"/>
      <c r="I28" s="1286"/>
      <c r="J28" s="1286"/>
      <c r="K28" s="1286"/>
      <c r="L28" s="1287"/>
      <c r="M28" s="1286"/>
      <c r="N28" s="1286"/>
      <c r="O28" s="1286"/>
      <c r="S28" s="2633" t="s">
        <v>414</v>
      </c>
      <c r="T28" s="2633"/>
      <c r="U28" s="1290"/>
      <c r="V28" s="2634" t="str">
        <f>IF(TITLE_DATE_PR_CHANGE="",IF(TITLE_DATE_PR="","",TITLE_DATE_PR),TITLE_DATE_PR_CHANGE)</f>
        <v/>
      </c>
      <c r="W28" s="2634"/>
      <c r="X28" s="2634"/>
      <c r="Y28" s="2634"/>
      <c r="Z28" s="2634"/>
      <c r="AA28" s="2634"/>
      <c r="AB28" s="2634"/>
      <c r="AC28" s="2634"/>
      <c r="AD28" s="2634"/>
      <c r="AE28" s="2634"/>
      <c r="AF28" s="263"/>
      <c r="AG28" s="2634" t="str">
        <f>IF(TITLE_DATE_PR_CHANGE="",IF(TITLE_DATE_PR="","",TITLE_DATE_PR),TITLE_DATE_PR_CHANGE)</f>
        <v/>
      </c>
      <c r="AH28" s="2634"/>
      <c r="AI28" s="2634"/>
      <c r="AJ28" s="2634"/>
      <c r="AK28" s="2634"/>
      <c r="AL28" s="2634"/>
      <c r="AM28" s="2634"/>
      <c r="AN28" s="2634"/>
      <c r="AO28" s="2634"/>
      <c r="AP28" s="2634"/>
      <c r="AQ28" s="263"/>
      <c r="AR28" s="263"/>
      <c r="AS28" s="217"/>
      <c r="AT28" s="304"/>
      <c r="AU28" s="304"/>
      <c r="AV28" s="304"/>
      <c r="AW28" s="304"/>
      <c r="AX28" s="304"/>
      <c r="AY28" s="354">
        <v>0</v>
      </c>
    </row>
    <row r="29" spans="1:51" s="2416" customFormat="1" ht="18.75" hidden="1" customHeight="1">
      <c r="A29" s="1286"/>
      <c r="B29" s="1286"/>
      <c r="C29" s="1286"/>
      <c r="D29" s="1286"/>
      <c r="E29" s="1286"/>
      <c r="F29" s="1286"/>
      <c r="G29" s="1286"/>
      <c r="H29" s="1286"/>
      <c r="I29" s="1286"/>
      <c r="J29" s="1286"/>
      <c r="K29" s="1286"/>
      <c r="L29" s="1287"/>
      <c r="M29" s="1286"/>
      <c r="N29" s="1286"/>
      <c r="O29" s="1286"/>
      <c r="S29" s="2633" t="s">
        <v>415</v>
      </c>
      <c r="T29" s="2633"/>
      <c r="U29" s="1290"/>
      <c r="V29" s="2635" t="str">
        <f>IF(TITLE_NUMBER_PR_CHANGE="",IF(TITLE_NUMBER_PR="","",TITLE_NUMBER_PR),TITLE_NUMBER_PR_CHANGE)</f>
        <v/>
      </c>
      <c r="W29" s="2635"/>
      <c r="X29" s="2635"/>
      <c r="Y29" s="2635"/>
      <c r="Z29" s="2635"/>
      <c r="AA29" s="2635"/>
      <c r="AB29" s="2635"/>
      <c r="AC29" s="2635"/>
      <c r="AD29" s="2635"/>
      <c r="AE29" s="2635"/>
      <c r="AF29" s="263"/>
      <c r="AG29" s="2635" t="str">
        <f>IF(TITLE_NUMBER_PR_CHANGE="",IF(TITLE_NUMBER_PR="","",TITLE_NUMBER_PR),TITLE_NUMBER_PR_CHANGE)</f>
        <v/>
      </c>
      <c r="AH29" s="2635"/>
      <c r="AI29" s="2635"/>
      <c r="AJ29" s="2635"/>
      <c r="AK29" s="2635"/>
      <c r="AL29" s="2635"/>
      <c r="AM29" s="2635"/>
      <c r="AN29" s="2635"/>
      <c r="AO29" s="2635"/>
      <c r="AP29" s="2635"/>
      <c r="AQ29" s="263"/>
      <c r="AR29" s="263"/>
      <c r="AS29" s="217"/>
      <c r="AT29" s="304"/>
      <c r="AU29" s="304"/>
      <c r="AV29" s="304"/>
      <c r="AW29" s="304"/>
      <c r="AX29" s="304"/>
      <c r="AY29" s="354">
        <v>0</v>
      </c>
    </row>
    <row r="30" spans="1:51" s="2416" customFormat="1" ht="18.75" hidden="1" customHeight="1">
      <c r="A30" s="1286"/>
      <c r="B30" s="1286"/>
      <c r="C30" s="1286"/>
      <c r="D30" s="1286"/>
      <c r="E30" s="1286"/>
      <c r="F30" s="1286"/>
      <c r="G30" s="1286"/>
      <c r="H30" s="1286"/>
      <c r="I30" s="1286"/>
      <c r="J30" s="1286"/>
      <c r="K30" s="1286"/>
      <c r="L30" s="1287"/>
      <c r="M30" s="1286"/>
      <c r="N30" s="1286"/>
      <c r="O30" s="1286"/>
      <c r="S30" s="2633" t="s">
        <v>42</v>
      </c>
      <c r="T30" s="2633"/>
      <c r="U30" s="1290"/>
      <c r="V30" s="2635" t="str">
        <f>IF(TITLE_IST_PUB_CHANGE="",IF(TITLE_IST_PUB="","",TITLE_IST_PUB),TITLE_IST_PUB_CHANGE)</f>
        <v/>
      </c>
      <c r="W30" s="2635"/>
      <c r="X30" s="2635"/>
      <c r="Y30" s="2635"/>
      <c r="Z30" s="2635"/>
      <c r="AA30" s="2635"/>
      <c r="AB30" s="2635"/>
      <c r="AC30" s="2635"/>
      <c r="AD30" s="2635"/>
      <c r="AE30" s="2635"/>
      <c r="AF30" s="263"/>
      <c r="AG30" s="2635" t="str">
        <f>IF(TITLE_IST_PUB_CHANGE="",IF(TITLE_IST_PUB="","",TITLE_IST_PUB),TITLE_IST_PUB_CHANGE)</f>
        <v/>
      </c>
      <c r="AH30" s="2635"/>
      <c r="AI30" s="2635"/>
      <c r="AJ30" s="2635"/>
      <c r="AK30" s="2635"/>
      <c r="AL30" s="2635"/>
      <c r="AM30" s="2635"/>
      <c r="AN30" s="2635"/>
      <c r="AO30" s="2635"/>
      <c r="AP30" s="2635"/>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416" customFormat="1" ht="18.75" hidden="1" customHeight="1">
      <c r="A32" s="1286"/>
      <c r="B32" s="1286"/>
      <c r="C32" s="1286"/>
      <c r="D32" s="1286"/>
      <c r="E32" s="1286"/>
      <c r="F32" s="1286"/>
      <c r="G32" s="1286"/>
      <c r="H32" s="1286"/>
      <c r="I32" s="1286"/>
      <c r="J32" s="1286"/>
      <c r="K32" s="1286"/>
      <c r="L32" s="1287"/>
      <c r="M32" s="1286"/>
      <c r="N32" s="1286"/>
      <c r="O32" s="1286"/>
      <c r="S32" s="2633" t="s">
        <v>416</v>
      </c>
      <c r="T32" s="2633"/>
      <c r="U32" s="1290"/>
      <c r="V32" s="2634" t="str">
        <f>IF(TITLE_DATE_PR_CHANGE="",IF(TITLE_DATE_PR="","",TITLE_DATE_PR),TITLE_DATE_PR_CHANGE)</f>
        <v/>
      </c>
      <c r="W32" s="2634"/>
      <c r="X32" s="2634"/>
      <c r="Y32" s="2634"/>
      <c r="Z32" s="2634"/>
      <c r="AA32" s="2634"/>
      <c r="AB32" s="2634"/>
      <c r="AC32" s="2634"/>
      <c r="AD32" s="2634"/>
      <c r="AE32" s="2634"/>
      <c r="AF32" s="263"/>
      <c r="AG32" s="2634" t="str">
        <f>IF(TITLE_DATE_PR_CHANGE="",IF(TITLE_DATE_PR="","",TITLE_DATE_PR),TITLE_DATE_PR_CHANGE)</f>
        <v/>
      </c>
      <c r="AH32" s="2634"/>
      <c r="AI32" s="2634"/>
      <c r="AJ32" s="2634"/>
      <c r="AK32" s="2634"/>
      <c r="AL32" s="2634"/>
      <c r="AM32" s="2634"/>
      <c r="AN32" s="2634"/>
      <c r="AO32" s="2634"/>
      <c r="AP32" s="2634"/>
      <c r="AQ32" s="263"/>
      <c r="AR32" s="263"/>
      <c r="AS32" s="217"/>
      <c r="AT32" s="304"/>
      <c r="AU32" s="304"/>
      <c r="AV32" s="304"/>
      <c r="AW32" s="304"/>
      <c r="AX32" s="304"/>
      <c r="AY32" s="354">
        <v>0</v>
      </c>
    </row>
    <row r="33" spans="1:51" s="2416" customFormat="1" ht="18.75" hidden="1" customHeight="1">
      <c r="A33" s="1286"/>
      <c r="B33" s="1286"/>
      <c r="C33" s="1286"/>
      <c r="D33" s="1286"/>
      <c r="E33" s="1286"/>
      <c r="F33" s="1286"/>
      <c r="G33" s="1286"/>
      <c r="H33" s="1286"/>
      <c r="I33" s="1286"/>
      <c r="J33" s="1286"/>
      <c r="K33" s="1286"/>
      <c r="L33" s="1287"/>
      <c r="M33" s="1286"/>
      <c r="N33" s="1286"/>
      <c r="O33" s="1286"/>
      <c r="S33" s="2633" t="s">
        <v>417</v>
      </c>
      <c r="T33" s="2633"/>
      <c r="U33" s="1290"/>
      <c r="V33" s="2635" t="str">
        <f>IF(TITLE_NUMBER_PR_CHANGE="",IF(TITLE_NUMBER_PR="","",TITLE_NUMBER_PR),TITLE_NUMBER_PR_CHANGE)</f>
        <v/>
      </c>
      <c r="W33" s="2635"/>
      <c r="X33" s="2635"/>
      <c r="Y33" s="2635"/>
      <c r="Z33" s="2635"/>
      <c r="AA33" s="2635"/>
      <c r="AB33" s="2635"/>
      <c r="AC33" s="2635"/>
      <c r="AD33" s="2635"/>
      <c r="AE33" s="2635"/>
      <c r="AF33" s="263"/>
      <c r="AG33" s="2635" t="str">
        <f>IF(TITLE_NUMBER_PR_CHANGE="",IF(TITLE_NUMBER_PR="","",TITLE_NUMBER_PR),TITLE_NUMBER_PR_CHANGE)</f>
        <v/>
      </c>
      <c r="AH33" s="2635"/>
      <c r="AI33" s="2635"/>
      <c r="AJ33" s="2635"/>
      <c r="AK33" s="2635"/>
      <c r="AL33" s="2635"/>
      <c r="AM33" s="2635"/>
      <c r="AN33" s="2635"/>
      <c r="AO33" s="2635"/>
      <c r="AP33" s="2635"/>
      <c r="AQ33" s="263"/>
      <c r="AR33" s="263"/>
      <c r="AS33" s="217"/>
      <c r="AT33" s="304"/>
      <c r="AU33" s="304"/>
      <c r="AV33" s="304"/>
      <c r="AW33" s="304"/>
      <c r="AX33" s="304"/>
      <c r="AY33" s="354">
        <v>0</v>
      </c>
    </row>
    <row r="34" spans="1:51" s="2416"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1553"/>
      <c r="AC34" s="263"/>
      <c r="AD34" s="263"/>
      <c r="AE34" s="263"/>
      <c r="AF34" s="215" t="s">
        <v>418</v>
      </c>
      <c r="AG34" s="263"/>
      <c r="AH34" s="1553"/>
      <c r="AI34" s="1553"/>
      <c r="AJ34" s="1553"/>
      <c r="AK34" s="1553"/>
      <c r="AL34" s="1553"/>
      <c r="AM34" s="263"/>
      <c r="AN34" s="263"/>
      <c r="AO34" s="263"/>
      <c r="AP34" s="263"/>
      <c r="AQ34" s="215" t="s">
        <v>418</v>
      </c>
      <c r="AT34" s="304"/>
      <c r="AU34" s="304"/>
      <c r="AV34" s="304"/>
      <c r="AW34" s="304"/>
      <c r="AX34" s="304"/>
      <c r="AY34" s="354">
        <v>1</v>
      </c>
    </row>
    <row r="35" spans="1:51" ht="14.65" customHeight="1">
      <c r="Q35" s="312"/>
      <c r="R35" s="312"/>
      <c r="S35" s="1193"/>
      <c r="T35" s="299"/>
      <c r="U35" s="1162"/>
      <c r="V35" s="2654"/>
      <c r="W35" s="2654"/>
      <c r="X35" s="2654"/>
      <c r="Y35" s="2654"/>
      <c r="Z35" s="2654"/>
      <c r="AA35" s="2654"/>
      <c r="AB35" s="2654"/>
      <c r="AC35" s="2654"/>
      <c r="AD35" s="2654"/>
      <c r="AE35" s="2654"/>
      <c r="AF35" s="2654"/>
      <c r="AG35" s="2654"/>
      <c r="AH35" s="2654"/>
      <c r="AI35" s="2654"/>
      <c r="AJ35" s="2654"/>
      <c r="AK35" s="2654"/>
      <c r="AL35" s="2654"/>
      <c r="AM35" s="2654"/>
      <c r="AN35" s="2654"/>
      <c r="AO35" s="2654"/>
      <c r="AP35" s="2654"/>
      <c r="AQ35" s="2654"/>
      <c r="AY35" s="1073">
        <v>14</v>
      </c>
    </row>
    <row r="36" spans="1:51" ht="14.65" customHeight="1">
      <c r="Q36" s="312"/>
      <c r="R36" s="312"/>
      <c r="S36" s="2514" t="s">
        <v>291</v>
      </c>
      <c r="T36" s="2514"/>
      <c r="U36" s="2514"/>
      <c r="V36" s="2514"/>
      <c r="W36" s="2514"/>
      <c r="X36" s="2514"/>
      <c r="Y36" s="2514"/>
      <c r="Z36" s="2514"/>
      <c r="AA36" s="2514"/>
      <c r="AB36" s="2514"/>
      <c r="AC36" s="2514"/>
      <c r="AD36" s="2514"/>
      <c r="AE36" s="2514"/>
      <c r="AF36" s="2514"/>
      <c r="AG36" s="2514"/>
      <c r="AH36" s="2514"/>
      <c r="AI36" s="2514"/>
      <c r="AJ36" s="2514"/>
      <c r="AK36" s="2514"/>
      <c r="AL36" s="2514"/>
      <c r="AM36" s="2514"/>
      <c r="AN36" s="2514"/>
      <c r="AO36" s="2514"/>
      <c r="AP36" s="2514"/>
      <c r="AQ36" s="2514"/>
      <c r="AR36" s="2514"/>
      <c r="AS36" s="2514" t="s">
        <v>292</v>
      </c>
      <c r="AY36" s="1073">
        <v>14</v>
      </c>
    </row>
    <row r="37" spans="1:51" ht="14.65" customHeight="1">
      <c r="Q37" s="312"/>
      <c r="R37" s="312"/>
      <c r="S37" s="2655" t="s">
        <v>84</v>
      </c>
      <c r="T37" s="2603" t="s">
        <v>419</v>
      </c>
      <c r="U37" s="238"/>
      <c r="V37" s="2656" t="s">
        <v>420</v>
      </c>
      <c r="W37" s="2672"/>
      <c r="X37" s="2672"/>
      <c r="Y37" s="2672"/>
      <c r="Z37" s="2672"/>
      <c r="AA37" s="2672"/>
      <c r="AB37" s="2672"/>
      <c r="AC37" s="2657"/>
      <c r="AD37" s="2657"/>
      <c r="AE37" s="2658"/>
      <c r="AF37" s="2659" t="s">
        <v>421</v>
      </c>
      <c r="AG37" s="2656" t="s">
        <v>420</v>
      </c>
      <c r="AH37" s="2657"/>
      <c r="AI37" s="2657"/>
      <c r="AJ37" s="2657"/>
      <c r="AK37" s="2657"/>
      <c r="AL37" s="2657"/>
      <c r="AM37" s="2657"/>
      <c r="AN37" s="2657"/>
      <c r="AO37" s="2657"/>
      <c r="AP37" s="2658"/>
      <c r="AQ37" s="2659" t="s">
        <v>422</v>
      </c>
      <c r="AR37" s="2662" t="s">
        <v>423</v>
      </c>
      <c r="AS37" s="2514"/>
      <c r="AY37" s="1073">
        <v>14</v>
      </c>
    </row>
    <row r="38" spans="1:51" ht="19.899999999999999" customHeight="1">
      <c r="Q38" s="312"/>
      <c r="R38" s="312"/>
      <c r="S38" s="2655"/>
      <c r="T38" s="2603"/>
      <c r="U38" s="954"/>
      <c r="V38" s="2514" t="s">
        <v>523</v>
      </c>
      <c r="W38" s="2726" t="s">
        <v>524</v>
      </c>
      <c r="X38" s="2726"/>
      <c r="Y38" s="2726"/>
      <c r="Z38" s="2726" t="s">
        <v>525</v>
      </c>
      <c r="AA38" s="2726"/>
      <c r="AB38" s="2726"/>
      <c r="AC38" s="2574" t="s">
        <v>427</v>
      </c>
      <c r="AD38" s="2684"/>
      <c r="AE38" s="2575"/>
      <c r="AF38" s="2660"/>
      <c r="AG38" s="2514" t="s">
        <v>523</v>
      </c>
      <c r="AH38" s="2726" t="s">
        <v>524</v>
      </c>
      <c r="AI38" s="2726"/>
      <c r="AJ38" s="2726"/>
      <c r="AK38" s="2726" t="s">
        <v>525</v>
      </c>
      <c r="AL38" s="2726"/>
      <c r="AM38" s="2726"/>
      <c r="AN38" s="2574" t="s">
        <v>427</v>
      </c>
      <c r="AO38" s="2684"/>
      <c r="AP38" s="2575"/>
      <c r="AQ38" s="2660"/>
      <c r="AR38" s="2663"/>
      <c r="AS38" s="2514"/>
      <c r="AY38" s="1073">
        <v>19</v>
      </c>
    </row>
    <row r="39" spans="1:51" s="2400" customFormat="1" ht="19.899999999999999" customHeight="1">
      <c r="A39" s="1284"/>
      <c r="B39" s="1284"/>
      <c r="C39" s="1284"/>
      <c r="D39" s="1284"/>
      <c r="E39" s="1284"/>
      <c r="F39" s="1284"/>
      <c r="G39" s="1284"/>
      <c r="H39" s="1284"/>
      <c r="I39" s="1284"/>
      <c r="J39" s="1284"/>
      <c r="K39" s="1284"/>
      <c r="L39" s="1863"/>
      <c r="M39" s="1280"/>
      <c r="N39" s="1280"/>
      <c r="O39" s="1280"/>
      <c r="P39" s="1877"/>
      <c r="Q39" s="312"/>
      <c r="R39" s="312"/>
      <c r="S39" s="2655"/>
      <c r="T39" s="2603"/>
      <c r="U39" s="954"/>
      <c r="V39" s="2514"/>
      <c r="W39" s="2726" t="s">
        <v>526</v>
      </c>
      <c r="X39" s="2726" t="s">
        <v>527</v>
      </c>
      <c r="Y39" s="2726"/>
      <c r="Z39" s="2726" t="s">
        <v>528</v>
      </c>
      <c r="AA39" s="2726" t="s">
        <v>527</v>
      </c>
      <c r="AB39" s="2726"/>
      <c r="AC39" s="2579"/>
      <c r="AD39" s="2685"/>
      <c r="AE39" s="2580"/>
      <c r="AF39" s="2660"/>
      <c r="AG39" s="2514"/>
      <c r="AH39" s="2726" t="s">
        <v>526</v>
      </c>
      <c r="AI39" s="2726" t="s">
        <v>527</v>
      </c>
      <c r="AJ39" s="2726"/>
      <c r="AK39" s="2726" t="s">
        <v>528</v>
      </c>
      <c r="AL39" s="2726" t="s">
        <v>527</v>
      </c>
      <c r="AM39" s="2726"/>
      <c r="AN39" s="2579"/>
      <c r="AO39" s="2685"/>
      <c r="AP39" s="2580"/>
      <c r="AQ39" s="2660"/>
      <c r="AR39" s="2663"/>
      <c r="AS39" s="2514"/>
      <c r="AT39" s="1554"/>
      <c r="AU39" s="1554"/>
      <c r="AV39" s="1554"/>
      <c r="AW39" s="1554"/>
      <c r="AX39" s="1554"/>
      <c r="AY39" s="1549">
        <v>19</v>
      </c>
    </row>
    <row r="40" spans="1:51" ht="61.9" customHeight="1">
      <c r="A40" s="1288"/>
      <c r="B40" s="1288" t="s">
        <v>128</v>
      </c>
      <c r="C40" s="1288" t="s">
        <v>129</v>
      </c>
      <c r="D40" s="1288" t="s">
        <v>130</v>
      </c>
      <c r="E40" s="1282" t="s">
        <v>428</v>
      </c>
      <c r="F40" s="1282" t="s">
        <v>429</v>
      </c>
      <c r="G40" s="1282" t="s">
        <v>430</v>
      </c>
      <c r="H40" s="1282"/>
      <c r="I40" s="1282" t="s">
        <v>481</v>
      </c>
      <c r="J40" s="1282" t="s">
        <v>433</v>
      </c>
      <c r="K40" s="1282" t="s">
        <v>482</v>
      </c>
      <c r="L40" s="1282" t="s">
        <v>409</v>
      </c>
      <c r="Q40" s="312"/>
      <c r="R40" s="312"/>
      <c r="S40" s="2655"/>
      <c r="T40" s="2603"/>
      <c r="U40" s="239"/>
      <c r="V40" s="2514"/>
      <c r="W40" s="2726"/>
      <c r="X40" s="1895" t="s">
        <v>529</v>
      </c>
      <c r="Y40" s="1895" t="s">
        <v>530</v>
      </c>
      <c r="Z40" s="2726"/>
      <c r="AA40" s="1895" t="s">
        <v>531</v>
      </c>
      <c r="AB40" s="1895" t="s">
        <v>532</v>
      </c>
      <c r="AC40" s="1407" t="s">
        <v>437</v>
      </c>
      <c r="AD40" s="2608" t="s">
        <v>438</v>
      </c>
      <c r="AE40" s="2622"/>
      <c r="AF40" s="2661"/>
      <c r="AG40" s="2514"/>
      <c r="AH40" s="2726"/>
      <c r="AI40" s="1895" t="s">
        <v>529</v>
      </c>
      <c r="AJ40" s="1895" t="s">
        <v>530</v>
      </c>
      <c r="AK40" s="2726"/>
      <c r="AL40" s="1895" t="s">
        <v>531</v>
      </c>
      <c r="AM40" s="1895" t="s">
        <v>532</v>
      </c>
      <c r="AN40" s="1407" t="s">
        <v>437</v>
      </c>
      <c r="AO40" s="2608" t="s">
        <v>438</v>
      </c>
      <c r="AP40" s="2622"/>
      <c r="AQ40" s="2661"/>
      <c r="AR40" s="2664"/>
      <c r="AS40" s="2514"/>
      <c r="AY40" s="1073">
        <v>59</v>
      </c>
    </row>
    <row r="41" spans="1:51" s="243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102</v>
      </c>
      <c r="T41" s="1173" t="s">
        <v>103</v>
      </c>
      <c r="U41" s="1163" t="str">
        <f ca="1">OFFSET(U41,0,-1)</f>
        <v>2</v>
      </c>
      <c r="V41" s="1400">
        <f ca="1">OFFSET(V41,0,-1)+1</f>
        <v>3</v>
      </c>
      <c r="W41" s="1259"/>
      <c r="X41" s="1259"/>
      <c r="Y41" s="1259"/>
      <c r="Z41" s="1259"/>
      <c r="AA41" s="1259"/>
      <c r="AB41" s="1259"/>
      <c r="AC41" s="1400">
        <f ca="1">OFFSET(AC41,0,-1)+1</f>
        <v>1</v>
      </c>
      <c r="AD41" s="2653">
        <f ca="1">OFFSET(AD41,0,-1)+1</f>
        <v>2</v>
      </c>
      <c r="AE41" s="2653"/>
      <c r="AF41" s="1400">
        <f ca="1">OFFSET(AF41,0,-2)+1</f>
        <v>3</v>
      </c>
      <c r="AG41" s="1400">
        <f ca="1">OFFSET(AG41,0,-1)+1</f>
        <v>4</v>
      </c>
      <c r="AH41" s="1868"/>
      <c r="AI41" s="1868"/>
      <c r="AJ41" s="1868"/>
      <c r="AK41" s="1868"/>
      <c r="AL41" s="1868"/>
      <c r="AM41" s="1400">
        <f ca="1">OFFSET(AM41,0,-1)+1</f>
        <v>1</v>
      </c>
      <c r="AN41" s="1400">
        <f ca="1">OFFSET(AN41,0,-1)+1</f>
        <v>2</v>
      </c>
      <c r="AO41" s="2653">
        <f ca="1">OFFSET(AO41,0,-1)+1</f>
        <v>3</v>
      </c>
      <c r="AP41" s="2653"/>
      <c r="AQ41" s="1400">
        <f ca="1">OFFSET(AQ41,0,-2)+1</f>
        <v>4</v>
      </c>
      <c r="AR41" s="1163">
        <f ca="1">OFFSET(AR41,0,-1)</f>
        <v>4</v>
      </c>
      <c r="AS41" s="1400">
        <f ca="1">OFFSET(AS41,0,-1)+1</f>
        <v>5</v>
      </c>
      <c r="AT41" s="447"/>
      <c r="AU41" s="447"/>
      <c r="AV41" s="447"/>
      <c r="AW41" s="447"/>
      <c r="AX41" s="447"/>
      <c r="AY41" s="432">
        <v>0</v>
      </c>
    </row>
    <row r="42" spans="1:51" ht="24" customHeight="1">
      <c r="A42" s="1281" t="s">
        <v>242</v>
      </c>
      <c r="B42" s="1281"/>
      <c r="C42" s="1281"/>
      <c r="D42" s="1281"/>
      <c r="E42" s="2642">
        <v>1</v>
      </c>
      <c r="F42" s="1281"/>
      <c r="G42" s="1281"/>
      <c r="H42" s="1281"/>
      <c r="I42" s="1281"/>
      <c r="J42" s="1281"/>
      <c r="K42" s="1281"/>
      <c r="L42" s="1282"/>
      <c r="M42" s="1283"/>
      <c r="N42" s="1283"/>
      <c r="O42" s="1283"/>
      <c r="P42" s="297"/>
      <c r="Q42" s="296"/>
      <c r="R42" s="291"/>
      <c r="S42" s="1411">
        <f>INDEX(PT_DIFFERENTIATION_NUM_NTAR,MATCH(A42,PT_DIFFERENTIATION_NTAR_ID,0))</f>
        <v>0</v>
      </c>
      <c r="T42" s="235" t="s">
        <v>116</v>
      </c>
      <c r="U42" s="237"/>
      <c r="V42" s="2636"/>
      <c r="W42" s="2637"/>
      <c r="X42" s="2637"/>
      <c r="Y42" s="2637"/>
      <c r="Z42" s="2637"/>
      <c r="AA42" s="2637"/>
      <c r="AB42" s="2637"/>
      <c r="AC42" s="2637"/>
      <c r="AD42" s="2637"/>
      <c r="AE42" s="2637"/>
      <c r="AF42" s="2638"/>
      <c r="AG42" s="2636" t="str">
        <f>INDEX(PT_DIFFERENTIATION_NTAR,MATCH(A42,PT_DIFFERENTIATION_NTAR_ID,0))</f>
        <v/>
      </c>
      <c r="AH42" s="2637"/>
      <c r="AI42" s="2637"/>
      <c r="AJ42" s="2637"/>
      <c r="AK42" s="2637"/>
      <c r="AL42" s="2637"/>
      <c r="AM42" s="2637"/>
      <c r="AN42" s="2637"/>
      <c r="AO42" s="2637"/>
      <c r="AP42" s="2637"/>
      <c r="AQ42" s="2637"/>
      <c r="AR42" s="263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242</v>
      </c>
      <c r="B43" s="1281" t="s">
        <v>243</v>
      </c>
      <c r="C43" s="1281"/>
      <c r="D43" s="1281"/>
      <c r="E43" s="2643"/>
      <c r="F43" s="2642">
        <v>1</v>
      </c>
      <c r="G43" s="1281"/>
      <c r="H43" s="1281"/>
      <c r="I43" s="1281"/>
      <c r="J43" s="1281"/>
      <c r="K43" s="1281"/>
      <c r="L43" s="1282"/>
      <c r="M43" s="1283"/>
      <c r="N43" s="1283"/>
      <c r="O43" s="1283"/>
      <c r="P43" s="1405"/>
      <c r="Q43" s="288"/>
      <c r="R43" s="289"/>
      <c r="S43" s="1411" t="str">
        <f>INDEX(PT_DIFFERENTIATION_NUM_TER,MATCH(B43,PT_DIFFERENTIATION_TER_ID,0))</f>
        <v>.</v>
      </c>
      <c r="T43" s="245" t="s">
        <v>388</v>
      </c>
      <c r="U43" s="237"/>
      <c r="V43" s="2636"/>
      <c r="W43" s="2637"/>
      <c r="X43" s="2637"/>
      <c r="Y43" s="2637"/>
      <c r="Z43" s="2637"/>
      <c r="AA43" s="2637"/>
      <c r="AB43" s="2637"/>
      <c r="AC43" s="2637"/>
      <c r="AD43" s="2637"/>
      <c r="AE43" s="2637"/>
      <c r="AF43" s="2638"/>
      <c r="AG43" s="2636" t="str">
        <f>INDEX(PT_DIFFERENTIATION_TER,MATCH(B43,PT_DIFFERENTIATION_TER_ID,0))</f>
        <v/>
      </c>
      <c r="AH43" s="2637"/>
      <c r="AI43" s="2637"/>
      <c r="AJ43" s="2637"/>
      <c r="AK43" s="2637"/>
      <c r="AL43" s="2637"/>
      <c r="AM43" s="2637"/>
      <c r="AN43" s="2637"/>
      <c r="AO43" s="2637"/>
      <c r="AP43" s="2637"/>
      <c r="AQ43" s="2637"/>
      <c r="AR43" s="2638"/>
      <c r="AS43" s="1176" t="s">
        <v>389</v>
      </c>
      <c r="AU43" s="436"/>
      <c r="AV43" s="436" t="str">
        <f t="shared" si="1"/>
        <v>Территория действия тарифа</v>
      </c>
      <c r="AW43" s="436"/>
      <c r="AX43" s="436"/>
      <c r="AY43" s="1073">
        <v>23</v>
      </c>
    </row>
    <row r="44" spans="1:51" ht="24" customHeight="1">
      <c r="A44" s="1281" t="s">
        <v>242</v>
      </c>
      <c r="B44" s="1281" t="s">
        <v>243</v>
      </c>
      <c r="C44" s="1281" t="s">
        <v>244</v>
      </c>
      <c r="D44" s="1281"/>
      <c r="E44" s="2643"/>
      <c r="F44" s="2643"/>
      <c r="G44" s="2642">
        <v>1</v>
      </c>
      <c r="H44" s="1281"/>
      <c r="I44" s="1281"/>
      <c r="J44" s="1281"/>
      <c r="K44" s="1281"/>
      <c r="L44" s="1282"/>
      <c r="M44" s="1283"/>
      <c r="N44" s="1283"/>
      <c r="O44" s="1283"/>
      <c r="P44" s="290"/>
      <c r="Q44" s="288"/>
      <c r="R44" s="289"/>
      <c r="S44" s="1411" t="str">
        <f>INDEX(PT_DIFFERENTIATION_NUM_CS,MATCH(C44,PT_DIFFERENTIATION_CS_ID,0))</f>
        <v>..</v>
      </c>
      <c r="T44" s="246" t="s">
        <v>521</v>
      </c>
      <c r="U44" s="237"/>
      <c r="V44" s="2636"/>
      <c r="W44" s="2637"/>
      <c r="X44" s="2637"/>
      <c r="Y44" s="2637"/>
      <c r="Z44" s="2637"/>
      <c r="AA44" s="2637"/>
      <c r="AB44" s="2637"/>
      <c r="AC44" s="2637"/>
      <c r="AD44" s="2637"/>
      <c r="AE44" s="2637"/>
      <c r="AF44" s="2638"/>
      <c r="AG44" s="2636" t="str">
        <f>INDEX(PT_DIFFERENTIATION_CS,MATCH(C44,PT_DIFFERENTIATION_CS_ID,0))</f>
        <v/>
      </c>
      <c r="AH44" s="2637"/>
      <c r="AI44" s="2637"/>
      <c r="AJ44" s="2637"/>
      <c r="AK44" s="2637"/>
      <c r="AL44" s="2637"/>
      <c r="AM44" s="2637"/>
      <c r="AN44" s="2637"/>
      <c r="AO44" s="2637"/>
      <c r="AP44" s="2637"/>
      <c r="AQ44" s="2637"/>
      <c r="AR44" s="2638"/>
      <c r="AS44" s="1176" t="s">
        <v>522</v>
      </c>
      <c r="AU44" s="436"/>
      <c r="AV44" s="436" t="str">
        <f t="shared" si="1"/>
        <v>Наименование централизованной системы горячего водоснабжения</v>
      </c>
      <c r="AW44" s="436"/>
      <c r="AX44" s="436"/>
      <c r="AY44" s="1073">
        <v>23</v>
      </c>
    </row>
    <row r="45" spans="1:51" ht="24" customHeight="1">
      <c r="A45" s="1281" t="s">
        <v>242</v>
      </c>
      <c r="B45" s="1281" t="s">
        <v>243</v>
      </c>
      <c r="C45" s="1281" t="s">
        <v>244</v>
      </c>
      <c r="D45" s="1281" t="s">
        <v>533</v>
      </c>
      <c r="E45" s="2643"/>
      <c r="F45" s="2643"/>
      <c r="G45" s="2643"/>
      <c r="H45" s="2643"/>
      <c r="I45" s="2644" t="str">
        <f>S44&amp;".1"</f>
        <v>...1</v>
      </c>
      <c r="J45" s="1281"/>
      <c r="K45" s="1281"/>
      <c r="L45" s="1282"/>
      <c r="P45" s="2646">
        <v>1</v>
      </c>
      <c r="Q45" s="1399"/>
      <c r="R45" s="292"/>
      <c r="S45" s="1411" t="str">
        <f>$I45</f>
        <v>...1</v>
      </c>
      <c r="T45" s="222" t="s">
        <v>474</v>
      </c>
      <c r="U45" s="237"/>
      <c r="V45" s="2710"/>
      <c r="W45" s="2711"/>
      <c r="X45" s="2711"/>
      <c r="Y45" s="2711"/>
      <c r="Z45" s="2711"/>
      <c r="AA45" s="2711"/>
      <c r="AB45" s="2711"/>
      <c r="AC45" s="2711"/>
      <c r="AD45" s="2711"/>
      <c r="AE45" s="2711"/>
      <c r="AF45" s="2712"/>
      <c r="AG45" s="2713"/>
      <c r="AH45" s="2714"/>
      <c r="AI45" s="2714"/>
      <c r="AJ45" s="2714"/>
      <c r="AK45" s="2714"/>
      <c r="AL45" s="2714"/>
      <c r="AM45" s="2714"/>
      <c r="AN45" s="2714"/>
      <c r="AO45" s="2714"/>
      <c r="AP45" s="2714"/>
      <c r="AQ45" s="2714"/>
      <c r="AR45" s="2715"/>
      <c r="AS45" s="1176" t="s">
        <v>475</v>
      </c>
      <c r="AU45" s="436"/>
      <c r="AV45" s="436" t="str">
        <f t="shared" si="1"/>
        <v>Наименование признака дифференциации</v>
      </c>
      <c r="AW45" s="436"/>
      <c r="AX45" s="436"/>
      <c r="AY45" s="1073">
        <v>23</v>
      </c>
    </row>
    <row r="46" spans="1:51" ht="24" customHeight="1">
      <c r="A46" s="1281" t="s">
        <v>242</v>
      </c>
      <c r="B46" s="1281" t="s">
        <v>243</v>
      </c>
      <c r="C46" s="1281" t="s">
        <v>244</v>
      </c>
      <c r="D46" s="1281" t="s">
        <v>533</v>
      </c>
      <c r="E46" s="2643"/>
      <c r="F46" s="2643"/>
      <c r="G46" s="2643"/>
      <c r="H46" s="2643"/>
      <c r="I46" s="2645"/>
      <c r="J46" s="2644" t="str">
        <f>I45&amp;".1"</f>
        <v>...1.1</v>
      </c>
      <c r="K46" s="1281"/>
      <c r="L46" s="1282" t="s">
        <v>397</v>
      </c>
      <c r="P46" s="2646"/>
      <c r="Q46" s="2646">
        <v>1</v>
      </c>
      <c r="R46" s="293"/>
      <c r="S46" s="1411" t="str">
        <f>$J46</f>
        <v>...1.1</v>
      </c>
      <c r="T46" s="223" t="s">
        <v>398</v>
      </c>
      <c r="U46" s="237"/>
      <c r="V46" s="2630"/>
      <c r="W46" s="2631"/>
      <c r="X46" s="2631"/>
      <c r="Y46" s="2631"/>
      <c r="Z46" s="2631"/>
      <c r="AA46" s="2631"/>
      <c r="AB46" s="2631"/>
      <c r="AC46" s="2631"/>
      <c r="AD46" s="2631"/>
      <c r="AE46" s="2631"/>
      <c r="AF46" s="2632"/>
      <c r="AG46" s="2630"/>
      <c r="AH46" s="2631"/>
      <c r="AI46" s="2631"/>
      <c r="AJ46" s="2631"/>
      <c r="AK46" s="2631"/>
      <c r="AL46" s="2631"/>
      <c r="AM46" s="2631"/>
      <c r="AN46" s="2631"/>
      <c r="AO46" s="2631"/>
      <c r="AP46" s="2631"/>
      <c r="AQ46" s="2631"/>
      <c r="AR46" s="2632"/>
      <c r="AS46" s="1225" t="s">
        <v>476</v>
      </c>
      <c r="AU46" s="436"/>
      <c r="AV46" s="436" t="str">
        <f t="shared" si="1"/>
        <v>Группа потребителей</v>
      </c>
      <c r="AW46" s="436"/>
      <c r="AX46" s="436"/>
      <c r="AY46" s="1073">
        <v>23</v>
      </c>
    </row>
    <row r="47" spans="1:51" ht="24" customHeight="1">
      <c r="A47" s="1281" t="s">
        <v>242</v>
      </c>
      <c r="B47" s="1281" t="s">
        <v>243</v>
      </c>
      <c r="C47" s="1281" t="s">
        <v>244</v>
      </c>
      <c r="D47" s="1281" t="s">
        <v>533</v>
      </c>
      <c r="E47" s="2643"/>
      <c r="F47" s="2643"/>
      <c r="G47" s="2643"/>
      <c r="H47" s="2643"/>
      <c r="I47" s="2645"/>
      <c r="J47" s="2645"/>
      <c r="K47" s="2644" t="str">
        <f>J46&amp;".1"</f>
        <v>...1.1.1</v>
      </c>
      <c r="L47" s="1282"/>
      <c r="P47" s="2646"/>
      <c r="Q47" s="2646"/>
      <c r="R47" s="293">
        <v>1</v>
      </c>
      <c r="S47" s="1411" t="str">
        <f>$K47</f>
        <v>...1.1.1</v>
      </c>
      <c r="T47" s="1355"/>
      <c r="U47" s="237"/>
      <c r="V47" s="687"/>
      <c r="W47" s="687"/>
      <c r="X47" s="687"/>
      <c r="Y47" s="687"/>
      <c r="Z47" s="687"/>
      <c r="AA47" s="687"/>
      <c r="AB47" s="687"/>
      <c r="AC47" s="2640"/>
      <c r="AD47" s="2639" t="s">
        <v>65</v>
      </c>
      <c r="AE47" s="2640"/>
      <c r="AF47" s="2639" t="s">
        <v>65</v>
      </c>
      <c r="AG47" s="687"/>
      <c r="AH47" s="687"/>
      <c r="AI47" s="687"/>
      <c r="AJ47" s="687"/>
      <c r="AK47" s="687"/>
      <c r="AL47" s="687"/>
      <c r="AM47" s="687"/>
      <c r="AN47" s="2647"/>
      <c r="AO47" s="2524" t="s">
        <v>65</v>
      </c>
      <c r="AP47" s="2649"/>
      <c r="AQ47" s="2524" t="s">
        <v>19</v>
      </c>
      <c r="AR47" s="1356"/>
      <c r="AS47"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242</v>
      </c>
      <c r="B48" s="1281" t="s">
        <v>243</v>
      </c>
      <c r="C48" s="1281" t="s">
        <v>244</v>
      </c>
      <c r="D48" s="1281" t="s">
        <v>533</v>
      </c>
      <c r="E48" s="2643"/>
      <c r="F48" s="2643"/>
      <c r="G48" s="2643"/>
      <c r="H48" s="2643"/>
      <c r="I48" s="2645"/>
      <c r="J48" s="2645"/>
      <c r="K48" s="2644"/>
      <c r="L48" s="1282"/>
      <c r="P48" s="2646"/>
      <c r="Q48" s="2646"/>
      <c r="R48" s="293"/>
      <c r="S48" s="1408"/>
      <c r="T48" s="237"/>
      <c r="U48" s="237"/>
      <c r="V48" s="1278"/>
      <c r="W48" s="1278"/>
      <c r="X48" s="1278"/>
      <c r="Y48" s="1278"/>
      <c r="Z48" s="1278"/>
      <c r="AA48" s="1278"/>
      <c r="AB48" s="1278"/>
      <c r="AC48" s="2639"/>
      <c r="AD48" s="2639"/>
      <c r="AE48" s="2639"/>
      <c r="AF48" s="2639"/>
      <c r="AG48" s="262"/>
      <c r="AH48" s="262"/>
      <c r="AI48" s="262"/>
      <c r="AJ48" s="262"/>
      <c r="AK48" s="262"/>
      <c r="AL48" s="262"/>
      <c r="AM48" s="262"/>
      <c r="AN48" s="2648"/>
      <c r="AO48" s="2524"/>
      <c r="AP48" s="2650"/>
      <c r="AQ48" s="2524"/>
      <c r="AR48" s="1357"/>
      <c r="AS48" s="2716"/>
      <c r="AU48" s="436"/>
      <c r="AV48" s="436" t="str">
        <f t="shared" si="1"/>
        <v/>
      </c>
      <c r="AW48" s="436"/>
      <c r="AX48" s="436"/>
      <c r="AY48" s="1073">
        <v>0</v>
      </c>
    </row>
    <row r="49" spans="1:51" ht="21" customHeight="1">
      <c r="A49" s="1281" t="s">
        <v>242</v>
      </c>
      <c r="B49" s="1281" t="s">
        <v>243</v>
      </c>
      <c r="C49" s="1281" t="s">
        <v>244</v>
      </c>
      <c r="D49" s="1281" t="s">
        <v>533</v>
      </c>
      <c r="E49" s="2643"/>
      <c r="F49" s="2643"/>
      <c r="G49" s="2643"/>
      <c r="H49" s="2643"/>
      <c r="I49" s="2645"/>
      <c r="J49" s="2644"/>
      <c r="K49" s="1281"/>
      <c r="L49" s="1282"/>
      <c r="P49" s="2646"/>
      <c r="Q49" s="2646"/>
      <c r="R49" s="292"/>
      <c r="S49" s="1196"/>
      <c r="T49" s="224" t="s">
        <v>477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6" t="s">
        <v>478</v>
      </c>
      <c r="AU49" s="436"/>
      <c r="AV49" s="436" t="str">
        <f t="shared" si="1"/>
        <v>Добавить значение признака дифференциации</v>
      </c>
      <c r="AW49" s="436"/>
      <c r="AX49" s="436"/>
      <c r="AY49" s="1073">
        <v>20</v>
      </c>
    </row>
    <row r="50" spans="1:51" ht="21.95" customHeight="1">
      <c r="A50" s="1281" t="s">
        <v>242</v>
      </c>
      <c r="B50" s="1281" t="s">
        <v>243</v>
      </c>
      <c r="C50" s="1281" t="s">
        <v>244</v>
      </c>
      <c r="D50" s="1281" t="s">
        <v>533</v>
      </c>
      <c r="E50" s="2643"/>
      <c r="F50" s="2643"/>
      <c r="G50" s="2643"/>
      <c r="H50" s="2643"/>
      <c r="I50" s="2644"/>
      <c r="J50" s="1281"/>
      <c r="K50" s="1281"/>
      <c r="L50" s="1282"/>
      <c r="P50" s="2646"/>
      <c r="Q50" s="1399"/>
      <c r="R50" s="292"/>
      <c r="S50" s="1196"/>
      <c r="T50" s="301" t="s">
        <v>403</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242</v>
      </c>
      <c r="B51" s="1281" t="s">
        <v>243</v>
      </c>
      <c r="C51" s="1281" t="s">
        <v>244</v>
      </c>
      <c r="D51" s="1281" t="s">
        <v>533</v>
      </c>
      <c r="E51" s="2643"/>
      <c r="F51" s="2643"/>
      <c r="G51" s="2643"/>
      <c r="H51" s="2642"/>
      <c r="I51" s="1281"/>
      <c r="J51" s="1281"/>
      <c r="K51" s="1281"/>
      <c r="L51" s="1282"/>
      <c r="M51" s="1283"/>
      <c r="N51" s="1283"/>
      <c r="O51" s="473"/>
      <c r="P51" s="296"/>
      <c r="Q51" s="311"/>
      <c r="R51" s="291"/>
      <c r="S51" s="1196"/>
      <c r="T51" s="308" t="s">
        <v>479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407" customFormat="1" ht="0" hidden="1" customHeight="1">
      <c r="A52" s="1261" t="s">
        <v>242</v>
      </c>
      <c r="B52" s="1261" t="s">
        <v>243</v>
      </c>
      <c r="C52" s="1232"/>
      <c r="D52" s="1232"/>
      <c r="E52" s="2643"/>
      <c r="F52" s="2642"/>
      <c r="G52" s="1232"/>
      <c r="H52" s="1232"/>
      <c r="I52" s="1232"/>
      <c r="J52" s="1232"/>
      <c r="K52" s="1232"/>
      <c r="L52" s="1412"/>
      <c r="M52" s="1239"/>
      <c r="N52" s="1239"/>
      <c r="P52" s="1234"/>
      <c r="Q52" s="1235"/>
      <c r="R52" s="1234"/>
      <c r="S52" s="1240"/>
      <c r="T52" s="1243" t="s">
        <v>406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407" customFormat="1" ht="0" hidden="1" customHeight="1">
      <c r="A53" s="1261" t="s">
        <v>242</v>
      </c>
      <c r="B53" s="1261"/>
      <c r="C53" s="1261"/>
      <c r="D53" s="1261"/>
      <c r="E53" s="2642"/>
      <c r="F53" s="1261"/>
      <c r="G53" s="1261"/>
      <c r="H53" s="1261"/>
      <c r="I53" s="1261"/>
      <c r="J53" s="1261"/>
      <c r="K53" s="1261"/>
      <c r="L53" s="1264"/>
      <c r="M53" s="1239"/>
      <c r="N53" s="1239"/>
      <c r="O53" s="454"/>
      <c r="P53" s="316"/>
      <c r="Q53" s="1262"/>
      <c r="R53" s="316"/>
      <c r="S53" s="1240"/>
      <c r="T53" s="1243" t="s">
        <v>407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40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439</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641"/>
      <c r="U56" s="2641"/>
      <c r="V56" s="2641"/>
      <c r="W56" s="2641"/>
      <c r="X56" s="2641"/>
      <c r="Y56" s="2641"/>
      <c r="Z56" s="2641"/>
      <c r="AA56" s="2641"/>
      <c r="AB56" s="2641"/>
      <c r="AC56" s="2641"/>
      <c r="AD56" s="2641"/>
      <c r="AE56" s="2641"/>
      <c r="AF56" s="2641"/>
      <c r="AG56" s="2641"/>
      <c r="AH56" s="2641"/>
      <c r="AI56" s="2641"/>
      <c r="AJ56" s="2641"/>
      <c r="AK56" s="2641"/>
      <c r="AL56" s="2641"/>
      <c r="AM56" s="2641"/>
      <c r="AN56" s="2641"/>
      <c r="AO56" s="2641"/>
      <c r="AP56" s="2641"/>
      <c r="AQ56" s="2641"/>
      <c r="AR56" s="2641"/>
      <c r="AS56" s="2641"/>
      <c r="AY56" s="1073">
        <v>14</v>
      </c>
    </row>
    <row r="57" spans="1:51" ht="14.65" customHeight="1">
      <c r="O57" s="473"/>
      <c r="AY57" s="1073">
        <v>14</v>
      </c>
    </row>
    <row r="58" spans="1:51" ht="14.65" customHeight="1">
      <c r="O58" s="473"/>
      <c r="S58" s="1171"/>
      <c r="T58" s="2641"/>
      <c r="U58" s="2641"/>
      <c r="V58" s="2641"/>
      <c r="W58" s="2641"/>
      <c r="X58" s="2641"/>
      <c r="Y58" s="2641"/>
      <c r="Z58" s="2641"/>
      <c r="AA58" s="2641"/>
      <c r="AB58" s="2641"/>
      <c r="AC58" s="2641"/>
      <c r="AD58" s="2641"/>
      <c r="AE58" s="2641"/>
      <c r="AF58" s="2641"/>
      <c r="AG58" s="2641"/>
      <c r="AH58" s="2641"/>
      <c r="AI58" s="2641"/>
      <c r="AJ58" s="2641"/>
      <c r="AK58" s="2641"/>
      <c r="AL58" s="2641"/>
      <c r="AM58" s="2641"/>
      <c r="AN58" s="2641"/>
      <c r="AO58" s="2641"/>
      <c r="AP58" s="2641"/>
      <c r="AQ58" s="2641"/>
      <c r="AR58" s="2641"/>
      <c r="AS58" s="2641"/>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4.140625" style="2406" hidden="1" customWidth="1"/>
    <col min="10" max="10" width="9.85546875" style="2406" hidden="1" customWidth="1"/>
    <col min="11" max="11" width="14.7109375" style="2406" hidden="1" customWidth="1"/>
    <col min="12" max="12" width="19.140625" style="2432" hidden="1" customWidth="1"/>
    <col min="13" max="14" width="12.28515625" style="2433" hidden="1" customWidth="1"/>
    <col min="15" max="15" width="23.42578125" style="2433" hidden="1" customWidth="1"/>
    <col min="16" max="16" width="3" style="2434" customWidth="1"/>
    <col min="17" max="18" width="3" style="2435" customWidth="1"/>
    <col min="19" max="19" width="12" style="2436" customWidth="1"/>
    <col min="20" max="20" width="35" style="2400" customWidth="1"/>
    <col min="21" max="21" width="0.140625" style="2400" customWidth="1"/>
    <col min="22" max="28" width="19.7109375" style="2400" hidden="1" customWidth="1"/>
    <col min="29" max="29" width="11.7109375" style="2400" hidden="1" customWidth="1"/>
    <col min="30" max="30" width="3.7109375" style="2400" hidden="1" customWidth="1"/>
    <col min="31" max="31" width="11.7109375" style="2400" hidden="1" customWidth="1"/>
    <col min="32" max="32" width="8.5703125" style="2400" hidden="1" customWidth="1"/>
    <col min="33" max="33" width="19.7109375" style="2400" customWidth="1"/>
    <col min="34" max="39" width="19" style="2400" customWidth="1"/>
    <col min="40" max="40" width="11" style="2400" customWidth="1"/>
    <col min="41" max="41" width="3.7109375" style="2400" customWidth="1"/>
    <col min="42" max="42" width="11" style="2400" customWidth="1"/>
    <col min="43" max="43" width="8.5703125" style="2400" hidden="1" customWidth="1"/>
    <col min="44" max="44" width="4" style="2400" customWidth="1"/>
    <col min="45" max="45" width="115" style="2400" customWidth="1"/>
    <col min="46" max="50" width="10" style="2407" customWidth="1"/>
    <col min="51" max="51" width="10.5703125" style="2400" hidden="1"/>
  </cols>
  <sheetData>
    <row r="1" spans="1:51" ht="22.5" hidden="1" customHeight="1">
      <c r="AB1" s="264"/>
      <c r="AC1" s="264"/>
      <c r="AM1" s="264"/>
      <c r="AN1" s="264"/>
      <c r="AY1" s="1073" t="s">
        <v>14</v>
      </c>
    </row>
    <row r="2" spans="1:51" ht="23.25" hidden="1" customHeight="1">
      <c r="A2" s="1281"/>
      <c r="B2" s="1281"/>
      <c r="C2" s="1281"/>
      <c r="D2" s="1281"/>
      <c r="E2" s="2642">
        <v>1</v>
      </c>
      <c r="F2" s="1281"/>
      <c r="G2" s="1281"/>
      <c r="H2" s="1281"/>
      <c r="I2" s="1281"/>
      <c r="J2" s="1281"/>
      <c r="K2" s="1281"/>
      <c r="L2" s="1282"/>
      <c r="M2" s="1283"/>
      <c r="N2" s="1283"/>
      <c r="O2" s="1283"/>
      <c r="P2" s="297"/>
      <c r="Q2" s="296"/>
      <c r="R2" s="291"/>
      <c r="S2" s="1411" t="e">
        <f>INDEX(PT_DIFFERENTIATION_NUM_NTAR,MATCH(A2,PT_DIFFERENTIATION_NTAR_ID,0))</f>
        <v>#N/A</v>
      </c>
      <c r="T2" s="235" t="s">
        <v>116</v>
      </c>
      <c r="U2" s="237"/>
      <c r="V2" s="2636"/>
      <c r="W2" s="2637"/>
      <c r="X2" s="2637"/>
      <c r="Y2" s="2637"/>
      <c r="Z2" s="2637"/>
      <c r="AA2" s="2637"/>
      <c r="AB2" s="2637"/>
      <c r="AC2" s="2637"/>
      <c r="AD2" s="2637"/>
      <c r="AE2" s="2637"/>
      <c r="AF2" s="2638"/>
      <c r="AG2" s="2636" t="e">
        <f>INDEX(PT_DIFFERENTIATION_NTAR,MATCH(A2,PT_DIFFERENTIATION_NTAR_ID,0))</f>
        <v>#N/A</v>
      </c>
      <c r="AH2" s="2637"/>
      <c r="AI2" s="2637"/>
      <c r="AJ2" s="2637"/>
      <c r="AK2" s="2637"/>
      <c r="AL2" s="2637"/>
      <c r="AM2" s="2637"/>
      <c r="AN2" s="2637"/>
      <c r="AO2" s="2637"/>
      <c r="AP2" s="2637"/>
      <c r="AQ2" s="2637"/>
      <c r="AR2" s="263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3">
        <v>0</v>
      </c>
    </row>
    <row r="3" spans="1:51" ht="23.25" hidden="1" customHeight="1">
      <c r="A3" s="1281"/>
      <c r="B3" s="1281"/>
      <c r="C3" s="1281"/>
      <c r="D3" s="1281"/>
      <c r="E3" s="2643"/>
      <c r="F3" s="2642">
        <v>1</v>
      </c>
      <c r="G3" s="1281"/>
      <c r="H3" s="1281"/>
      <c r="I3" s="1281"/>
      <c r="J3" s="1281"/>
      <c r="K3" s="1281"/>
      <c r="L3" s="1282"/>
      <c r="M3" s="1283"/>
      <c r="N3" s="1283"/>
      <c r="O3" s="1283"/>
      <c r="P3" s="1405"/>
      <c r="Q3" s="288"/>
      <c r="R3" s="289"/>
      <c r="S3" s="1411" t="e">
        <f>INDEX(PT_DIFFERENTIATION_NUM_TER,MATCH(B3,PT_DIFFERENTIATION_TER_ID,0))</f>
        <v>#N/A</v>
      </c>
      <c r="T3" s="245" t="s">
        <v>388</v>
      </c>
      <c r="U3" s="237"/>
      <c r="V3" s="2636"/>
      <c r="W3" s="2637"/>
      <c r="X3" s="2637"/>
      <c r="Y3" s="2637"/>
      <c r="Z3" s="2637"/>
      <c r="AA3" s="2637"/>
      <c r="AB3" s="2637"/>
      <c r="AC3" s="2637"/>
      <c r="AD3" s="2637"/>
      <c r="AE3" s="2637"/>
      <c r="AF3" s="2638"/>
      <c r="AG3" s="2636" t="e">
        <f>INDEX(PT_DIFFERENTIATION_TER,MATCH(B3,PT_DIFFERENTIATION_TER_ID,0))</f>
        <v>#N/A</v>
      </c>
      <c r="AH3" s="2637"/>
      <c r="AI3" s="2637"/>
      <c r="AJ3" s="2637"/>
      <c r="AK3" s="2637"/>
      <c r="AL3" s="2637"/>
      <c r="AM3" s="2637"/>
      <c r="AN3" s="2637"/>
      <c r="AO3" s="2637"/>
      <c r="AP3" s="2637"/>
      <c r="AQ3" s="2637"/>
      <c r="AR3" s="2638"/>
      <c r="AS3" s="1176" t="s">
        <v>389</v>
      </c>
      <c r="AU3" s="436"/>
      <c r="AV3" s="436" t="str">
        <f t="shared" si="0"/>
        <v>Территория действия тарифа</v>
      </c>
      <c r="AW3" s="436"/>
      <c r="AX3" s="436"/>
      <c r="AY3" s="1073">
        <v>0</v>
      </c>
    </row>
    <row r="4" spans="1:51" ht="23.25" hidden="1" customHeight="1">
      <c r="A4" s="1281"/>
      <c r="B4" s="1281"/>
      <c r="C4" s="1281"/>
      <c r="D4" s="1281"/>
      <c r="E4" s="2643"/>
      <c r="F4" s="2643"/>
      <c r="G4" s="2642">
        <v>1</v>
      </c>
      <c r="H4" s="1281"/>
      <c r="I4" s="1281"/>
      <c r="J4" s="1281"/>
      <c r="K4" s="1281"/>
      <c r="L4" s="1282"/>
      <c r="M4" s="1283"/>
      <c r="N4" s="1283"/>
      <c r="O4" s="1283"/>
      <c r="P4" s="290"/>
      <c r="Q4" s="288"/>
      <c r="R4" s="289"/>
      <c r="S4" s="1411" t="e">
        <f>INDEX(PT_DIFFERENTIATION_NUM_CS,MATCH(C4,PT_DIFFERENTIATION_CS_ID,0))</f>
        <v>#N/A</v>
      </c>
      <c r="T4" s="246" t="s">
        <v>521</v>
      </c>
      <c r="U4" s="237"/>
      <c r="V4" s="2636"/>
      <c r="W4" s="2637"/>
      <c r="X4" s="2637"/>
      <c r="Y4" s="2637"/>
      <c r="Z4" s="2637"/>
      <c r="AA4" s="2637"/>
      <c r="AB4" s="2637"/>
      <c r="AC4" s="2637"/>
      <c r="AD4" s="2637"/>
      <c r="AE4" s="2637"/>
      <c r="AF4" s="2638"/>
      <c r="AG4" s="2636" t="e">
        <f>INDEX(PT_DIFFERENTIATION_CS,MATCH(C4,PT_DIFFERENTIATION_CS_ID,0))</f>
        <v>#N/A</v>
      </c>
      <c r="AH4" s="2637"/>
      <c r="AI4" s="2637"/>
      <c r="AJ4" s="2637"/>
      <c r="AK4" s="2637"/>
      <c r="AL4" s="2637"/>
      <c r="AM4" s="2637"/>
      <c r="AN4" s="2637"/>
      <c r="AO4" s="2637"/>
      <c r="AP4" s="2637"/>
      <c r="AQ4" s="2637"/>
      <c r="AR4" s="2638"/>
      <c r="AS4" s="1176" t="s">
        <v>522</v>
      </c>
      <c r="AU4" s="436"/>
      <c r="AV4" s="436" t="str">
        <f t="shared" si="0"/>
        <v>Наименование централизованной системы горячего водоснабжения</v>
      </c>
      <c r="AW4" s="436"/>
      <c r="AX4" s="436"/>
      <c r="AY4" s="1073">
        <v>0</v>
      </c>
    </row>
    <row r="5" spans="1:51" ht="23.25" hidden="1" customHeight="1">
      <c r="A5" s="1281"/>
      <c r="B5" s="1281"/>
      <c r="C5" s="1281"/>
      <c r="D5" s="1281"/>
      <c r="E5" s="2643"/>
      <c r="F5" s="2643"/>
      <c r="G5" s="2643"/>
      <c r="H5" s="2643"/>
      <c r="I5" s="2644" t="e">
        <f>S4&amp;".1"</f>
        <v>#N/A</v>
      </c>
      <c r="J5" s="1281"/>
      <c r="K5" s="1281"/>
      <c r="L5" s="1282"/>
      <c r="P5" s="2646">
        <v>1</v>
      </c>
      <c r="Q5" s="1399"/>
      <c r="R5" s="292"/>
      <c r="S5" s="1411" t="e">
        <f>$I5</f>
        <v>#N/A</v>
      </c>
      <c r="T5" s="222" t="s">
        <v>474</v>
      </c>
      <c r="U5" s="237"/>
      <c r="V5" s="2710"/>
      <c r="W5" s="2711"/>
      <c r="X5" s="2711"/>
      <c r="Y5" s="2711"/>
      <c r="Z5" s="2711"/>
      <c r="AA5" s="2711"/>
      <c r="AB5" s="2711"/>
      <c r="AC5" s="2711"/>
      <c r="AD5" s="2711"/>
      <c r="AE5" s="2711"/>
      <c r="AF5" s="2712"/>
      <c r="AG5" s="2713"/>
      <c r="AH5" s="2714"/>
      <c r="AI5" s="2714"/>
      <c r="AJ5" s="2714"/>
      <c r="AK5" s="2714"/>
      <c r="AL5" s="2714"/>
      <c r="AM5" s="2714"/>
      <c r="AN5" s="2714"/>
      <c r="AO5" s="2714"/>
      <c r="AP5" s="2714"/>
      <c r="AQ5" s="2714"/>
      <c r="AR5" s="2715"/>
      <c r="AS5" s="1176" t="s">
        <v>475</v>
      </c>
      <c r="AU5" s="436"/>
      <c r="AV5" s="436" t="str">
        <f t="shared" si="0"/>
        <v>Наименование признака дифференциации</v>
      </c>
      <c r="AW5" s="436"/>
      <c r="AX5" s="436"/>
      <c r="AY5" s="1073">
        <v>0</v>
      </c>
    </row>
    <row r="6" spans="1:51" ht="23.25" hidden="1" customHeight="1">
      <c r="A6" s="1281"/>
      <c r="B6" s="1281"/>
      <c r="C6" s="1281"/>
      <c r="D6" s="1281"/>
      <c r="E6" s="2643"/>
      <c r="F6" s="2643"/>
      <c r="G6" s="2643"/>
      <c r="H6" s="2643"/>
      <c r="I6" s="2645"/>
      <c r="J6" s="2644" t="e">
        <f>I5&amp;".1"</f>
        <v>#N/A</v>
      </c>
      <c r="K6" s="1281"/>
      <c r="L6" s="1282" t="s">
        <v>397</v>
      </c>
      <c r="P6" s="2646"/>
      <c r="Q6" s="2646">
        <v>1</v>
      </c>
      <c r="R6" s="293"/>
      <c r="S6" s="1411" t="e">
        <f>$J6</f>
        <v>#N/A</v>
      </c>
      <c r="T6" s="223" t="s">
        <v>398</v>
      </c>
      <c r="U6" s="237"/>
      <c r="V6" s="2630"/>
      <c r="W6" s="2631"/>
      <c r="X6" s="2631"/>
      <c r="Y6" s="2631"/>
      <c r="Z6" s="2631"/>
      <c r="AA6" s="2631"/>
      <c r="AB6" s="2631"/>
      <c r="AC6" s="2631"/>
      <c r="AD6" s="2631"/>
      <c r="AE6" s="2631"/>
      <c r="AF6" s="2632"/>
      <c r="AG6" s="2630"/>
      <c r="AH6" s="2631"/>
      <c r="AI6" s="2631"/>
      <c r="AJ6" s="2631"/>
      <c r="AK6" s="2631"/>
      <c r="AL6" s="2631"/>
      <c r="AM6" s="2631"/>
      <c r="AN6" s="2631"/>
      <c r="AO6" s="2631"/>
      <c r="AP6" s="2631"/>
      <c r="AQ6" s="2631"/>
      <c r="AR6" s="2632"/>
      <c r="AS6" s="1225" t="s">
        <v>476</v>
      </c>
      <c r="AU6" s="436"/>
      <c r="AV6" s="436" t="str">
        <f t="shared" si="0"/>
        <v>Группа потребителей</v>
      </c>
      <c r="AW6" s="436"/>
      <c r="AX6" s="436"/>
      <c r="AY6" s="1073">
        <v>0</v>
      </c>
    </row>
    <row r="7" spans="1:51" ht="23.25" hidden="1" customHeight="1">
      <c r="A7" s="1281"/>
      <c r="B7" s="1281"/>
      <c r="C7" s="1281"/>
      <c r="D7" s="1281"/>
      <c r="E7" s="2643"/>
      <c r="F7" s="2643"/>
      <c r="G7" s="2643"/>
      <c r="H7" s="2643"/>
      <c r="I7" s="2645"/>
      <c r="J7" s="2645"/>
      <c r="K7" s="2644" t="e">
        <f>J6&amp;".1"</f>
        <v>#N/A</v>
      </c>
      <c r="L7" s="1282"/>
      <c r="P7" s="2646"/>
      <c r="Q7" s="2646"/>
      <c r="R7" s="293">
        <v>1</v>
      </c>
      <c r="S7" s="1411" t="e">
        <f>$K7</f>
        <v>#N/A</v>
      </c>
      <c r="T7" s="1355"/>
      <c r="U7" s="237"/>
      <c r="V7" s="687"/>
      <c r="W7" s="687"/>
      <c r="X7" s="687"/>
      <c r="Y7" s="687"/>
      <c r="Z7" s="687"/>
      <c r="AA7" s="687"/>
      <c r="AB7" s="1175"/>
      <c r="AC7" s="2647"/>
      <c r="AD7" s="2524" t="s">
        <v>65</v>
      </c>
      <c r="AE7" s="2647"/>
      <c r="AF7" s="2524" t="s">
        <v>65</v>
      </c>
      <c r="AG7" s="687"/>
      <c r="AH7" s="687"/>
      <c r="AI7" s="687"/>
      <c r="AJ7" s="687"/>
      <c r="AK7" s="687"/>
      <c r="AL7" s="687"/>
      <c r="AM7" s="1175"/>
      <c r="AN7" s="2647"/>
      <c r="AO7" s="2524" t="s">
        <v>65</v>
      </c>
      <c r="AP7" s="2649"/>
      <c r="AQ7" s="2524" t="s">
        <v>65</v>
      </c>
      <c r="AR7" s="1356"/>
      <c r="AS7"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3">
        <v>0</v>
      </c>
    </row>
    <row r="8" spans="1:51" ht="14.25" hidden="1" customHeight="1">
      <c r="A8" s="1281"/>
      <c r="B8" s="1281"/>
      <c r="C8" s="1281"/>
      <c r="D8" s="1281"/>
      <c r="E8" s="2643"/>
      <c r="F8" s="2643"/>
      <c r="G8" s="2643"/>
      <c r="H8" s="2643"/>
      <c r="I8" s="2645"/>
      <c r="J8" s="2645"/>
      <c r="K8" s="2644"/>
      <c r="L8" s="1282"/>
      <c r="P8" s="2646"/>
      <c r="Q8" s="2646"/>
      <c r="R8" s="293"/>
      <c r="S8" s="1408"/>
      <c r="T8" s="237"/>
      <c r="U8" s="237"/>
      <c r="V8" s="262"/>
      <c r="W8" s="262"/>
      <c r="X8" s="262"/>
      <c r="Y8" s="262"/>
      <c r="Z8" s="262"/>
      <c r="AA8" s="262"/>
      <c r="AB8" s="265" t="str">
        <f>AC7&amp;"-"&amp;AE7</f>
        <v>-</v>
      </c>
      <c r="AC8" s="2648"/>
      <c r="AD8" s="2524"/>
      <c r="AE8" s="2648"/>
      <c r="AF8" s="2524"/>
      <c r="AG8" s="262"/>
      <c r="AH8" s="262"/>
      <c r="AI8" s="262"/>
      <c r="AJ8" s="262"/>
      <c r="AK8" s="262"/>
      <c r="AL8" s="262"/>
      <c r="AM8" s="265" t="str">
        <f>AN7&amp;"-"&amp;AP7</f>
        <v>-</v>
      </c>
      <c r="AN8" s="2648"/>
      <c r="AO8" s="2524"/>
      <c r="AP8" s="2650"/>
      <c r="AQ8" s="2524"/>
      <c r="AR8" s="1357"/>
      <c r="AS8" s="2716"/>
      <c r="AU8" s="436"/>
      <c r="AV8" s="436" t="str">
        <f t="shared" si="0"/>
        <v/>
      </c>
      <c r="AW8" s="436"/>
      <c r="AX8" s="436"/>
      <c r="AY8" s="1073">
        <v>0</v>
      </c>
    </row>
    <row r="9" spans="1:51" ht="21" hidden="1" customHeight="1">
      <c r="A9" s="1281"/>
      <c r="B9" s="1281"/>
      <c r="C9" s="1281"/>
      <c r="D9" s="1281"/>
      <c r="E9" s="2643"/>
      <c r="F9" s="2643"/>
      <c r="G9" s="2643"/>
      <c r="H9" s="2643"/>
      <c r="I9" s="2645"/>
      <c r="J9" s="2644"/>
      <c r="K9" s="1281"/>
      <c r="L9" s="1282"/>
      <c r="P9" s="2646"/>
      <c r="Q9" s="2646"/>
      <c r="R9" s="292"/>
      <c r="S9" s="1196"/>
      <c r="T9" s="224" t="s">
        <v>477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6" t="s">
        <v>478</v>
      </c>
      <c r="AU9" s="436"/>
      <c r="AV9" s="436" t="str">
        <f t="shared" si="0"/>
        <v>Добавить значение признака дифференциации</v>
      </c>
      <c r="AW9" s="436"/>
      <c r="AX9" s="436"/>
      <c r="AY9" s="1073">
        <v>0</v>
      </c>
    </row>
    <row r="10" spans="1:51" ht="21" hidden="1" customHeight="1">
      <c r="A10" s="1281"/>
      <c r="B10" s="1281"/>
      <c r="C10" s="1281"/>
      <c r="D10" s="1281"/>
      <c r="E10" s="2643"/>
      <c r="F10" s="2643"/>
      <c r="G10" s="2643"/>
      <c r="H10" s="2643"/>
      <c r="I10" s="2644"/>
      <c r="J10" s="1281"/>
      <c r="K10" s="1281"/>
      <c r="L10" s="1282"/>
      <c r="P10" s="2646"/>
      <c r="Q10" s="1399"/>
      <c r="R10" s="292"/>
      <c r="S10" s="1196"/>
      <c r="T10" s="301" t="s">
        <v>403</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8"/>
      <c r="AU10" s="436"/>
      <c r="AV10" s="436" t="str">
        <f t="shared" si="0"/>
        <v>Добавить группу потребителей</v>
      </c>
      <c r="AW10" s="436"/>
      <c r="AX10" s="436"/>
      <c r="AY10" s="1073">
        <v>0</v>
      </c>
    </row>
    <row r="11" spans="1:51" ht="21" hidden="1" customHeight="1">
      <c r="A11" s="1281"/>
      <c r="B11" s="1281"/>
      <c r="C11" s="1281"/>
      <c r="D11" s="1281"/>
      <c r="E11" s="2643"/>
      <c r="F11" s="2643"/>
      <c r="G11" s="2643"/>
      <c r="H11" s="2642"/>
      <c r="I11" s="1281"/>
      <c r="J11" s="1281"/>
      <c r="K11" s="1281"/>
      <c r="L11" s="1282"/>
      <c r="M11" s="1283"/>
      <c r="N11" s="1283"/>
      <c r="O11" s="473"/>
      <c r="P11" s="296"/>
      <c r="Q11" s="311"/>
      <c r="R11" s="291"/>
      <c r="S11" s="1196"/>
      <c r="T11" s="308" t="s">
        <v>479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3">
        <v>0</v>
      </c>
    </row>
    <row r="12" spans="1:51" s="2407" customFormat="1" ht="14.25" hidden="1" customHeight="1">
      <c r="A12" s="1261"/>
      <c r="B12" s="1261"/>
      <c r="C12" s="1232"/>
      <c r="D12" s="1232"/>
      <c r="E12" s="2643"/>
      <c r="F12" s="2642"/>
      <c r="G12" s="1232"/>
      <c r="H12" s="1232"/>
      <c r="I12" s="1232"/>
      <c r="J12" s="1232"/>
      <c r="K12" s="1232"/>
      <c r="L12" s="1412"/>
      <c r="M12" s="1239"/>
      <c r="N12" s="1239"/>
      <c r="P12" s="1234"/>
      <c r="Q12" s="1235"/>
      <c r="R12" s="1234"/>
      <c r="S12" s="1240"/>
      <c r="T12" s="1243" t="s">
        <v>406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9"/>
      <c r="AV12" s="719" t="str">
        <f t="shared" si="0"/>
        <v>Добавить централизованную систему для дифференциации</v>
      </c>
      <c r="AW12" s="719"/>
      <c r="AX12" s="719"/>
      <c r="AY12" s="454">
        <v>0</v>
      </c>
    </row>
    <row r="13" spans="1:51" s="2407" customFormat="1" ht="14.25" hidden="1" customHeight="1">
      <c r="A13" s="1261"/>
      <c r="B13" s="1261"/>
      <c r="C13" s="1261"/>
      <c r="D13" s="1261"/>
      <c r="E13" s="2642"/>
      <c r="F13" s="1261"/>
      <c r="G13" s="1261"/>
      <c r="H13" s="1261"/>
      <c r="I13" s="1261"/>
      <c r="J13" s="1261"/>
      <c r="K13" s="1261"/>
      <c r="L13" s="1264"/>
      <c r="M13" s="1239"/>
      <c r="N13" s="1239"/>
      <c r="O13" s="454"/>
      <c r="P13" s="316"/>
      <c r="Q13" s="1262"/>
      <c r="R13" s="316"/>
      <c r="S13" s="1240"/>
      <c r="T13" s="1243" t="s">
        <v>407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6"/>
      <c r="AV13" s="436" t="str">
        <f t="shared" si="0"/>
        <v>Добавить территорию для дифференциации</v>
      </c>
      <c r="AW13" s="436"/>
      <c r="AX13" s="436"/>
      <c r="AY13" s="447">
        <v>0</v>
      </c>
    </row>
    <row r="14" spans="1:51" ht="14.25" hidden="1" customHeight="1">
      <c r="AF14" s="264"/>
      <c r="AQ14" s="264"/>
      <c r="AY14" s="1073">
        <v>0</v>
      </c>
    </row>
    <row r="15" spans="1:51" ht="14.25" hidden="1" customHeight="1">
      <c r="AG15" s="1278"/>
      <c r="AH15" s="1278"/>
      <c r="AI15" s="1278"/>
      <c r="AJ15" s="1278"/>
      <c r="AK15" s="1278"/>
      <c r="AL15" s="1278"/>
      <c r="AM15" s="1279"/>
      <c r="AN15" s="2640"/>
      <c r="AO15" s="2639" t="s">
        <v>65</v>
      </c>
      <c r="AP15" s="2640"/>
      <c r="AQ15" s="2639" t="s">
        <v>65</v>
      </c>
      <c r="AY15" s="1073">
        <v>0</v>
      </c>
    </row>
    <row r="16" spans="1:51" ht="14.25" hidden="1" customHeight="1">
      <c r="AG16" s="1278"/>
      <c r="AH16" s="1278"/>
      <c r="AI16" s="1278"/>
      <c r="AJ16" s="1278"/>
      <c r="AK16" s="1278"/>
      <c r="AL16" s="1278"/>
      <c r="AM16" s="265" t="str">
        <f>AN15&amp;"-"&amp;AP15</f>
        <v>-</v>
      </c>
      <c r="AN16" s="2639"/>
      <c r="AO16" s="2639"/>
      <c r="AP16" s="2639"/>
      <c r="AQ16" s="2639"/>
      <c r="AY16" s="1073">
        <v>0</v>
      </c>
    </row>
    <row r="17" spans="1:51" ht="14.25" hidden="1" customHeight="1">
      <c r="AQ17" s="264"/>
      <c r="AY17" s="1073">
        <v>0</v>
      </c>
    </row>
    <row r="18" spans="1:51" s="2406" customFormat="1" ht="22.5" hidden="1" customHeight="1">
      <c r="L18" s="1396"/>
      <c r="M18" s="1280"/>
      <c r="N18" s="1280"/>
      <c r="O18" s="1285" t="s">
        <v>408</v>
      </c>
      <c r="P18" s="1280"/>
      <c r="Q18" s="1289"/>
      <c r="R18" s="1289"/>
      <c r="S18" s="665"/>
      <c r="W18" s="1284"/>
      <c r="X18" s="1284"/>
      <c r="Y18" s="1284"/>
      <c r="Z18" s="1284"/>
      <c r="AA18" s="1284"/>
      <c r="AC18" s="1285"/>
      <c r="AE18" s="1285"/>
      <c r="AF18" s="1284"/>
      <c r="AH18" s="1284"/>
      <c r="AI18" s="1284"/>
      <c r="AJ18" s="1284"/>
      <c r="AK18" s="1284"/>
      <c r="AL18" s="1284"/>
      <c r="AN18" s="1285"/>
      <c r="AP18" s="1285"/>
      <c r="AQ18" s="1284"/>
      <c r="AT18" s="447"/>
      <c r="AU18" s="447"/>
      <c r="AV18" s="447"/>
      <c r="AW18" s="447"/>
      <c r="AX18" s="447"/>
      <c r="AY18" s="1078">
        <v>0</v>
      </c>
    </row>
    <row r="19" spans="1:51" s="2406" customFormat="1" ht="14.25" hidden="1" customHeight="1">
      <c r="L19" s="1396"/>
      <c r="M19" s="1280"/>
      <c r="N19" s="1280"/>
      <c r="O19" s="1280"/>
      <c r="P19" s="1280"/>
      <c r="Q19" s="1289"/>
      <c r="R19" s="1289"/>
      <c r="S19" s="665"/>
      <c r="W19" s="1284"/>
      <c r="X19" s="1284"/>
      <c r="Y19" s="1284"/>
      <c r="Z19" s="1284"/>
      <c r="AA19" s="1284"/>
      <c r="AF19" s="1284"/>
      <c r="AH19" s="1284"/>
      <c r="AI19" s="1284"/>
      <c r="AJ19" s="1284"/>
      <c r="AK19" s="1284"/>
      <c r="AL19" s="1284"/>
      <c r="AQ19" s="1284"/>
      <c r="AT19" s="447"/>
      <c r="AU19" s="447"/>
      <c r="AV19" s="447"/>
      <c r="AW19" s="447"/>
      <c r="AX19" s="447"/>
      <c r="AY19" s="1078">
        <v>0</v>
      </c>
    </row>
    <row r="20" spans="1:51" s="2406" customFormat="1" ht="12" hidden="1" customHeight="1">
      <c r="L20" s="1396"/>
      <c r="M20" s="1280"/>
      <c r="N20" s="1280"/>
      <c r="O20" s="1282" t="s">
        <v>409</v>
      </c>
      <c r="P20" s="1280"/>
      <c r="Q20" s="1360"/>
      <c r="R20" s="1360"/>
      <c r="S20" s="665"/>
      <c r="T20" s="1078" t="s">
        <v>410</v>
      </c>
      <c r="W20" s="1284"/>
      <c r="X20" s="1284"/>
      <c r="Y20" s="1284"/>
      <c r="Z20" s="1284"/>
      <c r="AA20" s="1284"/>
      <c r="AD20" s="123" t="s">
        <v>411</v>
      </c>
      <c r="AF20" s="123" t="s">
        <v>412</v>
      </c>
      <c r="AG20" s="1078" t="s">
        <v>410</v>
      </c>
      <c r="AH20" s="1284"/>
      <c r="AI20" s="1284"/>
      <c r="AJ20" s="1284"/>
      <c r="AK20" s="1284"/>
      <c r="AL20" s="1284"/>
      <c r="AO20" s="123" t="s">
        <v>413</v>
      </c>
      <c r="AQ20" s="123" t="s">
        <v>412</v>
      </c>
      <c r="AY20" s="1078">
        <v>0</v>
      </c>
    </row>
    <row r="21" spans="1:51" ht="14.25" hidden="1" customHeight="1">
      <c r="O21" s="1282"/>
      <c r="AY21" s="1073">
        <v>0</v>
      </c>
    </row>
    <row r="22" spans="1:51" ht="14.25" hidden="1" customHeight="1">
      <c r="O22" s="1282"/>
      <c r="AY22" s="1073">
        <v>0</v>
      </c>
    </row>
    <row r="23" spans="1:51" ht="14.65" customHeight="1">
      <c r="Q23" s="312"/>
      <c r="R23" s="312"/>
      <c r="S23" s="1193"/>
      <c r="T23" s="299"/>
      <c r="U23" s="299"/>
      <c r="V23" s="445"/>
      <c r="W23" s="1553"/>
      <c r="X23" s="1553"/>
      <c r="Y23" s="1553"/>
      <c r="Z23" s="1553"/>
      <c r="AA23" s="1553"/>
      <c r="AB23" s="445"/>
      <c r="AC23" s="445"/>
      <c r="AD23" s="445"/>
      <c r="AE23" s="445"/>
      <c r="AF23" s="445"/>
      <c r="AG23" s="445"/>
      <c r="AH23" s="1553"/>
      <c r="AI23" s="1553"/>
      <c r="AJ23" s="1553"/>
      <c r="AK23" s="1553"/>
      <c r="AL23" s="1553"/>
      <c r="AM23" s="445"/>
      <c r="AN23" s="445"/>
      <c r="AO23" s="445"/>
      <c r="AP23" s="445"/>
      <c r="AQ23" s="445"/>
      <c r="AY23" s="1073">
        <v>14</v>
      </c>
    </row>
    <row r="24" spans="1:51" ht="26.25" customHeight="1">
      <c r="Q24" s="312"/>
      <c r="R24" s="312"/>
      <c r="S24" s="262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23"/>
      <c r="U24" s="2623"/>
      <c r="V24" s="2623"/>
      <c r="W24" s="2623"/>
      <c r="X24" s="2623"/>
      <c r="Y24" s="2623"/>
      <c r="Z24" s="2623"/>
      <c r="AA24" s="2623"/>
      <c r="AB24" s="2623"/>
      <c r="AC24" s="2623"/>
      <c r="AD24" s="2623"/>
      <c r="AE24" s="2623"/>
      <c r="AF24" s="2623"/>
      <c r="AG24" s="2623"/>
      <c r="AH24" s="2623"/>
      <c r="AI24" s="2623"/>
      <c r="AJ24" s="2623"/>
      <c r="AK24" s="2623"/>
      <c r="AL24" s="2623"/>
      <c r="AM24" s="2623"/>
      <c r="AN24" s="2623"/>
      <c r="AO24" s="2623"/>
      <c r="AP24" s="2623"/>
      <c r="AQ24" s="1161"/>
      <c r="AY24" s="1073">
        <v>25</v>
      </c>
    </row>
    <row r="25" spans="1:51" ht="14.65" customHeight="1">
      <c r="Q25" s="312"/>
      <c r="R25" s="312"/>
      <c r="S25" s="2595" t="str">
        <f>IF(org=0,"Не определено",org)</f>
        <v>ПАО "ТГК-1" (филиал "Кольский")</v>
      </c>
      <c r="T25" s="2595"/>
      <c r="U25" s="2595"/>
      <c r="V25" s="2595"/>
      <c r="W25" s="2595"/>
      <c r="X25" s="2595"/>
      <c r="Y25" s="2595"/>
      <c r="Z25" s="2595"/>
      <c r="AA25" s="2595"/>
      <c r="AB25" s="2595"/>
      <c r="AC25" s="2595"/>
      <c r="AD25" s="2595"/>
      <c r="AE25" s="2595"/>
      <c r="AF25" s="2595"/>
      <c r="AG25" s="2595"/>
      <c r="AH25" s="2595"/>
      <c r="AI25" s="2595"/>
      <c r="AJ25" s="2595"/>
      <c r="AK25" s="2595"/>
      <c r="AL25" s="2595"/>
      <c r="AM25" s="2595"/>
      <c r="AN25" s="2595"/>
      <c r="AO25" s="2595"/>
      <c r="AP25" s="2595"/>
      <c r="AQ25" s="1161"/>
      <c r="AY25" s="1073">
        <v>14</v>
      </c>
    </row>
    <row r="26" spans="1:51" ht="14.25" hidden="1" customHeight="1">
      <c r="Q26" s="312"/>
      <c r="R26" s="312"/>
      <c r="S26" s="1193"/>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3">
        <v>0</v>
      </c>
    </row>
    <row r="27" spans="1:51" s="2416" customFormat="1" ht="25.5" hidden="1" customHeight="1">
      <c r="A27" s="1286"/>
      <c r="B27" s="1286"/>
      <c r="C27" s="1286"/>
      <c r="D27" s="1286"/>
      <c r="E27" s="1286"/>
      <c r="F27" s="1286"/>
      <c r="G27" s="1286"/>
      <c r="H27" s="1286"/>
      <c r="I27" s="1286"/>
      <c r="J27" s="1286"/>
      <c r="K27" s="1286"/>
      <c r="L27" s="1287"/>
      <c r="M27" s="1286"/>
      <c r="N27" s="1286"/>
      <c r="O27" s="1286"/>
      <c r="S27" s="2633" t="s">
        <v>41</v>
      </c>
      <c r="T27" s="2633"/>
      <c r="U27" s="1290"/>
      <c r="V27" s="2635" t="str">
        <f>IF(TITLE_NAME_OR_PR_CHANGE="",IF(TITLE_NAME_OR_PR="","",TITLE_NAME_OR_PR),TITLE_NAME_OR_PR_CHANGE)</f>
        <v/>
      </c>
      <c r="W27" s="2635"/>
      <c r="X27" s="2635"/>
      <c r="Y27" s="2635"/>
      <c r="Z27" s="2635"/>
      <c r="AA27" s="2635"/>
      <c r="AB27" s="2635"/>
      <c r="AC27" s="2635"/>
      <c r="AD27" s="2635"/>
      <c r="AE27" s="2635"/>
      <c r="AF27" s="263"/>
      <c r="AG27" s="2635" t="str">
        <f>IF(TITLE_NAME_OR_PR_CHANGE="",IF(TITLE_NAME_OR_PR="","",TITLE_NAME_OR_PR),TITLE_NAME_OR_PR_CHANGE)</f>
        <v/>
      </c>
      <c r="AH27" s="2635"/>
      <c r="AI27" s="2635"/>
      <c r="AJ27" s="2635"/>
      <c r="AK27" s="2635"/>
      <c r="AL27" s="2635"/>
      <c r="AM27" s="2635"/>
      <c r="AN27" s="2635"/>
      <c r="AO27" s="2635"/>
      <c r="AP27" s="2635"/>
      <c r="AQ27" s="263"/>
      <c r="AR27" s="263"/>
      <c r="AS27" s="217"/>
      <c r="AT27" s="304"/>
      <c r="AU27" s="304"/>
      <c r="AV27" s="304"/>
      <c r="AW27" s="304"/>
      <c r="AX27" s="304"/>
      <c r="AY27" s="354">
        <v>0</v>
      </c>
    </row>
    <row r="28" spans="1:51" s="2416" customFormat="1" ht="18.75" hidden="1" customHeight="1">
      <c r="A28" s="1286"/>
      <c r="B28" s="1286"/>
      <c r="C28" s="1286"/>
      <c r="D28" s="1286"/>
      <c r="E28" s="1286"/>
      <c r="F28" s="1286"/>
      <c r="G28" s="1286"/>
      <c r="H28" s="1286"/>
      <c r="I28" s="1286"/>
      <c r="J28" s="1286"/>
      <c r="K28" s="1286"/>
      <c r="L28" s="1287"/>
      <c r="M28" s="1286"/>
      <c r="N28" s="1286"/>
      <c r="O28" s="1286"/>
      <c r="S28" s="2633" t="s">
        <v>414</v>
      </c>
      <c r="T28" s="2633"/>
      <c r="U28" s="1290"/>
      <c r="V28" s="2634" t="str">
        <f>IF(TITLE_DATE_PR_CHANGE="",IF(TITLE_DATE_PR="","",TITLE_DATE_PR),TITLE_DATE_PR_CHANGE)</f>
        <v/>
      </c>
      <c r="W28" s="2634"/>
      <c r="X28" s="2634"/>
      <c r="Y28" s="2634"/>
      <c r="Z28" s="2634"/>
      <c r="AA28" s="2634"/>
      <c r="AB28" s="2634"/>
      <c r="AC28" s="2634"/>
      <c r="AD28" s="2634"/>
      <c r="AE28" s="2634"/>
      <c r="AF28" s="263"/>
      <c r="AG28" s="2634" t="str">
        <f>IF(TITLE_DATE_PR_CHANGE="",IF(TITLE_DATE_PR="","",TITLE_DATE_PR),TITLE_DATE_PR_CHANGE)</f>
        <v/>
      </c>
      <c r="AH28" s="2634"/>
      <c r="AI28" s="2634"/>
      <c r="AJ28" s="2634"/>
      <c r="AK28" s="2634"/>
      <c r="AL28" s="2634"/>
      <c r="AM28" s="2634"/>
      <c r="AN28" s="2634"/>
      <c r="AO28" s="2634"/>
      <c r="AP28" s="2634"/>
      <c r="AQ28" s="263"/>
      <c r="AR28" s="263"/>
      <c r="AS28" s="217"/>
      <c r="AT28" s="304"/>
      <c r="AU28" s="304"/>
      <c r="AV28" s="304"/>
      <c r="AW28" s="304"/>
      <c r="AX28" s="304"/>
      <c r="AY28" s="354">
        <v>0</v>
      </c>
    </row>
    <row r="29" spans="1:51" s="2416" customFormat="1" ht="18.75" hidden="1" customHeight="1">
      <c r="A29" s="1286"/>
      <c r="B29" s="1286"/>
      <c r="C29" s="1286"/>
      <c r="D29" s="1286"/>
      <c r="E29" s="1286"/>
      <c r="F29" s="1286"/>
      <c r="G29" s="1286"/>
      <c r="H29" s="1286"/>
      <c r="I29" s="1286"/>
      <c r="J29" s="1286"/>
      <c r="K29" s="1286"/>
      <c r="L29" s="1287"/>
      <c r="M29" s="1286"/>
      <c r="N29" s="1286"/>
      <c r="O29" s="1286"/>
      <c r="S29" s="2633" t="s">
        <v>415</v>
      </c>
      <c r="T29" s="2633"/>
      <c r="U29" s="1290"/>
      <c r="V29" s="2635" t="str">
        <f>IF(TITLE_NUMBER_PR_CHANGE="",IF(TITLE_NUMBER_PR="","",TITLE_NUMBER_PR),TITLE_NUMBER_PR_CHANGE)</f>
        <v/>
      </c>
      <c r="W29" s="2635"/>
      <c r="X29" s="2635"/>
      <c r="Y29" s="2635"/>
      <c r="Z29" s="2635"/>
      <c r="AA29" s="2635"/>
      <c r="AB29" s="2635"/>
      <c r="AC29" s="2635"/>
      <c r="AD29" s="2635"/>
      <c r="AE29" s="2635"/>
      <c r="AF29" s="263"/>
      <c r="AG29" s="2635" t="str">
        <f>IF(TITLE_NUMBER_PR_CHANGE="",IF(TITLE_NUMBER_PR="","",TITLE_NUMBER_PR),TITLE_NUMBER_PR_CHANGE)</f>
        <v/>
      </c>
      <c r="AH29" s="2635"/>
      <c r="AI29" s="2635"/>
      <c r="AJ29" s="2635"/>
      <c r="AK29" s="2635"/>
      <c r="AL29" s="2635"/>
      <c r="AM29" s="2635"/>
      <c r="AN29" s="2635"/>
      <c r="AO29" s="2635"/>
      <c r="AP29" s="2635"/>
      <c r="AQ29" s="263"/>
      <c r="AR29" s="263"/>
      <c r="AS29" s="217"/>
      <c r="AT29" s="304"/>
      <c r="AU29" s="304"/>
      <c r="AV29" s="304"/>
      <c r="AW29" s="304"/>
      <c r="AX29" s="304"/>
      <c r="AY29" s="354">
        <v>0</v>
      </c>
    </row>
    <row r="30" spans="1:51" s="2416" customFormat="1" ht="18.75" hidden="1" customHeight="1">
      <c r="A30" s="1286"/>
      <c r="B30" s="1286"/>
      <c r="C30" s="1286"/>
      <c r="D30" s="1286"/>
      <c r="E30" s="1286"/>
      <c r="F30" s="1286"/>
      <c r="G30" s="1286"/>
      <c r="H30" s="1286"/>
      <c r="I30" s="1286"/>
      <c r="J30" s="1286"/>
      <c r="K30" s="1286"/>
      <c r="L30" s="1287"/>
      <c r="M30" s="1286"/>
      <c r="N30" s="1286"/>
      <c r="O30" s="1286"/>
      <c r="S30" s="2633" t="s">
        <v>42</v>
      </c>
      <c r="T30" s="2633"/>
      <c r="U30" s="1290"/>
      <c r="V30" s="2635" t="str">
        <f>IF(TITLE_IST_PUB_CHANGE="",IF(TITLE_IST_PUB="","",TITLE_IST_PUB),TITLE_IST_PUB_CHANGE)</f>
        <v/>
      </c>
      <c r="W30" s="2635"/>
      <c r="X30" s="2635"/>
      <c r="Y30" s="2635"/>
      <c r="Z30" s="2635"/>
      <c r="AA30" s="2635"/>
      <c r="AB30" s="2635"/>
      <c r="AC30" s="2635"/>
      <c r="AD30" s="2635"/>
      <c r="AE30" s="2635"/>
      <c r="AF30" s="263"/>
      <c r="AG30" s="2635" t="str">
        <f>IF(TITLE_IST_PUB_CHANGE="",IF(TITLE_IST_PUB="","",TITLE_IST_PUB),TITLE_IST_PUB_CHANGE)</f>
        <v/>
      </c>
      <c r="AH30" s="2635"/>
      <c r="AI30" s="2635"/>
      <c r="AJ30" s="2635"/>
      <c r="AK30" s="2635"/>
      <c r="AL30" s="2635"/>
      <c r="AM30" s="2635"/>
      <c r="AN30" s="2635"/>
      <c r="AO30" s="2635"/>
      <c r="AP30" s="2635"/>
      <c r="AQ30" s="263"/>
      <c r="AR30" s="263"/>
      <c r="AS30" s="217"/>
      <c r="AT30" s="304"/>
      <c r="AU30" s="304"/>
      <c r="AV30" s="304"/>
      <c r="AW30" s="304"/>
      <c r="AX30" s="304"/>
      <c r="AY30" s="354">
        <v>0</v>
      </c>
    </row>
    <row r="31" spans="1:51" ht="14.25" hidden="1" customHeight="1">
      <c r="Q31" s="312"/>
      <c r="R31" s="312"/>
      <c r="S31" s="1193"/>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3">
        <v>0</v>
      </c>
    </row>
    <row r="32" spans="1:51" s="2416" customFormat="1" ht="18.75" hidden="1" customHeight="1">
      <c r="A32" s="1286"/>
      <c r="B32" s="1286"/>
      <c r="C32" s="1286"/>
      <c r="D32" s="1286"/>
      <c r="E32" s="1286"/>
      <c r="F32" s="1286"/>
      <c r="G32" s="1286"/>
      <c r="H32" s="1286"/>
      <c r="I32" s="1286"/>
      <c r="J32" s="1286"/>
      <c r="K32" s="1286"/>
      <c r="L32" s="1287"/>
      <c r="M32" s="1286"/>
      <c r="N32" s="1286"/>
      <c r="O32" s="1286"/>
      <c r="S32" s="2633" t="s">
        <v>416</v>
      </c>
      <c r="T32" s="2633"/>
      <c r="U32" s="1290"/>
      <c r="V32" s="2634" t="str">
        <f>IF(TITLE_DATE_PR_CHANGE="",IF(TITLE_DATE_PR="","",TITLE_DATE_PR),TITLE_DATE_PR_CHANGE)</f>
        <v/>
      </c>
      <c r="W32" s="2634"/>
      <c r="X32" s="2634"/>
      <c r="Y32" s="2634"/>
      <c r="Z32" s="2634"/>
      <c r="AA32" s="2634"/>
      <c r="AB32" s="2634"/>
      <c r="AC32" s="2634"/>
      <c r="AD32" s="2634"/>
      <c r="AE32" s="2634"/>
      <c r="AF32" s="263"/>
      <c r="AG32" s="2634" t="str">
        <f>IF(TITLE_DATE_PR_CHANGE="",IF(TITLE_DATE_PR="","",TITLE_DATE_PR),TITLE_DATE_PR_CHANGE)</f>
        <v/>
      </c>
      <c r="AH32" s="2634"/>
      <c r="AI32" s="2634"/>
      <c r="AJ32" s="2634"/>
      <c r="AK32" s="2634"/>
      <c r="AL32" s="2634"/>
      <c r="AM32" s="2634"/>
      <c r="AN32" s="2634"/>
      <c r="AO32" s="2634"/>
      <c r="AP32" s="2634"/>
      <c r="AQ32" s="263"/>
      <c r="AR32" s="263"/>
      <c r="AS32" s="217"/>
      <c r="AT32" s="304"/>
      <c r="AU32" s="304"/>
      <c r="AV32" s="304"/>
      <c r="AW32" s="304"/>
      <c r="AX32" s="304"/>
      <c r="AY32" s="354">
        <v>0</v>
      </c>
    </row>
    <row r="33" spans="1:51" s="2416" customFormat="1" ht="18.75" hidden="1" customHeight="1">
      <c r="A33" s="1286"/>
      <c r="B33" s="1286"/>
      <c r="C33" s="1286"/>
      <c r="D33" s="1286"/>
      <c r="E33" s="1286"/>
      <c r="F33" s="1286"/>
      <c r="G33" s="1286"/>
      <c r="H33" s="1286"/>
      <c r="I33" s="1286"/>
      <c r="J33" s="1286"/>
      <c r="K33" s="1286"/>
      <c r="L33" s="1287"/>
      <c r="M33" s="1286"/>
      <c r="N33" s="1286"/>
      <c r="O33" s="1286"/>
      <c r="S33" s="2633" t="s">
        <v>417</v>
      </c>
      <c r="T33" s="2633"/>
      <c r="U33" s="1290"/>
      <c r="V33" s="2635" t="str">
        <f>IF(TITLE_NUMBER_PR_CHANGE="",IF(TITLE_NUMBER_PR="","",TITLE_NUMBER_PR),TITLE_NUMBER_PR_CHANGE)</f>
        <v/>
      </c>
      <c r="W33" s="2635"/>
      <c r="X33" s="2635"/>
      <c r="Y33" s="2635"/>
      <c r="Z33" s="2635"/>
      <c r="AA33" s="2635"/>
      <c r="AB33" s="2635"/>
      <c r="AC33" s="2635"/>
      <c r="AD33" s="2635"/>
      <c r="AE33" s="2635"/>
      <c r="AF33" s="263"/>
      <c r="AG33" s="2635" t="str">
        <f>IF(TITLE_NUMBER_PR_CHANGE="",IF(TITLE_NUMBER_PR="","",TITLE_NUMBER_PR),TITLE_NUMBER_PR_CHANGE)</f>
        <v/>
      </c>
      <c r="AH33" s="2635"/>
      <c r="AI33" s="2635"/>
      <c r="AJ33" s="2635"/>
      <c r="AK33" s="2635"/>
      <c r="AL33" s="2635"/>
      <c r="AM33" s="2635"/>
      <c r="AN33" s="2635"/>
      <c r="AO33" s="2635"/>
      <c r="AP33" s="2635"/>
      <c r="AQ33" s="263"/>
      <c r="AR33" s="263"/>
      <c r="AS33" s="217"/>
      <c r="AT33" s="304"/>
      <c r="AU33" s="304"/>
      <c r="AV33" s="304"/>
      <c r="AW33" s="304"/>
      <c r="AX33" s="304"/>
      <c r="AY33" s="354">
        <v>0</v>
      </c>
    </row>
    <row r="34" spans="1:51" s="2416" customFormat="1" ht="1.1499999999999999" customHeight="1">
      <c r="A34" s="1286"/>
      <c r="B34" s="1286"/>
      <c r="C34" s="1286"/>
      <c r="D34" s="1286"/>
      <c r="E34" s="1286"/>
      <c r="F34" s="1286"/>
      <c r="G34" s="1286"/>
      <c r="H34" s="1286"/>
      <c r="I34" s="1286"/>
      <c r="J34" s="1286"/>
      <c r="K34" s="1286"/>
      <c r="L34" s="1287"/>
      <c r="M34" s="1286"/>
      <c r="N34" s="1286"/>
      <c r="O34" s="1286"/>
      <c r="S34" s="260"/>
      <c r="T34" s="260"/>
      <c r="U34" s="1406"/>
      <c r="V34" s="263"/>
      <c r="W34" s="1553"/>
      <c r="X34" s="1553"/>
      <c r="Y34" s="1553"/>
      <c r="Z34" s="1553"/>
      <c r="AA34" s="1553"/>
      <c r="AB34" s="263"/>
      <c r="AC34" s="263"/>
      <c r="AD34" s="263"/>
      <c r="AE34" s="263"/>
      <c r="AF34" s="215" t="s">
        <v>418</v>
      </c>
      <c r="AG34" s="263"/>
      <c r="AH34" s="1553"/>
      <c r="AI34" s="1553"/>
      <c r="AJ34" s="1553"/>
      <c r="AK34" s="1553"/>
      <c r="AL34" s="1553"/>
      <c r="AM34" s="263"/>
      <c r="AN34" s="263"/>
      <c r="AO34" s="263"/>
      <c r="AP34" s="263"/>
      <c r="AQ34" s="215" t="s">
        <v>418</v>
      </c>
      <c r="AT34" s="304"/>
      <c r="AU34" s="304"/>
      <c r="AV34" s="304"/>
      <c r="AW34" s="304"/>
      <c r="AX34" s="304"/>
      <c r="AY34" s="354">
        <v>1</v>
      </c>
    </row>
    <row r="35" spans="1:51" ht="14.65" customHeight="1">
      <c r="Q35" s="312"/>
      <c r="R35" s="312"/>
      <c r="S35" s="1193"/>
      <c r="T35" s="299"/>
      <c r="U35" s="1162"/>
      <c r="V35" s="2654"/>
      <c r="W35" s="2654"/>
      <c r="X35" s="2654"/>
      <c r="Y35" s="2654"/>
      <c r="Z35" s="2654"/>
      <c r="AA35" s="2654"/>
      <c r="AB35" s="2654"/>
      <c r="AC35" s="2654"/>
      <c r="AD35" s="2654"/>
      <c r="AE35" s="2654"/>
      <c r="AF35" s="2654"/>
      <c r="AG35" s="2654"/>
      <c r="AH35" s="2654"/>
      <c r="AI35" s="2654"/>
      <c r="AJ35" s="2654"/>
      <c r="AK35" s="2654"/>
      <c r="AL35" s="2654"/>
      <c r="AM35" s="2654"/>
      <c r="AN35" s="2654"/>
      <c r="AO35" s="2654"/>
      <c r="AP35" s="2654"/>
      <c r="AQ35" s="2654"/>
      <c r="AY35" s="1073">
        <v>14</v>
      </c>
    </row>
    <row r="36" spans="1:51" ht="14.65" customHeight="1">
      <c r="Q36" s="312"/>
      <c r="R36" s="312"/>
      <c r="S36" s="2514" t="s">
        <v>291</v>
      </c>
      <c r="T36" s="2514"/>
      <c r="U36" s="2514"/>
      <c r="V36" s="2514"/>
      <c r="W36" s="2514"/>
      <c r="X36" s="2514"/>
      <c r="Y36" s="2514"/>
      <c r="Z36" s="2514"/>
      <c r="AA36" s="2514"/>
      <c r="AB36" s="2514"/>
      <c r="AC36" s="2514"/>
      <c r="AD36" s="2514"/>
      <c r="AE36" s="2514"/>
      <c r="AF36" s="2514"/>
      <c r="AG36" s="2514"/>
      <c r="AH36" s="2514"/>
      <c r="AI36" s="2514"/>
      <c r="AJ36" s="2514"/>
      <c r="AK36" s="2514"/>
      <c r="AL36" s="2514"/>
      <c r="AM36" s="2514"/>
      <c r="AN36" s="2514"/>
      <c r="AO36" s="2514"/>
      <c r="AP36" s="2514"/>
      <c r="AQ36" s="2514"/>
      <c r="AR36" s="2514"/>
      <c r="AS36" s="2514" t="s">
        <v>292</v>
      </c>
      <c r="AY36" s="1073">
        <v>14</v>
      </c>
    </row>
    <row r="37" spans="1:51" ht="14.65" customHeight="1">
      <c r="Q37" s="312"/>
      <c r="R37" s="312"/>
      <c r="S37" s="2655" t="s">
        <v>84</v>
      </c>
      <c r="T37" s="2603" t="s">
        <v>419</v>
      </c>
      <c r="U37" s="238"/>
      <c r="V37" s="2656" t="s">
        <v>420</v>
      </c>
      <c r="W37" s="2657"/>
      <c r="X37" s="2657"/>
      <c r="Y37" s="2657"/>
      <c r="Z37" s="2657"/>
      <c r="AA37" s="2657"/>
      <c r="AB37" s="2657"/>
      <c r="AC37" s="2657"/>
      <c r="AD37" s="2657"/>
      <c r="AE37" s="2658"/>
      <c r="AF37" s="2659" t="s">
        <v>421</v>
      </c>
      <c r="AG37" s="2656" t="s">
        <v>420</v>
      </c>
      <c r="AH37" s="2657"/>
      <c r="AI37" s="2657"/>
      <c r="AJ37" s="2657"/>
      <c r="AK37" s="2657"/>
      <c r="AL37" s="2657"/>
      <c r="AM37" s="2657"/>
      <c r="AN37" s="2657"/>
      <c r="AO37" s="2657"/>
      <c r="AP37" s="2658"/>
      <c r="AQ37" s="2659" t="s">
        <v>422</v>
      </c>
      <c r="AR37" s="2662" t="s">
        <v>423</v>
      </c>
      <c r="AS37" s="2514"/>
      <c r="AY37" s="1073">
        <v>14</v>
      </c>
    </row>
    <row r="38" spans="1:51" s="2400" customFormat="1" ht="19.899999999999999" customHeight="1">
      <c r="A38" s="1284"/>
      <c r="B38" s="1284"/>
      <c r="C38" s="1284"/>
      <c r="D38" s="1284"/>
      <c r="E38" s="1284"/>
      <c r="F38" s="1284"/>
      <c r="G38" s="1284"/>
      <c r="H38" s="1284"/>
      <c r="I38" s="1284"/>
      <c r="J38" s="1284"/>
      <c r="K38" s="1284"/>
      <c r="L38" s="1892"/>
      <c r="M38" s="1280"/>
      <c r="N38" s="1280"/>
      <c r="O38" s="1280"/>
      <c r="P38" s="1893"/>
      <c r="Q38" s="312"/>
      <c r="R38" s="312"/>
      <c r="S38" s="2655"/>
      <c r="T38" s="2603"/>
      <c r="U38" s="954"/>
      <c r="V38" s="2514" t="s">
        <v>523</v>
      </c>
      <c r="W38" s="2726" t="s">
        <v>524</v>
      </c>
      <c r="X38" s="2726"/>
      <c r="Y38" s="2726"/>
      <c r="Z38" s="2726" t="s">
        <v>525</v>
      </c>
      <c r="AA38" s="2726"/>
      <c r="AB38" s="2726"/>
      <c r="AC38" s="2574" t="s">
        <v>427</v>
      </c>
      <c r="AD38" s="2684"/>
      <c r="AE38" s="2575"/>
      <c r="AF38" s="2660"/>
      <c r="AG38" s="2514" t="s">
        <v>523</v>
      </c>
      <c r="AH38" s="2726" t="s">
        <v>524</v>
      </c>
      <c r="AI38" s="2726"/>
      <c r="AJ38" s="2726"/>
      <c r="AK38" s="2726" t="s">
        <v>525</v>
      </c>
      <c r="AL38" s="2726"/>
      <c r="AM38" s="2726"/>
      <c r="AN38" s="2574" t="s">
        <v>427</v>
      </c>
      <c r="AO38" s="2684"/>
      <c r="AP38" s="2575"/>
      <c r="AQ38" s="2660"/>
      <c r="AR38" s="2663"/>
      <c r="AS38" s="2514"/>
      <c r="AT38" s="1554"/>
      <c r="AU38" s="1554"/>
      <c r="AV38" s="1554"/>
      <c r="AW38" s="1554"/>
      <c r="AX38" s="1554"/>
      <c r="AY38" s="1549">
        <v>19</v>
      </c>
    </row>
    <row r="39" spans="1:51" ht="19.899999999999999" customHeight="1">
      <c r="Q39" s="312"/>
      <c r="R39" s="312"/>
      <c r="S39" s="2655"/>
      <c r="T39" s="2603"/>
      <c r="U39" s="954"/>
      <c r="V39" s="2514"/>
      <c r="W39" s="2726" t="s">
        <v>526</v>
      </c>
      <c r="X39" s="2726" t="s">
        <v>527</v>
      </c>
      <c r="Y39" s="2726"/>
      <c r="Z39" s="2726" t="s">
        <v>528</v>
      </c>
      <c r="AA39" s="2726" t="s">
        <v>527</v>
      </c>
      <c r="AB39" s="2726"/>
      <c r="AC39" s="2579"/>
      <c r="AD39" s="2685"/>
      <c r="AE39" s="2580"/>
      <c r="AF39" s="2660"/>
      <c r="AG39" s="2514"/>
      <c r="AH39" s="2726" t="s">
        <v>526</v>
      </c>
      <c r="AI39" s="2726" t="s">
        <v>527</v>
      </c>
      <c r="AJ39" s="2726"/>
      <c r="AK39" s="2726" t="s">
        <v>528</v>
      </c>
      <c r="AL39" s="2726" t="s">
        <v>527</v>
      </c>
      <c r="AM39" s="2726"/>
      <c r="AN39" s="2579"/>
      <c r="AO39" s="2685"/>
      <c r="AP39" s="2580"/>
      <c r="AQ39" s="2660"/>
      <c r="AR39" s="2663"/>
      <c r="AS39" s="2514"/>
      <c r="AY39" s="1073">
        <v>19</v>
      </c>
    </row>
    <row r="40" spans="1:51" ht="61.9" customHeight="1">
      <c r="A40" s="1288"/>
      <c r="B40" s="1288" t="s">
        <v>128</v>
      </c>
      <c r="C40" s="1288" t="s">
        <v>129</v>
      </c>
      <c r="D40" s="1288" t="s">
        <v>130</v>
      </c>
      <c r="E40" s="1282" t="s">
        <v>428</v>
      </c>
      <c r="F40" s="1282" t="s">
        <v>429</v>
      </c>
      <c r="G40" s="1282" t="s">
        <v>430</v>
      </c>
      <c r="H40" s="1282"/>
      <c r="I40" s="1282" t="s">
        <v>481</v>
      </c>
      <c r="J40" s="1282" t="s">
        <v>433</v>
      </c>
      <c r="K40" s="1282" t="s">
        <v>482</v>
      </c>
      <c r="L40" s="1282" t="s">
        <v>409</v>
      </c>
      <c r="Q40" s="312"/>
      <c r="R40" s="312"/>
      <c r="S40" s="2655"/>
      <c r="T40" s="2603"/>
      <c r="U40" s="239"/>
      <c r="V40" s="2514"/>
      <c r="W40" s="2726"/>
      <c r="X40" s="1895" t="s">
        <v>529</v>
      </c>
      <c r="Y40" s="1895" t="s">
        <v>530</v>
      </c>
      <c r="Z40" s="2726"/>
      <c r="AA40" s="1895" t="s">
        <v>531</v>
      </c>
      <c r="AB40" s="1895" t="s">
        <v>532</v>
      </c>
      <c r="AC40" s="1407" t="s">
        <v>437</v>
      </c>
      <c r="AD40" s="2608" t="s">
        <v>438</v>
      </c>
      <c r="AE40" s="2622"/>
      <c r="AF40" s="2661"/>
      <c r="AG40" s="2514"/>
      <c r="AH40" s="2726"/>
      <c r="AI40" s="1895" t="s">
        <v>529</v>
      </c>
      <c r="AJ40" s="1895" t="s">
        <v>530</v>
      </c>
      <c r="AK40" s="2726"/>
      <c r="AL40" s="1895" t="s">
        <v>531</v>
      </c>
      <c r="AM40" s="1895" t="s">
        <v>532</v>
      </c>
      <c r="AN40" s="1407" t="s">
        <v>437</v>
      </c>
      <c r="AO40" s="2608" t="s">
        <v>438</v>
      </c>
      <c r="AP40" s="2622"/>
      <c r="AQ40" s="2661"/>
      <c r="AR40" s="2664"/>
      <c r="AS40" s="2514"/>
      <c r="AY40" s="1073">
        <v>59</v>
      </c>
    </row>
    <row r="41" spans="1:51" s="243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102</v>
      </c>
      <c r="T41" s="1173" t="s">
        <v>103</v>
      </c>
      <c r="U41" s="1163" t="str">
        <f ca="1">OFFSET(U41,0,-1)</f>
        <v>2</v>
      </c>
      <c r="V41" s="1400">
        <f ca="1">OFFSET(V41,0,-1)+1</f>
        <v>3</v>
      </c>
      <c r="W41" s="1891"/>
      <c r="X41" s="1891"/>
      <c r="Y41" s="1891"/>
      <c r="Z41" s="1891"/>
      <c r="AA41" s="1891"/>
      <c r="AB41" s="1400">
        <f ca="1">OFFSET(AB41,0,-1)+1</f>
        <v>1</v>
      </c>
      <c r="AC41" s="1400">
        <f ca="1">OFFSET(AC41,0,-1)+1</f>
        <v>2</v>
      </c>
      <c r="AD41" s="2653">
        <f ca="1">OFFSET(AD41,0,-1)+1</f>
        <v>3</v>
      </c>
      <c r="AE41" s="2653"/>
      <c r="AF41" s="1400">
        <f ca="1">OFFSET(AF41,0,-2)+1</f>
        <v>4</v>
      </c>
      <c r="AG41" s="1400">
        <f ca="1">OFFSET(AG41,0,-1)+1</f>
        <v>5</v>
      </c>
      <c r="AH41" s="1891"/>
      <c r="AI41" s="1891"/>
      <c r="AJ41" s="1891"/>
      <c r="AK41" s="1891"/>
      <c r="AL41" s="1891"/>
      <c r="AM41" s="1400">
        <f ca="1">OFFSET(AM41,0,-1)+1</f>
        <v>1</v>
      </c>
      <c r="AN41" s="1400">
        <f ca="1">OFFSET(AN41,0,-1)+1</f>
        <v>2</v>
      </c>
      <c r="AO41" s="2653">
        <f ca="1">OFFSET(AO41,0,-1)+1</f>
        <v>3</v>
      </c>
      <c r="AP41" s="2653"/>
      <c r="AQ41" s="1400">
        <f ca="1">OFFSET(AQ41,0,-2)+1</f>
        <v>4</v>
      </c>
      <c r="AR41" s="1163">
        <f ca="1">OFFSET(AR41,0,-1)</f>
        <v>4</v>
      </c>
      <c r="AS41" s="1400">
        <f ca="1">OFFSET(AS41,0,-1)+1</f>
        <v>5</v>
      </c>
      <c r="AT41" s="447"/>
      <c r="AU41" s="447"/>
      <c r="AV41" s="447"/>
      <c r="AW41" s="447"/>
      <c r="AX41" s="447"/>
      <c r="AY41" s="432">
        <v>0</v>
      </c>
    </row>
    <row r="42" spans="1:51" ht="24" customHeight="1">
      <c r="A42" s="1281" t="s">
        <v>247</v>
      </c>
      <c r="B42" s="1281"/>
      <c r="C42" s="1281"/>
      <c r="D42" s="1281"/>
      <c r="E42" s="2642">
        <v>1</v>
      </c>
      <c r="F42" s="1281"/>
      <c r="G42" s="1281"/>
      <c r="H42" s="1281"/>
      <c r="I42" s="1281"/>
      <c r="J42" s="1281"/>
      <c r="K42" s="1281"/>
      <c r="L42" s="1282"/>
      <c r="M42" s="1283"/>
      <c r="N42" s="1283"/>
      <c r="O42" s="1283"/>
      <c r="P42" s="297"/>
      <c r="Q42" s="296"/>
      <c r="R42" s="291"/>
      <c r="S42" s="1411">
        <f>INDEX(PT_DIFFERENTIATION_NUM_NTAR,MATCH(A42,PT_DIFFERENTIATION_NTAR_ID,0))</f>
        <v>0</v>
      </c>
      <c r="T42" s="235" t="s">
        <v>116</v>
      </c>
      <c r="U42" s="237"/>
      <c r="V42" s="2636"/>
      <c r="W42" s="2637"/>
      <c r="X42" s="2637"/>
      <c r="Y42" s="2637"/>
      <c r="Z42" s="2637"/>
      <c r="AA42" s="2637"/>
      <c r="AB42" s="2637"/>
      <c r="AC42" s="2637"/>
      <c r="AD42" s="2637"/>
      <c r="AE42" s="2637"/>
      <c r="AF42" s="2638"/>
      <c r="AG42" s="2636" t="str">
        <f>INDEX(PT_DIFFERENTIATION_NTAR,MATCH(A42,PT_DIFFERENTIATION_NTAR_ID,0))</f>
        <v/>
      </c>
      <c r="AH42" s="2637"/>
      <c r="AI42" s="2637"/>
      <c r="AJ42" s="2637"/>
      <c r="AK42" s="2637"/>
      <c r="AL42" s="2637"/>
      <c r="AM42" s="2637"/>
      <c r="AN42" s="2637"/>
      <c r="AO42" s="2637"/>
      <c r="AP42" s="2637"/>
      <c r="AQ42" s="2637"/>
      <c r="AR42" s="263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3">
        <v>23</v>
      </c>
    </row>
    <row r="43" spans="1:51" ht="24" customHeight="1">
      <c r="A43" s="1281" t="s">
        <v>247</v>
      </c>
      <c r="B43" s="1281" t="s">
        <v>248</v>
      </c>
      <c r="C43" s="1281"/>
      <c r="D43" s="1281"/>
      <c r="E43" s="2643"/>
      <c r="F43" s="2642">
        <v>1</v>
      </c>
      <c r="G43" s="1281"/>
      <c r="H43" s="1281"/>
      <c r="I43" s="1281"/>
      <c r="J43" s="1281"/>
      <c r="K43" s="1281"/>
      <c r="L43" s="1282"/>
      <c r="M43" s="1283"/>
      <c r="N43" s="1283"/>
      <c r="O43" s="1283"/>
      <c r="P43" s="1405"/>
      <c r="Q43" s="288"/>
      <c r="R43" s="289"/>
      <c r="S43" s="1411" t="str">
        <f>INDEX(PT_DIFFERENTIATION_NUM_TER,MATCH(B43,PT_DIFFERENTIATION_TER_ID,0))</f>
        <v>.</v>
      </c>
      <c r="T43" s="245" t="s">
        <v>388</v>
      </c>
      <c r="U43" s="237"/>
      <c r="V43" s="2636"/>
      <c r="W43" s="2637"/>
      <c r="X43" s="2637"/>
      <c r="Y43" s="2637"/>
      <c r="Z43" s="2637"/>
      <c r="AA43" s="2637"/>
      <c r="AB43" s="2637"/>
      <c r="AC43" s="2637"/>
      <c r="AD43" s="2637"/>
      <c r="AE43" s="2637"/>
      <c r="AF43" s="2638"/>
      <c r="AG43" s="2636" t="str">
        <f>INDEX(PT_DIFFERENTIATION_TER,MATCH(B43,PT_DIFFERENTIATION_TER_ID,0))</f>
        <v/>
      </c>
      <c r="AH43" s="2637"/>
      <c r="AI43" s="2637"/>
      <c r="AJ43" s="2637"/>
      <c r="AK43" s="2637"/>
      <c r="AL43" s="2637"/>
      <c r="AM43" s="2637"/>
      <c r="AN43" s="2637"/>
      <c r="AO43" s="2637"/>
      <c r="AP43" s="2637"/>
      <c r="AQ43" s="2637"/>
      <c r="AR43" s="2638"/>
      <c r="AS43" s="1176" t="s">
        <v>389</v>
      </c>
      <c r="AU43" s="436"/>
      <c r="AV43" s="436" t="str">
        <f t="shared" si="1"/>
        <v>Территория действия тарифа</v>
      </c>
      <c r="AW43" s="436"/>
      <c r="AX43" s="436"/>
      <c r="AY43" s="1073">
        <v>23</v>
      </c>
    </row>
    <row r="44" spans="1:51" ht="24" customHeight="1">
      <c r="A44" s="1281" t="s">
        <v>247</v>
      </c>
      <c r="B44" s="1281" t="s">
        <v>248</v>
      </c>
      <c r="C44" s="1281" t="s">
        <v>249</v>
      </c>
      <c r="D44" s="1281"/>
      <c r="E44" s="2643"/>
      <c r="F44" s="2643"/>
      <c r="G44" s="2642">
        <v>1</v>
      </c>
      <c r="H44" s="1281"/>
      <c r="I44" s="1281"/>
      <c r="J44" s="1281"/>
      <c r="K44" s="1281"/>
      <c r="L44" s="1282"/>
      <c r="M44" s="1283"/>
      <c r="N44" s="1283"/>
      <c r="O44" s="1283"/>
      <c r="P44" s="290"/>
      <c r="Q44" s="288"/>
      <c r="R44" s="289"/>
      <c r="S44" s="1411" t="str">
        <f>INDEX(PT_DIFFERENTIATION_NUM_CS,MATCH(C44,PT_DIFFERENTIATION_CS_ID,0))</f>
        <v>..</v>
      </c>
      <c r="T44" s="246" t="s">
        <v>521</v>
      </c>
      <c r="U44" s="237"/>
      <c r="V44" s="2636"/>
      <c r="W44" s="2637"/>
      <c r="X44" s="2637"/>
      <c r="Y44" s="2637"/>
      <c r="Z44" s="2637"/>
      <c r="AA44" s="2637"/>
      <c r="AB44" s="2637"/>
      <c r="AC44" s="2637"/>
      <c r="AD44" s="2637"/>
      <c r="AE44" s="2637"/>
      <c r="AF44" s="2638"/>
      <c r="AG44" s="2636" t="str">
        <f>INDEX(PT_DIFFERENTIATION_CS,MATCH(C44,PT_DIFFERENTIATION_CS_ID,0))</f>
        <v/>
      </c>
      <c r="AH44" s="2637"/>
      <c r="AI44" s="2637"/>
      <c r="AJ44" s="2637"/>
      <c r="AK44" s="2637"/>
      <c r="AL44" s="2637"/>
      <c r="AM44" s="2637"/>
      <c r="AN44" s="2637"/>
      <c r="AO44" s="2637"/>
      <c r="AP44" s="2637"/>
      <c r="AQ44" s="2637"/>
      <c r="AR44" s="2638"/>
      <c r="AS44" s="1176" t="s">
        <v>522</v>
      </c>
      <c r="AU44" s="436"/>
      <c r="AV44" s="436" t="str">
        <f t="shared" si="1"/>
        <v>Наименование централизованной системы горячего водоснабжения</v>
      </c>
      <c r="AW44" s="436"/>
      <c r="AX44" s="436"/>
      <c r="AY44" s="1073">
        <v>23</v>
      </c>
    </row>
    <row r="45" spans="1:51" ht="24" customHeight="1">
      <c r="A45" s="1281" t="s">
        <v>247</v>
      </c>
      <c r="B45" s="1281" t="s">
        <v>248</v>
      </c>
      <c r="C45" s="1281" t="s">
        <v>249</v>
      </c>
      <c r="D45" s="1281" t="s">
        <v>534</v>
      </c>
      <c r="E45" s="2643"/>
      <c r="F45" s="2643"/>
      <c r="G45" s="2643"/>
      <c r="H45" s="2643"/>
      <c r="I45" s="2644" t="str">
        <f>S44&amp;".1"</f>
        <v>...1</v>
      </c>
      <c r="J45" s="1281"/>
      <c r="K45" s="1281"/>
      <c r="L45" s="1282"/>
      <c r="P45" s="2646">
        <v>1</v>
      </c>
      <c r="Q45" s="1399"/>
      <c r="R45" s="292"/>
      <c r="S45" s="1411" t="str">
        <f>$I45</f>
        <v>...1</v>
      </c>
      <c r="T45" s="222" t="s">
        <v>474</v>
      </c>
      <c r="U45" s="237"/>
      <c r="V45" s="2710"/>
      <c r="W45" s="2711"/>
      <c r="X45" s="2711"/>
      <c r="Y45" s="2711"/>
      <c r="Z45" s="2711"/>
      <c r="AA45" s="2711"/>
      <c r="AB45" s="2711"/>
      <c r="AC45" s="2711"/>
      <c r="AD45" s="2711"/>
      <c r="AE45" s="2711"/>
      <c r="AF45" s="2712"/>
      <c r="AG45" s="2713"/>
      <c r="AH45" s="2714"/>
      <c r="AI45" s="2714"/>
      <c r="AJ45" s="2714"/>
      <c r="AK45" s="2714"/>
      <c r="AL45" s="2714"/>
      <c r="AM45" s="2714"/>
      <c r="AN45" s="2714"/>
      <c r="AO45" s="2714"/>
      <c r="AP45" s="2714"/>
      <c r="AQ45" s="2714"/>
      <c r="AR45" s="2715"/>
      <c r="AS45" s="1176" t="s">
        <v>475</v>
      </c>
      <c r="AU45" s="436"/>
      <c r="AV45" s="436" t="str">
        <f t="shared" si="1"/>
        <v>Наименование признака дифференциации</v>
      </c>
      <c r="AW45" s="436"/>
      <c r="AX45" s="436"/>
      <c r="AY45" s="1073">
        <v>23</v>
      </c>
    </row>
    <row r="46" spans="1:51" ht="24" customHeight="1">
      <c r="A46" s="1281" t="s">
        <v>247</v>
      </c>
      <c r="B46" s="1281" t="s">
        <v>248</v>
      </c>
      <c r="C46" s="1281" t="s">
        <v>249</v>
      </c>
      <c r="D46" s="1281" t="s">
        <v>534</v>
      </c>
      <c r="E46" s="2643"/>
      <c r="F46" s="2643"/>
      <c r="G46" s="2643"/>
      <c r="H46" s="2643"/>
      <c r="I46" s="2645"/>
      <c r="J46" s="2644" t="str">
        <f>I45&amp;".1"</f>
        <v>...1.1</v>
      </c>
      <c r="K46" s="1281"/>
      <c r="L46" s="1282" t="s">
        <v>397</v>
      </c>
      <c r="P46" s="2646"/>
      <c r="Q46" s="2646">
        <v>1</v>
      </c>
      <c r="R46" s="293"/>
      <c r="S46" s="1411" t="str">
        <f>$J46</f>
        <v>...1.1</v>
      </c>
      <c r="T46" s="223" t="s">
        <v>398</v>
      </c>
      <c r="U46" s="237"/>
      <c r="V46" s="2630"/>
      <c r="W46" s="2631"/>
      <c r="X46" s="2631"/>
      <c r="Y46" s="2631"/>
      <c r="Z46" s="2631"/>
      <c r="AA46" s="2631"/>
      <c r="AB46" s="2631"/>
      <c r="AC46" s="2631"/>
      <c r="AD46" s="2631"/>
      <c r="AE46" s="2631"/>
      <c r="AF46" s="2632"/>
      <c r="AG46" s="2630"/>
      <c r="AH46" s="2631"/>
      <c r="AI46" s="2631"/>
      <c r="AJ46" s="2631"/>
      <c r="AK46" s="2631"/>
      <c r="AL46" s="2631"/>
      <c r="AM46" s="2631"/>
      <c r="AN46" s="2631"/>
      <c r="AO46" s="2631"/>
      <c r="AP46" s="2631"/>
      <c r="AQ46" s="2631"/>
      <c r="AR46" s="2632"/>
      <c r="AS46" s="1225" t="s">
        <v>476</v>
      </c>
      <c r="AU46" s="436"/>
      <c r="AV46" s="436" t="str">
        <f t="shared" si="1"/>
        <v>Группа потребителей</v>
      </c>
      <c r="AW46" s="436"/>
      <c r="AX46" s="436"/>
      <c r="AY46" s="1073">
        <v>23</v>
      </c>
    </row>
    <row r="47" spans="1:51" ht="24" customHeight="1">
      <c r="A47" s="1281" t="s">
        <v>247</v>
      </c>
      <c r="B47" s="1281" t="s">
        <v>248</v>
      </c>
      <c r="C47" s="1281" t="s">
        <v>249</v>
      </c>
      <c r="D47" s="1281" t="s">
        <v>534</v>
      </c>
      <c r="E47" s="2643"/>
      <c r="F47" s="2643"/>
      <c r="G47" s="2643"/>
      <c r="H47" s="2643"/>
      <c r="I47" s="2645"/>
      <c r="J47" s="2645"/>
      <c r="K47" s="2644" t="str">
        <f>J46&amp;".1"</f>
        <v>...1.1.1</v>
      </c>
      <c r="L47" s="1282"/>
      <c r="P47" s="2646"/>
      <c r="Q47" s="2646"/>
      <c r="R47" s="293">
        <v>1</v>
      </c>
      <c r="S47" s="1411" t="str">
        <f>$K47</f>
        <v>...1.1.1</v>
      </c>
      <c r="T47" s="1355"/>
      <c r="U47" s="237"/>
      <c r="V47" s="1278"/>
      <c r="W47" s="1278"/>
      <c r="X47" s="1278"/>
      <c r="Y47" s="1278"/>
      <c r="Z47" s="1278"/>
      <c r="AA47" s="1278"/>
      <c r="AB47" s="1279"/>
      <c r="AC47" s="2640"/>
      <c r="AD47" s="2639" t="s">
        <v>65</v>
      </c>
      <c r="AE47" s="2640"/>
      <c r="AF47" s="2639" t="s">
        <v>65</v>
      </c>
      <c r="AG47" s="687"/>
      <c r="AH47" s="687"/>
      <c r="AI47" s="687"/>
      <c r="AJ47" s="687"/>
      <c r="AK47" s="687"/>
      <c r="AL47" s="687"/>
      <c r="AM47" s="1175"/>
      <c r="AN47" s="2647"/>
      <c r="AO47" s="2524" t="s">
        <v>65</v>
      </c>
      <c r="AP47" s="2649"/>
      <c r="AQ47" s="2524" t="s">
        <v>19</v>
      </c>
      <c r="AR47" s="1356"/>
      <c r="AS47" s="2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3">
        <v>23</v>
      </c>
    </row>
    <row r="48" spans="1:51" ht="0" hidden="1" customHeight="1">
      <c r="A48" s="1281" t="s">
        <v>247</v>
      </c>
      <c r="B48" s="1281" t="s">
        <v>248</v>
      </c>
      <c r="C48" s="1281" t="s">
        <v>249</v>
      </c>
      <c r="D48" s="1281" t="s">
        <v>534</v>
      </c>
      <c r="E48" s="2643"/>
      <c r="F48" s="2643"/>
      <c r="G48" s="2643"/>
      <c r="H48" s="2643"/>
      <c r="I48" s="2645"/>
      <c r="J48" s="2645"/>
      <c r="K48" s="2644"/>
      <c r="L48" s="1282"/>
      <c r="P48" s="2646"/>
      <c r="Q48" s="2646"/>
      <c r="R48" s="293"/>
      <c r="S48" s="1408"/>
      <c r="T48" s="237"/>
      <c r="U48" s="237"/>
      <c r="V48" s="1278"/>
      <c r="W48" s="1278"/>
      <c r="X48" s="1278"/>
      <c r="Y48" s="1278"/>
      <c r="Z48" s="1278"/>
      <c r="AA48" s="1278"/>
      <c r="AB48" s="265" t="str">
        <f>AC47&amp;"-"&amp;AE47</f>
        <v>-</v>
      </c>
      <c r="AC48" s="2639"/>
      <c r="AD48" s="2639"/>
      <c r="AE48" s="2639"/>
      <c r="AF48" s="2639"/>
      <c r="AG48" s="262"/>
      <c r="AH48" s="262"/>
      <c r="AI48" s="262"/>
      <c r="AJ48" s="262"/>
      <c r="AK48" s="262"/>
      <c r="AL48" s="262"/>
      <c r="AM48" s="265" t="str">
        <f>AN47&amp;"-"&amp;AP47</f>
        <v>-</v>
      </c>
      <c r="AN48" s="2648"/>
      <c r="AO48" s="2524"/>
      <c r="AP48" s="2650"/>
      <c r="AQ48" s="2524"/>
      <c r="AR48" s="1357"/>
      <c r="AS48" s="2716"/>
      <c r="AU48" s="436"/>
      <c r="AV48" s="436" t="str">
        <f t="shared" si="1"/>
        <v/>
      </c>
      <c r="AW48" s="436"/>
      <c r="AX48" s="436"/>
      <c r="AY48" s="1073">
        <v>0</v>
      </c>
    </row>
    <row r="49" spans="1:51" ht="21" customHeight="1">
      <c r="A49" s="1281" t="s">
        <v>247</v>
      </c>
      <c r="B49" s="1281" t="s">
        <v>248</v>
      </c>
      <c r="C49" s="1281" t="s">
        <v>249</v>
      </c>
      <c r="D49" s="1281" t="s">
        <v>534</v>
      </c>
      <c r="E49" s="2643"/>
      <c r="F49" s="2643"/>
      <c r="G49" s="2643"/>
      <c r="H49" s="2643"/>
      <c r="I49" s="2645"/>
      <c r="J49" s="2644"/>
      <c r="K49" s="1281"/>
      <c r="L49" s="1282"/>
      <c r="P49" s="2646"/>
      <c r="Q49" s="2646"/>
      <c r="R49" s="292"/>
      <c r="S49" s="1196"/>
      <c r="T49" s="224" t="s">
        <v>477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6" t="s">
        <v>478</v>
      </c>
      <c r="AU49" s="436"/>
      <c r="AV49" s="436" t="str">
        <f t="shared" si="1"/>
        <v>Добавить значение признака дифференциации</v>
      </c>
      <c r="AW49" s="436"/>
      <c r="AX49" s="436"/>
      <c r="AY49" s="1073">
        <v>20</v>
      </c>
    </row>
    <row r="50" spans="1:51" ht="21.95" customHeight="1">
      <c r="A50" s="1281" t="s">
        <v>247</v>
      </c>
      <c r="B50" s="1281" t="s">
        <v>248</v>
      </c>
      <c r="C50" s="1281" t="s">
        <v>249</v>
      </c>
      <c r="D50" s="1281" t="s">
        <v>534</v>
      </c>
      <c r="E50" s="2643"/>
      <c r="F50" s="2643"/>
      <c r="G50" s="2643"/>
      <c r="H50" s="2643"/>
      <c r="I50" s="2644"/>
      <c r="J50" s="1281"/>
      <c r="K50" s="1281"/>
      <c r="L50" s="1282"/>
      <c r="P50" s="2646"/>
      <c r="Q50" s="1399"/>
      <c r="R50" s="292"/>
      <c r="S50" s="1196"/>
      <c r="T50" s="301" t="s">
        <v>403</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8"/>
      <c r="AU50" s="436"/>
      <c r="AV50" s="436" t="str">
        <f t="shared" si="1"/>
        <v>Добавить группу потребителей</v>
      </c>
      <c r="AW50" s="436"/>
      <c r="AX50" s="436"/>
      <c r="AY50" s="1073">
        <v>21</v>
      </c>
    </row>
    <row r="51" spans="1:51" ht="21.95" customHeight="1">
      <c r="A51" s="1281" t="s">
        <v>247</v>
      </c>
      <c r="B51" s="1281" t="s">
        <v>248</v>
      </c>
      <c r="C51" s="1281" t="s">
        <v>249</v>
      </c>
      <c r="D51" s="1281" t="s">
        <v>534</v>
      </c>
      <c r="E51" s="2643"/>
      <c r="F51" s="2643"/>
      <c r="G51" s="2643"/>
      <c r="H51" s="2642"/>
      <c r="I51" s="1281"/>
      <c r="J51" s="1281"/>
      <c r="K51" s="1281"/>
      <c r="L51" s="1282"/>
      <c r="M51" s="1283"/>
      <c r="N51" s="1283"/>
      <c r="O51" s="473"/>
      <c r="P51" s="296"/>
      <c r="Q51" s="311"/>
      <c r="R51" s="291"/>
      <c r="S51" s="1196"/>
      <c r="T51" s="308" t="s">
        <v>479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3">
        <v>21</v>
      </c>
    </row>
    <row r="52" spans="1:51" s="2407" customFormat="1" ht="0" hidden="1" customHeight="1">
      <c r="A52" s="1261" t="s">
        <v>247</v>
      </c>
      <c r="B52" s="1261" t="s">
        <v>248</v>
      </c>
      <c r="C52" s="1232"/>
      <c r="D52" s="1232"/>
      <c r="E52" s="2643"/>
      <c r="F52" s="2642"/>
      <c r="G52" s="1232"/>
      <c r="H52" s="1232"/>
      <c r="I52" s="1232"/>
      <c r="J52" s="1232"/>
      <c r="K52" s="1232"/>
      <c r="L52" s="1412"/>
      <c r="M52" s="1239"/>
      <c r="N52" s="1239"/>
      <c r="P52" s="1234"/>
      <c r="Q52" s="1235"/>
      <c r="R52" s="1234"/>
      <c r="S52" s="1240"/>
      <c r="T52" s="1243" t="s">
        <v>406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9"/>
      <c r="AV52" s="719" t="str">
        <f t="shared" si="1"/>
        <v>Добавить централизованную систему для дифференциации</v>
      </c>
      <c r="AW52" s="719"/>
      <c r="AX52" s="719"/>
      <c r="AY52" s="454">
        <v>0</v>
      </c>
    </row>
    <row r="53" spans="1:51" s="2407" customFormat="1" ht="0" hidden="1" customHeight="1">
      <c r="A53" s="1261" t="s">
        <v>247</v>
      </c>
      <c r="B53" s="1261"/>
      <c r="C53" s="1261"/>
      <c r="D53" s="1261"/>
      <c r="E53" s="2642"/>
      <c r="F53" s="1261"/>
      <c r="G53" s="1261"/>
      <c r="H53" s="1261"/>
      <c r="I53" s="1261"/>
      <c r="J53" s="1261"/>
      <c r="K53" s="1261"/>
      <c r="L53" s="1264"/>
      <c r="M53" s="1239"/>
      <c r="N53" s="1239"/>
      <c r="O53" s="454"/>
      <c r="P53" s="316"/>
      <c r="Q53" s="1262"/>
      <c r="R53" s="316"/>
      <c r="S53" s="1240"/>
      <c r="T53" s="1243" t="s">
        <v>407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6"/>
      <c r="AV53" s="436" t="str">
        <f t="shared" si="1"/>
        <v>Добавить территорию для дифференциации</v>
      </c>
      <c r="AW53" s="436"/>
      <c r="AX53" s="436"/>
      <c r="AY53" s="447">
        <v>0</v>
      </c>
    </row>
    <row r="54" spans="1:51" s="240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439</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9"/>
      <c r="AV54" s="719" t="str">
        <f t="shared" si="1"/>
        <v>Добавить наименование тарифа</v>
      </c>
      <c r="AW54" s="719"/>
      <c r="AX54" s="719"/>
      <c r="AY54" s="454">
        <v>0</v>
      </c>
    </row>
    <row r="55" spans="1:51" ht="11.45" customHeight="1">
      <c r="M55" s="1078"/>
      <c r="N55" s="1078"/>
      <c r="O55" s="473"/>
      <c r="P55" s="1073"/>
      <c r="Q55" s="1073"/>
      <c r="R55" s="1073"/>
      <c r="S55" s="1073"/>
      <c r="AT55" s="1073"/>
      <c r="AU55" s="1073"/>
      <c r="AV55" s="1073"/>
      <c r="AW55" s="1073"/>
      <c r="AX55" s="1073"/>
      <c r="AY55" s="1073">
        <v>11</v>
      </c>
    </row>
    <row r="56" spans="1:51" ht="14.65" customHeight="1">
      <c r="O56" s="473"/>
      <c r="S56" s="1171"/>
      <c r="T56" s="2641"/>
      <c r="U56" s="2641"/>
      <c r="V56" s="2641"/>
      <c r="W56" s="2641"/>
      <c r="X56" s="2641"/>
      <c r="Y56" s="2641"/>
      <c r="Z56" s="2641"/>
      <c r="AA56" s="2641"/>
      <c r="AB56" s="2641"/>
      <c r="AC56" s="2641"/>
      <c r="AD56" s="2641"/>
      <c r="AE56" s="2641"/>
      <c r="AF56" s="2641"/>
      <c r="AG56" s="2641"/>
      <c r="AH56" s="2641"/>
      <c r="AI56" s="2641"/>
      <c r="AJ56" s="2641"/>
      <c r="AK56" s="2641"/>
      <c r="AL56" s="2641"/>
      <c r="AM56" s="2641"/>
      <c r="AN56" s="2641"/>
      <c r="AO56" s="2641"/>
      <c r="AP56" s="2641"/>
      <c r="AQ56" s="2641"/>
      <c r="AR56" s="2641"/>
      <c r="AS56" s="2641"/>
      <c r="AY56" s="1073">
        <v>14</v>
      </c>
    </row>
    <row r="57" spans="1:51" ht="14.65" customHeight="1">
      <c r="O57" s="473"/>
      <c r="AY57" s="1073">
        <v>14</v>
      </c>
    </row>
    <row r="58" spans="1:51" ht="14.65" customHeight="1">
      <c r="O58" s="473"/>
      <c r="S58" s="1171"/>
      <c r="T58" s="2641"/>
      <c r="U58" s="2641"/>
      <c r="V58" s="2641"/>
      <c r="W58" s="2641"/>
      <c r="X58" s="2641"/>
      <c r="Y58" s="2641"/>
      <c r="Z58" s="2641"/>
      <c r="AA58" s="2641"/>
      <c r="AB58" s="2641"/>
      <c r="AC58" s="2641"/>
      <c r="AD58" s="2641"/>
      <c r="AE58" s="2641"/>
      <c r="AF58" s="2641"/>
      <c r="AG58" s="2641"/>
      <c r="AH58" s="2641"/>
      <c r="AI58" s="2641"/>
      <c r="AJ58" s="2641"/>
      <c r="AK58" s="2641"/>
      <c r="AL58" s="2641"/>
      <c r="AM58" s="2641"/>
      <c r="AN58" s="2641"/>
      <c r="AO58" s="2641"/>
      <c r="AP58" s="2641"/>
      <c r="AQ58" s="2641"/>
      <c r="AR58" s="2641"/>
      <c r="AS58" s="2641"/>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1">
        <v>3</v>
      </c>
      <c r="R59" s="281">
        <v>3</v>
      </c>
      <c r="S59" s="517">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7">
        <v>10</v>
      </c>
      <c r="AU59" s="447">
        <v>10</v>
      </c>
      <c r="AV59" s="447">
        <v>10</v>
      </c>
      <c r="AW59" s="447">
        <v>10</v>
      </c>
      <c r="AX59" s="447">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06" hidden="1" customWidth="1"/>
    <col min="2" max="2" width="11" style="2406" hidden="1" customWidth="1"/>
    <col min="3" max="3" width="10.5703125" style="2406" hidden="1"/>
    <col min="4" max="4" width="12.85546875" style="2406" hidden="1" customWidth="1"/>
    <col min="5" max="5" width="10" style="2406" hidden="1" customWidth="1"/>
    <col min="6" max="6" width="8.7109375" style="2406" hidden="1" customWidth="1"/>
    <col min="7" max="7" width="7.5703125" style="2406" hidden="1" customWidth="1"/>
    <col min="8" max="8" width="11.42578125" style="2406" hidden="1" customWidth="1"/>
    <col min="9" max="9" width="12" style="2406" hidden="1" customWidth="1"/>
    <col min="10" max="10" width="9.85546875" style="2406" hidden="1" customWidth="1"/>
    <col min="11" max="11" width="11.42578125" style="2406" hidden="1" customWidth="1"/>
    <col min="12" max="12" width="19.140625" style="2432" hidden="1" customWidth="1"/>
    <col min="13" max="14" width="12.28515625" style="2433" hidden="1" customWidth="1"/>
    <col min="15" max="15" width="23.42578125" style="2433" hidden="1" customWidth="1"/>
    <col min="16" max="16" width="3.7109375" style="2433" hidden="1" customWidth="1"/>
    <col min="17" max="17" width="3.7109375" style="2438" hidden="1" customWidth="1"/>
    <col min="18" max="18" width="3" style="2435" customWidth="1"/>
    <col min="19" max="19" width="12" style="2436" customWidth="1"/>
    <col min="20" max="20" width="31" style="2400" customWidth="1"/>
    <col min="21" max="21" width="0.140625" style="2400" customWidth="1"/>
    <col min="22" max="25" width="21.7109375" style="2400" hidden="1" customWidth="1"/>
    <col min="26" max="26" width="11.7109375" style="2400" hidden="1" customWidth="1"/>
    <col min="27" max="27" width="3.7109375" style="2400" hidden="1" customWidth="1"/>
    <col min="28" max="28" width="11.7109375" style="2400" hidden="1" customWidth="1"/>
    <col min="29" max="29" width="8.5703125" style="2400" hidden="1" customWidth="1"/>
    <col min="30" max="30" width="3.7109375" style="2400" customWidth="1"/>
    <col min="31" max="32" width="3" style="2400" customWidth="1"/>
    <col min="33" max="33" width="24" style="2400" customWidth="1"/>
    <col min="34" max="34" width="3.7109375" style="2400" customWidth="1"/>
    <col min="35" max="36" width="3" style="2400" customWidth="1"/>
    <col min="37" max="37" width="24" style="2400" customWidth="1"/>
    <col min="38" max="38" width="3.7109375" style="2400" customWidth="1"/>
    <col min="39" max="40" width="3" style="2400" customWidth="1"/>
    <col min="41" max="41" width="18" style="2400" customWidth="1"/>
    <col min="42" max="42" width="3.7109375" style="2400" customWidth="1"/>
    <col min="43" max="44" width="3" style="2400" customWidth="1"/>
    <col min="45" max="45" width="18" style="2400" customWidth="1"/>
    <col min="46" max="49" width="21" style="2400" customWidth="1"/>
    <col min="50" max="50" width="11" style="2400" customWidth="1"/>
    <col min="51" max="51" width="3.7109375" style="2400" customWidth="1"/>
    <col min="52" max="52" width="11" style="2400" customWidth="1"/>
    <col min="53" max="53" width="8.5703125" style="2400" hidden="1" customWidth="1"/>
    <col min="54" max="54" width="4" style="2400" customWidth="1"/>
    <col min="55" max="55" width="115" style="2400" customWidth="1"/>
    <col min="56" max="60" width="10" style="2407" customWidth="1"/>
    <col min="61" max="61" width="10.5703125" style="2400" hidden="1"/>
  </cols>
  <sheetData>
    <row r="1" spans="1:61" ht="22.5" hidden="1" customHeight="1">
      <c r="W1" s="264"/>
      <c r="Y1" s="264"/>
      <c r="Z1" s="264"/>
      <c r="AW1" s="264"/>
      <c r="AX1" s="264"/>
      <c r="BI1" s="1073" t="s">
        <v>14</v>
      </c>
    </row>
    <row r="2" spans="1:61" ht="21" hidden="1" customHeight="1">
      <c r="A2" s="1281"/>
      <c r="B2" s="1281"/>
      <c r="C2" s="1281"/>
      <c r="D2" s="1281"/>
      <c r="E2" s="2642">
        <v>1</v>
      </c>
      <c r="F2" s="1281"/>
      <c r="G2" s="1281"/>
      <c r="H2" s="1281"/>
      <c r="I2" s="1281"/>
      <c r="J2" s="1281"/>
      <c r="K2" s="1281"/>
      <c r="L2" s="1282"/>
      <c r="M2" s="1283"/>
      <c r="N2" s="1283"/>
      <c r="O2" s="1283"/>
      <c r="P2" s="1327"/>
      <c r="Q2" s="799"/>
      <c r="R2" s="291"/>
      <c r="S2" s="1411" t="e">
        <f>INDEX(PT_DIFFERENTIATION_NUM_NTAR,MATCH(A2,PT_DIFFERENTIATION_NTAR_ID,0))</f>
        <v>#N/A</v>
      </c>
      <c r="T2" s="235" t="s">
        <v>116</v>
      </c>
      <c r="U2" s="237"/>
      <c r="V2" s="2637"/>
      <c r="W2" s="2637"/>
      <c r="X2" s="2637"/>
      <c r="Y2" s="2637"/>
      <c r="Z2" s="2637"/>
      <c r="AA2" s="2637"/>
      <c r="AB2" s="2637"/>
      <c r="AC2" s="2638"/>
      <c r="AD2" s="2636" t="e">
        <f>INDEX(PT_DIFFERENTIATION_NTAR,MATCH(A2,PT_DIFFERENTIATION_NTAR_ID,0))</f>
        <v>#N/A</v>
      </c>
      <c r="AE2" s="2637"/>
      <c r="AF2" s="2637"/>
      <c r="AG2" s="2637"/>
      <c r="AH2" s="2637"/>
      <c r="AI2" s="2637"/>
      <c r="AJ2" s="2637"/>
      <c r="AK2" s="2637"/>
      <c r="AL2" s="2637"/>
      <c r="AM2" s="2637"/>
      <c r="AN2" s="2637"/>
      <c r="AO2" s="2637"/>
      <c r="AP2" s="2637"/>
      <c r="AQ2" s="2637"/>
      <c r="AR2" s="2637"/>
      <c r="AS2" s="2637"/>
      <c r="AT2" s="2637"/>
      <c r="AU2" s="2637"/>
      <c r="AV2" s="2637"/>
      <c r="AW2" s="2637"/>
      <c r="AX2" s="2637"/>
      <c r="AY2" s="2637"/>
      <c r="AZ2" s="2637"/>
      <c r="BA2" s="2637"/>
      <c r="BB2" s="263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3">
        <v>0</v>
      </c>
    </row>
    <row r="3" spans="1:61" ht="21" hidden="1" customHeight="1">
      <c r="A3" s="1281"/>
      <c r="B3" s="1281"/>
      <c r="C3" s="1281"/>
      <c r="D3" s="1281"/>
      <c r="E3" s="2643"/>
      <c r="F3" s="2642">
        <v>1</v>
      </c>
      <c r="G3" s="1281"/>
      <c r="H3" s="1281"/>
      <c r="I3" s="1281"/>
      <c r="J3" s="1281"/>
      <c r="K3" s="1281"/>
      <c r="L3" s="1282"/>
      <c r="M3" s="1283"/>
      <c r="N3" s="1283"/>
      <c r="O3" s="1283"/>
      <c r="P3" s="1328"/>
      <c r="Q3" s="1329"/>
      <c r="R3" s="289"/>
      <c r="S3" s="1411" t="e">
        <f>INDEX(PT_DIFFERENTIATION_NUM_TER,MATCH(B3,PT_DIFFERENTIATION_TER_ID,0))</f>
        <v>#N/A</v>
      </c>
      <c r="T3" s="245" t="s">
        <v>388</v>
      </c>
      <c r="U3" s="237"/>
      <c r="V3" s="2637"/>
      <c r="W3" s="2637"/>
      <c r="X3" s="2637"/>
      <c r="Y3" s="2637"/>
      <c r="Z3" s="2637"/>
      <c r="AA3" s="2637"/>
      <c r="AB3" s="2637"/>
      <c r="AC3" s="2638"/>
      <c r="AD3" s="2636" t="e">
        <f>INDEX(PT_DIFFERENTIATION_TER,MATCH(B3,PT_DIFFERENTIATION_TER_ID,0))</f>
        <v>#N/A</v>
      </c>
      <c r="AE3" s="2637"/>
      <c r="AF3" s="2637"/>
      <c r="AG3" s="2637"/>
      <c r="AH3" s="2637"/>
      <c r="AI3" s="2637"/>
      <c r="AJ3" s="2637"/>
      <c r="AK3" s="2637"/>
      <c r="AL3" s="2637"/>
      <c r="AM3" s="2637"/>
      <c r="AN3" s="2637"/>
      <c r="AO3" s="2637"/>
      <c r="AP3" s="2637"/>
      <c r="AQ3" s="2637"/>
      <c r="AR3" s="2637"/>
      <c r="AS3" s="2637"/>
      <c r="AT3" s="2637"/>
      <c r="AU3" s="2637"/>
      <c r="AV3" s="2637"/>
      <c r="AW3" s="2637"/>
      <c r="AX3" s="2637"/>
      <c r="AY3" s="2637"/>
      <c r="AZ3" s="2637"/>
      <c r="BA3" s="2637"/>
      <c r="BB3" s="2638"/>
      <c r="BC3" s="1176" t="s">
        <v>389</v>
      </c>
      <c r="BE3" s="436"/>
      <c r="BF3" s="436" t="str">
        <f t="shared" si="0"/>
        <v>Территория действия тарифа</v>
      </c>
      <c r="BG3" s="436"/>
      <c r="BH3" s="436"/>
      <c r="BI3" s="1073">
        <v>0</v>
      </c>
    </row>
    <row r="4" spans="1:61" ht="33.75" hidden="1" customHeight="1">
      <c r="A4" s="1281"/>
      <c r="B4" s="1281"/>
      <c r="C4" s="1281"/>
      <c r="D4" s="1281"/>
      <c r="E4" s="2643"/>
      <c r="F4" s="2643"/>
      <c r="G4" s="2642">
        <v>1</v>
      </c>
      <c r="H4" s="1281"/>
      <c r="I4" s="1281"/>
      <c r="J4" s="1281"/>
      <c r="K4" s="1281"/>
      <c r="L4" s="1282"/>
      <c r="M4" s="1283"/>
      <c r="N4" s="1283"/>
      <c r="O4" s="1283"/>
      <c r="P4" s="1330"/>
      <c r="Q4" s="1329"/>
      <c r="R4" s="289"/>
      <c r="S4" s="1411" t="e">
        <f>INDEX(PT_DIFFERENTIATION_NUM_CS,MATCH(C4,PT_DIFFERENTIATION_CS_ID,0))</f>
        <v>#N/A</v>
      </c>
      <c r="T4" s="246" t="s">
        <v>521</v>
      </c>
      <c r="U4" s="237"/>
      <c r="V4" s="2637"/>
      <c r="W4" s="2637"/>
      <c r="X4" s="2637"/>
      <c r="Y4" s="2637"/>
      <c r="Z4" s="2637"/>
      <c r="AA4" s="2637"/>
      <c r="AB4" s="2637"/>
      <c r="AC4" s="2638"/>
      <c r="AD4" s="2636" t="e">
        <f>INDEX(PT_DIFFERENTIATION_CS,MATCH(C4,PT_DIFFERENTIATION_CS_ID,0))</f>
        <v>#N/A</v>
      </c>
      <c r="AE4" s="2637"/>
      <c r="AF4" s="2637"/>
      <c r="AG4" s="2637"/>
      <c r="AH4" s="2637"/>
      <c r="AI4" s="2637"/>
      <c r="AJ4" s="2637"/>
      <c r="AK4" s="2637"/>
      <c r="AL4" s="2637"/>
      <c r="AM4" s="2637"/>
      <c r="AN4" s="2637"/>
      <c r="AO4" s="2637"/>
      <c r="AP4" s="2637"/>
      <c r="AQ4" s="2637"/>
      <c r="AR4" s="2637"/>
      <c r="AS4" s="2637"/>
      <c r="AT4" s="2637"/>
      <c r="AU4" s="2637"/>
      <c r="AV4" s="2637"/>
      <c r="AW4" s="2637"/>
      <c r="AX4" s="2637"/>
      <c r="AY4" s="2637"/>
      <c r="AZ4" s="2637"/>
      <c r="BA4" s="2637"/>
      <c r="BB4" s="2638"/>
      <c r="BC4" s="1176" t="s">
        <v>522</v>
      </c>
      <c r="BE4" s="436"/>
      <c r="BF4" s="436" t="str">
        <f t="shared" si="0"/>
        <v>Наименование централизованной системы горячего водоснабжения</v>
      </c>
      <c r="BG4" s="436"/>
      <c r="BH4" s="436"/>
      <c r="BI4" s="1073">
        <v>0</v>
      </c>
    </row>
    <row r="5" spans="1:61" s="2407" customFormat="1" ht="14.25" hidden="1" customHeight="1">
      <c r="A5" s="1261"/>
      <c r="B5" s="1261"/>
      <c r="C5" s="1261"/>
      <c r="D5" s="1261"/>
      <c r="E5" s="2643"/>
      <c r="F5" s="2643"/>
      <c r="G5" s="2643"/>
      <c r="H5" s="2642">
        <v>1</v>
      </c>
      <c r="I5" s="1261"/>
      <c r="J5" s="1261"/>
      <c r="K5" s="1261"/>
      <c r="L5" s="1264"/>
      <c r="M5" s="1233"/>
      <c r="N5" s="1233"/>
      <c r="O5" s="1233"/>
      <c r="P5" s="1415"/>
      <c r="Q5" s="1416"/>
      <c r="R5" s="293"/>
      <c r="S5" s="965"/>
      <c r="T5" s="1417"/>
      <c r="U5" s="1302"/>
      <c r="V5" s="2674"/>
      <c r="W5" s="2674"/>
      <c r="X5" s="2674"/>
      <c r="Y5" s="2674"/>
      <c r="Z5" s="2674"/>
      <c r="AA5" s="2674"/>
      <c r="AB5" s="2674"/>
      <c r="AC5" s="2675"/>
      <c r="AD5" s="2673"/>
      <c r="AE5" s="2674"/>
      <c r="AF5" s="2674"/>
      <c r="AG5" s="2674"/>
      <c r="AH5" s="2674"/>
      <c r="AI5" s="2674"/>
      <c r="AJ5" s="2674"/>
      <c r="AK5" s="2674"/>
      <c r="AL5" s="2674"/>
      <c r="AM5" s="2674"/>
      <c r="AN5" s="2674"/>
      <c r="AO5" s="2674"/>
      <c r="AP5" s="2674"/>
      <c r="AQ5" s="2674"/>
      <c r="AR5" s="2674"/>
      <c r="AS5" s="2674"/>
      <c r="AT5" s="2674"/>
      <c r="AU5" s="2674"/>
      <c r="AV5" s="2674"/>
      <c r="AW5" s="2674"/>
      <c r="AX5" s="2674"/>
      <c r="AY5" s="2674"/>
      <c r="AZ5" s="2674"/>
      <c r="BA5" s="2674"/>
      <c r="BB5" s="2675"/>
      <c r="BC5" s="1303" t="s">
        <v>393</v>
      </c>
      <c r="BE5" s="436"/>
      <c r="BF5" s="436" t="str">
        <f t="shared" si="0"/>
        <v/>
      </c>
      <c r="BG5" s="436"/>
      <c r="BH5" s="436"/>
      <c r="BI5" s="447">
        <v>0</v>
      </c>
    </row>
    <row r="6" spans="1:61" s="2407" customFormat="1" ht="14.25" hidden="1" customHeight="1">
      <c r="A6" s="1261"/>
      <c r="B6" s="1261"/>
      <c r="C6" s="1261"/>
      <c r="D6" s="1261"/>
      <c r="E6" s="2643"/>
      <c r="F6" s="2643"/>
      <c r="G6" s="2643"/>
      <c r="H6" s="2643"/>
      <c r="I6" s="2644" t="str">
        <f>S5&amp;".1"</f>
        <v>.1</v>
      </c>
      <c r="J6" s="1261"/>
      <c r="K6" s="1261"/>
      <c r="L6" s="1264" t="s">
        <v>394</v>
      </c>
      <c r="M6" s="446"/>
      <c r="N6" s="446"/>
      <c r="O6" s="446"/>
      <c r="P6" s="2646">
        <v>1</v>
      </c>
      <c r="Q6" s="1399"/>
      <c r="R6" s="292"/>
      <c r="S6" s="965"/>
      <c r="T6" s="1301"/>
      <c r="U6" s="1302"/>
      <c r="V6" s="2674"/>
      <c r="W6" s="2674"/>
      <c r="X6" s="2674"/>
      <c r="Y6" s="2674"/>
      <c r="Z6" s="2674"/>
      <c r="AA6" s="2674"/>
      <c r="AB6" s="2674"/>
      <c r="AC6" s="2675"/>
      <c r="AD6" s="2673"/>
      <c r="AE6" s="2674"/>
      <c r="AF6" s="2674"/>
      <c r="AG6" s="2674"/>
      <c r="AH6" s="2674"/>
      <c r="AI6" s="2674"/>
      <c r="AJ6" s="2674"/>
      <c r="AK6" s="2674"/>
      <c r="AL6" s="2674"/>
      <c r="AM6" s="2674"/>
      <c r="AN6" s="2674"/>
      <c r="AO6" s="2674"/>
      <c r="AP6" s="2674"/>
      <c r="AQ6" s="2674"/>
      <c r="AR6" s="2674"/>
      <c r="AS6" s="2674"/>
      <c r="AT6" s="2674"/>
      <c r="AU6" s="2674"/>
      <c r="AV6" s="2674"/>
      <c r="AW6" s="2674"/>
      <c r="AX6" s="2674"/>
      <c r="AY6" s="2674"/>
      <c r="AZ6" s="2674"/>
      <c r="BA6" s="2674"/>
      <c r="BB6" s="2675"/>
      <c r="BC6" s="1303"/>
      <c r="BE6" s="436"/>
      <c r="BF6" s="436" t="str">
        <f t="shared" si="0"/>
        <v/>
      </c>
      <c r="BG6" s="436"/>
      <c r="BH6" s="436"/>
      <c r="BI6" s="447">
        <v>0</v>
      </c>
    </row>
    <row r="7" spans="1:61" s="2407" customFormat="1" ht="14.25" hidden="1" customHeight="1">
      <c r="A7" s="1261"/>
      <c r="B7" s="1261"/>
      <c r="C7" s="1261"/>
      <c r="D7" s="1261"/>
      <c r="E7" s="2643"/>
      <c r="F7" s="2643"/>
      <c r="G7" s="2643"/>
      <c r="H7" s="2643"/>
      <c r="I7" s="2645"/>
      <c r="J7" s="2644" t="str">
        <f>S5&amp;".1"</f>
        <v>.1</v>
      </c>
      <c r="K7" s="1261"/>
      <c r="L7" s="1264"/>
      <c r="M7" s="446"/>
      <c r="N7" s="446"/>
      <c r="O7" s="446"/>
      <c r="P7" s="2646"/>
      <c r="Q7" s="2646">
        <v>1</v>
      </c>
      <c r="R7" s="293"/>
      <c r="S7" s="965"/>
      <c r="T7" s="1317"/>
      <c r="U7" s="1302"/>
      <c r="V7" s="2674"/>
      <c r="W7" s="2674"/>
      <c r="X7" s="2674"/>
      <c r="Y7" s="2674"/>
      <c r="Z7" s="2674"/>
      <c r="AA7" s="2674"/>
      <c r="AB7" s="2674"/>
      <c r="AC7" s="2675"/>
      <c r="AD7" s="2673"/>
      <c r="AE7" s="2674"/>
      <c r="AF7" s="2674"/>
      <c r="AG7" s="2674"/>
      <c r="AH7" s="2674"/>
      <c r="AI7" s="2674"/>
      <c r="AJ7" s="2674"/>
      <c r="AK7" s="2674"/>
      <c r="AL7" s="2674"/>
      <c r="AM7" s="2674"/>
      <c r="AN7" s="2674"/>
      <c r="AO7" s="2674"/>
      <c r="AP7" s="2674"/>
      <c r="AQ7" s="2674"/>
      <c r="AR7" s="2674"/>
      <c r="AS7" s="2674"/>
      <c r="AT7" s="2674"/>
      <c r="AU7" s="2674"/>
      <c r="AV7" s="2674"/>
      <c r="AW7" s="2674"/>
      <c r="AX7" s="2674"/>
      <c r="AY7" s="2674"/>
      <c r="AZ7" s="2674"/>
      <c r="BA7" s="2674"/>
      <c r="BB7" s="2675"/>
      <c r="BC7" s="1303"/>
      <c r="BE7" s="436"/>
      <c r="BF7" s="436" t="str">
        <f t="shared" si="0"/>
        <v/>
      </c>
      <c r="BG7" s="436"/>
      <c r="BH7" s="436"/>
      <c r="BI7" s="447">
        <v>0</v>
      </c>
    </row>
    <row r="8" spans="1:61" ht="11.25" hidden="1" customHeight="1">
      <c r="A8" s="1281"/>
      <c r="B8" s="1281"/>
      <c r="C8" s="1281"/>
      <c r="D8" s="1281"/>
      <c r="E8" s="2643"/>
      <c r="F8" s="2643"/>
      <c r="G8" s="2643"/>
      <c r="H8" s="2643"/>
      <c r="I8" s="2645"/>
      <c r="J8" s="2645"/>
      <c r="K8" s="2644" t="e">
        <f>S4&amp;".1"</f>
        <v>#N/A</v>
      </c>
      <c r="L8" s="1282"/>
      <c r="P8" s="2646"/>
      <c r="Q8" s="2646"/>
      <c r="R8" s="2702">
        <v>1</v>
      </c>
      <c r="S8" s="2699" t="e">
        <f>$K8</f>
        <v>#N/A</v>
      </c>
      <c r="T8" s="2719"/>
      <c r="U8" s="237"/>
      <c r="V8" s="687"/>
      <c r="W8" s="1175"/>
      <c r="X8" s="687"/>
      <c r="Y8" s="1175"/>
      <c r="Z8" s="1651"/>
      <c r="AA8" s="1387" t="s">
        <v>65</v>
      </c>
      <c r="AB8" s="1651"/>
      <c r="AC8" s="1387" t="s">
        <v>65</v>
      </c>
      <c r="AD8" s="2586" t="s">
        <v>65</v>
      </c>
      <c r="AE8" s="2695"/>
      <c r="AF8" s="2599">
        <v>1</v>
      </c>
      <c r="AG8" s="2718"/>
      <c r="AH8" s="2524" t="s">
        <v>65</v>
      </c>
      <c r="AI8" s="2695"/>
      <c r="AJ8" s="2599">
        <v>1</v>
      </c>
      <c r="AK8" s="2709" t="s">
        <v>22</v>
      </c>
      <c r="AL8" s="2524" t="s">
        <v>65</v>
      </c>
      <c r="AM8" s="2574"/>
      <c r="AN8" s="2599">
        <v>1</v>
      </c>
      <c r="AO8" s="2722"/>
      <c r="AP8" s="2723" t="s">
        <v>65</v>
      </c>
      <c r="AQ8" s="248"/>
      <c r="AR8" s="1404">
        <v>1</v>
      </c>
      <c r="AS8" s="1410" t="s">
        <v>22</v>
      </c>
      <c r="AT8" s="687"/>
      <c r="AU8" s="1175"/>
      <c r="AV8" s="687"/>
      <c r="AW8" s="1175"/>
      <c r="AX8" s="1651"/>
      <c r="AY8" s="1387" t="s">
        <v>65</v>
      </c>
      <c r="AZ8" s="1651"/>
      <c r="BA8" s="1387" t="s">
        <v>65</v>
      </c>
      <c r="BB8" s="1266"/>
      <c r="BC8" s="2665" t="s">
        <v>492</v>
      </c>
      <c r="BE8" s="436"/>
      <c r="BF8" s="436" t="str">
        <f t="shared" si="0"/>
        <v/>
      </c>
      <c r="BG8" s="436"/>
      <c r="BH8" s="436"/>
      <c r="BI8" s="1073">
        <v>0</v>
      </c>
    </row>
    <row r="9" spans="1:61" ht="11.25" hidden="1" customHeight="1">
      <c r="A9" s="1281"/>
      <c r="B9" s="1281"/>
      <c r="C9" s="1281"/>
      <c r="D9" s="1281"/>
      <c r="E9" s="2643"/>
      <c r="F9" s="2643"/>
      <c r="G9" s="2643"/>
      <c r="H9" s="2643"/>
      <c r="I9" s="2645"/>
      <c r="J9" s="2645"/>
      <c r="K9" s="2644"/>
      <c r="L9" s="1282"/>
      <c r="P9" s="2646"/>
      <c r="Q9" s="2646"/>
      <c r="R9" s="2702"/>
      <c r="S9" s="2700"/>
      <c r="T9" s="2720"/>
      <c r="U9" s="237"/>
      <c r="V9" s="1311"/>
      <c r="W9" s="1414"/>
      <c r="X9" s="1311"/>
      <c r="Y9" s="1414"/>
      <c r="Z9" s="1311"/>
      <c r="AA9" s="1311"/>
      <c r="AB9" s="1311"/>
      <c r="AC9" s="1311"/>
      <c r="AD9" s="2587"/>
      <c r="AE9" s="2695"/>
      <c r="AF9" s="2599"/>
      <c r="AG9" s="2718"/>
      <c r="AH9" s="2524"/>
      <c r="AI9" s="2695"/>
      <c r="AJ9" s="2599"/>
      <c r="AK9" s="2709"/>
      <c r="AL9" s="2524"/>
      <c r="AM9" s="2579"/>
      <c r="AN9" s="2599"/>
      <c r="AO9" s="2722"/>
      <c r="AP9" s="2724"/>
      <c r="AQ9" s="253"/>
      <c r="AR9" s="352"/>
      <c r="AS9" s="352" t="s">
        <v>493</v>
      </c>
      <c r="AT9" s="1311"/>
      <c r="AU9" s="1414"/>
      <c r="AV9" s="1311"/>
      <c r="AW9" s="1414"/>
      <c r="AX9" s="1311"/>
      <c r="AY9" s="1311"/>
      <c r="AZ9" s="1311"/>
      <c r="BA9" s="1311"/>
      <c r="BB9" s="1315"/>
      <c r="BC9" s="2666"/>
      <c r="BE9" s="436"/>
      <c r="BF9" s="436"/>
      <c r="BG9" s="436"/>
      <c r="BH9" s="436"/>
      <c r="BI9" s="1073">
        <v>0</v>
      </c>
    </row>
    <row r="10" spans="1:61" ht="11.25" hidden="1" customHeight="1">
      <c r="A10" s="1281"/>
      <c r="B10" s="1281"/>
      <c r="C10" s="1281"/>
      <c r="D10" s="1281"/>
      <c r="E10" s="2643"/>
      <c r="F10" s="2643"/>
      <c r="G10" s="2643"/>
      <c r="H10" s="2643"/>
      <c r="I10" s="2645"/>
      <c r="J10" s="2645"/>
      <c r="K10" s="2644"/>
      <c r="L10" s="1282"/>
      <c r="P10" s="2646"/>
      <c r="Q10" s="2646"/>
      <c r="R10" s="2702"/>
      <c r="S10" s="2700"/>
      <c r="T10" s="2720"/>
      <c r="U10" s="237"/>
      <c r="V10" s="1311"/>
      <c r="W10" s="1414"/>
      <c r="X10" s="1311"/>
      <c r="Y10" s="1414"/>
      <c r="Z10" s="1311"/>
      <c r="AA10" s="1311"/>
      <c r="AB10" s="1311"/>
      <c r="AC10" s="1311"/>
      <c r="AD10" s="2587"/>
      <c r="AE10" s="2695"/>
      <c r="AF10" s="2599"/>
      <c r="AG10" s="2718"/>
      <c r="AH10" s="2524"/>
      <c r="AI10" s="2695"/>
      <c r="AJ10" s="2599"/>
      <c r="AK10" s="2709"/>
      <c r="AL10" s="2524"/>
      <c r="AM10" s="253"/>
      <c r="AN10" s="1418"/>
      <c r="AO10" s="1418" t="s">
        <v>494</v>
      </c>
      <c r="AP10" s="352"/>
      <c r="AQ10" s="352"/>
      <c r="AR10" s="352"/>
      <c r="AS10" s="1311"/>
      <c r="AT10" s="1311"/>
      <c r="AU10" s="1414"/>
      <c r="AV10" s="1311"/>
      <c r="AW10" s="1414"/>
      <c r="AX10" s="1311"/>
      <c r="AY10" s="1311"/>
      <c r="AZ10" s="1311"/>
      <c r="BA10" s="1311"/>
      <c r="BB10" s="1315"/>
      <c r="BC10" s="2666"/>
      <c r="BE10" s="436"/>
      <c r="BF10" s="436"/>
      <c r="BG10" s="436"/>
      <c r="BH10" s="436"/>
      <c r="BI10" s="1073">
        <v>0</v>
      </c>
    </row>
    <row r="11" spans="1:61" ht="11.25" hidden="1" customHeight="1">
      <c r="A11" s="1281"/>
      <c r="B11" s="1281"/>
      <c r="C11" s="1281"/>
      <c r="D11" s="1281"/>
      <c r="E11" s="2643"/>
      <c r="F11" s="2643"/>
      <c r="G11" s="2643"/>
      <c r="H11" s="2643"/>
      <c r="I11" s="2645"/>
      <c r="J11" s="2645"/>
      <c r="K11" s="2644"/>
      <c r="L11" s="1282"/>
      <c r="P11" s="2646"/>
      <c r="Q11" s="2646"/>
      <c r="R11" s="2702"/>
      <c r="S11" s="2700"/>
      <c r="T11" s="2720"/>
      <c r="U11" s="237"/>
      <c r="V11" s="1311"/>
      <c r="W11" s="1414"/>
      <c r="X11" s="1311"/>
      <c r="Y11" s="1414"/>
      <c r="Z11" s="1311"/>
      <c r="AA11" s="1311"/>
      <c r="AB11" s="1311"/>
      <c r="AC11" s="1311"/>
      <c r="AD11" s="2587"/>
      <c r="AE11" s="2695"/>
      <c r="AF11" s="2599"/>
      <c r="AG11" s="2718"/>
      <c r="AH11" s="2524"/>
      <c r="AI11" s="231"/>
      <c r="AJ11" s="351"/>
      <c r="AK11" s="250" t="s">
        <v>495</v>
      </c>
      <c r="AL11" s="1311"/>
      <c r="AM11" s="1311"/>
      <c r="AN11" s="1311"/>
      <c r="AO11" s="1311"/>
      <c r="AP11" s="1311"/>
      <c r="AQ11" s="1311"/>
      <c r="AR11" s="1311"/>
      <c r="AS11" s="1311"/>
      <c r="AT11" s="1311"/>
      <c r="AU11" s="1414"/>
      <c r="AV11" s="1311"/>
      <c r="AW11" s="1414"/>
      <c r="AX11" s="1311"/>
      <c r="AY11" s="1311"/>
      <c r="AZ11" s="1311"/>
      <c r="BA11" s="1311"/>
      <c r="BB11" s="1315"/>
      <c r="BC11" s="2666"/>
      <c r="BE11" s="436"/>
      <c r="BF11" s="436"/>
      <c r="BG11" s="436"/>
      <c r="BH11" s="436"/>
      <c r="BI11" s="1073">
        <v>0</v>
      </c>
    </row>
    <row r="12" spans="1:61" ht="11.25" hidden="1" customHeight="1">
      <c r="A12" s="1281"/>
      <c r="B12" s="1281"/>
      <c r="C12" s="1281"/>
      <c r="D12" s="1281"/>
      <c r="E12" s="2643"/>
      <c r="F12" s="2643"/>
      <c r="G12" s="2643"/>
      <c r="H12" s="2643"/>
      <c r="I12" s="2645"/>
      <c r="J12" s="2645"/>
      <c r="K12" s="2644"/>
      <c r="L12" s="1282"/>
      <c r="P12" s="2646"/>
      <c r="Q12" s="2646"/>
      <c r="R12" s="2702"/>
      <c r="S12" s="2701"/>
      <c r="T12" s="2721"/>
      <c r="U12" s="237"/>
      <c r="V12" s="1311"/>
      <c r="W12" s="1312" t="str">
        <f>Z8&amp;"-"&amp;AB8</f>
        <v>-</v>
      </c>
      <c r="X12" s="1311"/>
      <c r="Y12" s="1312" t="str">
        <f>AB8&amp;"-"&amp;AD8</f>
        <v>-да</v>
      </c>
      <c r="Z12" s="1311"/>
      <c r="AA12" s="1311"/>
      <c r="AB12" s="1311"/>
      <c r="AC12" s="1311"/>
      <c r="AD12" s="2529"/>
      <c r="AE12" s="249"/>
      <c r="AF12" s="251"/>
      <c r="AG12" s="352" t="s">
        <v>496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666"/>
      <c r="BE12" s="436"/>
      <c r="BF12" s="436" t="str">
        <f t="shared" ref="BF12:BF18" si="1">IF(T12="","",T12)</f>
        <v/>
      </c>
      <c r="BG12" s="436"/>
      <c r="BH12" s="436"/>
      <c r="BI12" s="1073">
        <v>0</v>
      </c>
    </row>
    <row r="13" spans="1:61" ht="11.25" hidden="1" customHeight="1">
      <c r="A13" s="1281"/>
      <c r="B13" s="1281"/>
      <c r="C13" s="1281"/>
      <c r="D13" s="1281"/>
      <c r="E13" s="2643"/>
      <c r="F13" s="2643"/>
      <c r="G13" s="2643"/>
      <c r="H13" s="2643"/>
      <c r="I13" s="2645"/>
      <c r="J13" s="2644"/>
      <c r="K13" s="1281"/>
      <c r="L13" s="1282"/>
      <c r="P13" s="2646"/>
      <c r="Q13" s="2646"/>
      <c r="R13" s="292"/>
      <c r="S13" s="1196"/>
      <c r="T13" s="224" t="s">
        <v>459</v>
      </c>
      <c r="U13" s="303"/>
      <c r="V13" s="303"/>
      <c r="W13" s="303"/>
      <c r="X13" s="303"/>
      <c r="Y13" s="303"/>
      <c r="Z13" s="303"/>
      <c r="AA13" s="303"/>
      <c r="AB13" s="303"/>
      <c r="AC13" s="303"/>
      <c r="AD13" s="142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667"/>
      <c r="BE13" s="436"/>
      <c r="BF13" s="436" t="str">
        <f t="shared" si="1"/>
        <v>Добавить строку</v>
      </c>
      <c r="BG13" s="436"/>
      <c r="BH13" s="436"/>
      <c r="BI13" s="1073">
        <v>0</v>
      </c>
    </row>
    <row r="14" spans="1:61" s="2407" customFormat="1" ht="14.25" hidden="1" customHeight="1">
      <c r="A14" s="1261"/>
      <c r="B14" s="1261"/>
      <c r="C14" s="1261"/>
      <c r="D14" s="1261"/>
      <c r="E14" s="2643"/>
      <c r="F14" s="2643"/>
      <c r="G14" s="2643"/>
      <c r="H14" s="2643"/>
      <c r="I14" s="2644"/>
      <c r="J14" s="1261"/>
      <c r="K14" s="1261"/>
      <c r="L14" s="1264"/>
      <c r="M14" s="446"/>
      <c r="N14" s="446"/>
      <c r="O14" s="446"/>
      <c r="P14" s="2646"/>
      <c r="Q14" s="1399"/>
      <c r="R14" s="292"/>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6"/>
      <c r="BF14" s="436" t="str">
        <f t="shared" si="1"/>
        <v/>
      </c>
      <c r="BG14" s="436"/>
      <c r="BH14" s="436"/>
      <c r="BI14" s="447">
        <v>0</v>
      </c>
    </row>
    <row r="15" spans="1:61" s="2407" customFormat="1" ht="14.25" hidden="1" customHeight="1">
      <c r="A15" s="1261"/>
      <c r="B15" s="1261"/>
      <c r="C15" s="1261"/>
      <c r="D15" s="1261"/>
      <c r="E15" s="2643"/>
      <c r="F15" s="2643"/>
      <c r="G15" s="2643"/>
      <c r="H15" s="2642"/>
      <c r="I15" s="1261"/>
      <c r="J15" s="1261"/>
      <c r="K15" s="1261"/>
      <c r="L15" s="1264"/>
      <c r="M15" s="1233"/>
      <c r="N15" s="1233"/>
      <c r="O15" s="454"/>
      <c r="P15" s="316"/>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6"/>
      <c r="BF15" s="436" t="str">
        <f t="shared" si="1"/>
        <v/>
      </c>
      <c r="BG15" s="436"/>
      <c r="BH15" s="436"/>
      <c r="BI15" s="447">
        <v>0</v>
      </c>
    </row>
    <row r="16" spans="1:61" s="2407" customFormat="1" ht="14.25" hidden="1" customHeight="1">
      <c r="A16" s="1261"/>
      <c r="B16" s="1261"/>
      <c r="C16" s="1261"/>
      <c r="D16" s="1232"/>
      <c r="E16" s="2643"/>
      <c r="F16" s="2643"/>
      <c r="G16" s="264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9"/>
      <c r="BF16" s="719" t="str">
        <f t="shared" si="1"/>
        <v/>
      </c>
      <c r="BG16" s="719"/>
      <c r="BH16" s="719"/>
      <c r="BI16" s="454">
        <v>0</v>
      </c>
    </row>
    <row r="17" spans="1:61" s="2407" customFormat="1" ht="14.25" hidden="1" customHeight="1">
      <c r="A17" s="1261"/>
      <c r="B17" s="1261"/>
      <c r="C17" s="1232"/>
      <c r="D17" s="1232"/>
      <c r="E17" s="2643"/>
      <c r="F17" s="2642"/>
      <c r="G17" s="1232"/>
      <c r="H17" s="1232"/>
      <c r="I17" s="1232"/>
      <c r="J17" s="1232"/>
      <c r="K17" s="1232"/>
      <c r="L17" s="1412"/>
      <c r="M17" s="1239"/>
      <c r="N17" s="1239"/>
      <c r="P17" s="1234"/>
      <c r="Q17" s="1235"/>
      <c r="R17" s="1234"/>
      <c r="S17" s="1240"/>
      <c r="T17" s="1243" t="s">
        <v>406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9"/>
      <c r="BF17" s="719" t="str">
        <f t="shared" si="1"/>
        <v>Добавить централизованную систему для дифференциации</v>
      </c>
      <c r="BG17" s="719"/>
      <c r="BH17" s="719"/>
      <c r="BI17" s="454">
        <v>0</v>
      </c>
    </row>
    <row r="18" spans="1:61" s="2407" customFormat="1" ht="14.25" hidden="1" customHeight="1">
      <c r="A18" s="1261"/>
      <c r="B18" s="1261"/>
      <c r="C18" s="1261"/>
      <c r="D18" s="1261"/>
      <c r="E18" s="2642"/>
      <c r="F18" s="1261"/>
      <c r="G18" s="1261"/>
      <c r="H18" s="1261"/>
      <c r="I18" s="1261"/>
      <c r="J18" s="1261"/>
      <c r="K18" s="1261"/>
      <c r="L18" s="1264"/>
      <c r="M18" s="1239"/>
      <c r="N18" s="1239"/>
      <c r="O18" s="454"/>
      <c r="P18" s="316"/>
      <c r="Q18" s="1262"/>
      <c r="R18" s="316"/>
      <c r="S18" s="1240"/>
      <c r="T18" s="1243" t="s">
        <v>407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6"/>
      <c r="BF18" s="436" t="str">
        <f t="shared" si="1"/>
        <v>Добавить территорию для дифференциации</v>
      </c>
      <c r="BG18" s="436"/>
      <c r="BH18" s="436"/>
      <c r="BI18" s="447">
        <v>0</v>
      </c>
    </row>
    <row r="19" spans="1:61" ht="14.25" hidden="1" customHeight="1">
      <c r="AC19" s="264"/>
      <c r="BA19" s="264"/>
      <c r="BI19" s="1073">
        <v>0</v>
      </c>
    </row>
    <row r="20" spans="1:61" ht="14.25" hidden="1" customHeight="1">
      <c r="AD20" s="1242" t="s">
        <v>19</v>
      </c>
      <c r="AE20" s="1419"/>
      <c r="AF20" s="484">
        <v>1</v>
      </c>
      <c r="AG20" s="1420"/>
      <c r="AH20" s="1242" t="s">
        <v>19</v>
      </c>
      <c r="AI20" s="1419"/>
      <c r="AJ20" s="484">
        <v>1</v>
      </c>
      <c r="AK20" s="1420"/>
      <c r="AL20" s="1242" t="s">
        <v>19</v>
      </c>
      <c r="AM20" s="1421"/>
      <c r="AN20" s="484">
        <v>1</v>
      </c>
      <c r="AO20" s="1422"/>
      <c r="AP20" s="1242" t="s">
        <v>19</v>
      </c>
      <c r="AQ20" s="1421"/>
      <c r="AR20" s="484">
        <v>1</v>
      </c>
      <c r="AS20" s="1422"/>
      <c r="AT20" s="262"/>
      <c r="AU20" s="320"/>
      <c r="AV20" s="262"/>
      <c r="AW20" s="320"/>
      <c r="AX20" s="1653"/>
      <c r="AY20" s="1403" t="s">
        <v>65</v>
      </c>
      <c r="AZ20" s="1653"/>
      <c r="BA20" s="1403" t="s">
        <v>65</v>
      </c>
      <c r="BI20" s="1073">
        <v>0</v>
      </c>
    </row>
    <row r="21" spans="1:61" ht="14.25" hidden="1" customHeight="1">
      <c r="BD21" s="432"/>
      <c r="BE21" s="432"/>
      <c r="BF21" s="432"/>
      <c r="BG21" s="432"/>
      <c r="BH21" s="432"/>
      <c r="BI21" s="1073">
        <v>0</v>
      </c>
    </row>
    <row r="22" spans="1:61" ht="14.25" hidden="1" customHeight="1">
      <c r="O22" s="1285" t="s">
        <v>408</v>
      </c>
      <c r="Z22" s="1263"/>
      <c r="AB22" s="1263"/>
      <c r="AC22" s="264"/>
      <c r="AX22" s="1263"/>
      <c r="AZ22" s="1263"/>
      <c r="BA22" s="264"/>
      <c r="BD22" s="432"/>
      <c r="BE22" s="432"/>
      <c r="BF22" s="432"/>
      <c r="BG22" s="432"/>
      <c r="BH22" s="432"/>
      <c r="BI22" s="1073">
        <v>0</v>
      </c>
    </row>
    <row r="23" spans="1:61" ht="14.25" hidden="1" customHeight="1">
      <c r="AC23" s="264"/>
      <c r="BA23" s="264"/>
      <c r="BD23" s="432"/>
      <c r="BE23" s="432"/>
      <c r="BF23" s="432"/>
      <c r="BG23" s="432"/>
      <c r="BH23" s="432"/>
      <c r="BI23" s="1073">
        <v>0</v>
      </c>
    </row>
    <row r="24" spans="1:61" s="2437" customFormat="1" ht="14.25" hidden="1" customHeight="1">
      <c r="M24" s="1426"/>
      <c r="N24" s="1426"/>
      <c r="O24" s="1427" t="s">
        <v>409</v>
      </c>
      <c r="P24" s="1426"/>
      <c r="Q24" s="1428"/>
      <c r="R24" s="1428"/>
      <c r="AA24" s="1425" t="s">
        <v>411</v>
      </c>
      <c r="AC24" s="1425" t="s">
        <v>412</v>
      </c>
      <c r="AD24" s="1425" t="s">
        <v>460</v>
      </c>
      <c r="AH24" s="1425" t="s">
        <v>460</v>
      </c>
      <c r="AK24" s="1425" t="s">
        <v>497</v>
      </c>
      <c r="AL24" s="1425" t="s">
        <v>460</v>
      </c>
      <c r="AP24" s="1425" t="s">
        <v>460</v>
      </c>
      <c r="AY24" s="1425" t="s">
        <v>411</v>
      </c>
      <c r="BA24" s="1425" t="s">
        <v>412</v>
      </c>
      <c r="BD24" s="1429"/>
      <c r="BE24" s="1429"/>
      <c r="BF24" s="1429"/>
      <c r="BG24" s="1429"/>
      <c r="BH24" s="1429"/>
      <c r="BI24" s="1425">
        <v>0</v>
      </c>
    </row>
    <row r="25" spans="1:61" ht="14.25" hidden="1" customHeight="1">
      <c r="O25" s="1282"/>
      <c r="BD25" s="432"/>
      <c r="BE25" s="432"/>
      <c r="BF25" s="432"/>
      <c r="BG25" s="432"/>
      <c r="BH25" s="432"/>
      <c r="BI25" s="1073">
        <v>0</v>
      </c>
    </row>
    <row r="26" spans="1:61" ht="14.25" hidden="1" customHeight="1">
      <c r="O26" s="1282"/>
      <c r="BD26" s="432"/>
      <c r="BE26" s="432"/>
      <c r="BF26" s="432"/>
      <c r="BG26" s="432"/>
      <c r="BH26" s="432"/>
      <c r="BI26" s="1073">
        <v>0</v>
      </c>
    </row>
    <row r="27" spans="1:61" ht="14.65" customHeight="1">
      <c r="Q27" s="228"/>
      <c r="R27" s="312"/>
      <c r="S27" s="1193"/>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3">
        <v>14</v>
      </c>
    </row>
    <row r="28" spans="1:61" ht="14.65" customHeight="1">
      <c r="Q28" s="228"/>
      <c r="R28" s="312"/>
      <c r="S28" s="262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23"/>
      <c r="U28" s="2623"/>
      <c r="V28" s="2623"/>
      <c r="W28" s="2623"/>
      <c r="X28" s="2623"/>
      <c r="Y28" s="2623"/>
      <c r="Z28" s="2623"/>
      <c r="AA28" s="2623"/>
      <c r="AB28" s="2623"/>
      <c r="AC28" s="2623"/>
      <c r="AD28" s="2623"/>
      <c r="AE28" s="2623"/>
      <c r="AF28" s="2623"/>
      <c r="AG28" s="2623"/>
      <c r="AH28" s="2623"/>
      <c r="AI28" s="2623"/>
      <c r="AJ28" s="2623"/>
      <c r="AK28" s="2623"/>
      <c r="AL28" s="2623"/>
      <c r="AM28" s="2623"/>
      <c r="AN28" s="2623"/>
      <c r="AO28" s="2623"/>
      <c r="AP28" s="2623"/>
      <c r="AQ28" s="2623"/>
      <c r="AR28" s="2623"/>
      <c r="AS28" s="2623"/>
      <c r="AT28" s="2623"/>
      <c r="AU28" s="2623"/>
      <c r="AV28" s="2623"/>
      <c r="AW28" s="2623"/>
      <c r="AX28" s="2623"/>
      <c r="AY28" s="2623"/>
      <c r="AZ28" s="2623"/>
      <c r="BA28" s="1161"/>
      <c r="BI28" s="1073">
        <v>14</v>
      </c>
    </row>
    <row r="29" spans="1:61" ht="14.65" customHeight="1">
      <c r="Q29" s="228"/>
      <c r="R29" s="312"/>
      <c r="S29" s="2595" t="str">
        <f>IF(org=0,"Не определено",org)</f>
        <v>ПАО "ТГК-1" (филиал "Кольский")</v>
      </c>
      <c r="T29" s="2595"/>
      <c r="U29" s="2595"/>
      <c r="V29" s="2595"/>
      <c r="W29" s="2595"/>
      <c r="X29" s="2595"/>
      <c r="Y29" s="2595"/>
      <c r="Z29" s="2595"/>
      <c r="AA29" s="2595"/>
      <c r="AB29" s="2595"/>
      <c r="AC29" s="2595"/>
      <c r="AD29" s="2595"/>
      <c r="AE29" s="2595"/>
      <c r="AF29" s="2595"/>
      <c r="AG29" s="2595"/>
      <c r="AH29" s="2595"/>
      <c r="AI29" s="2595"/>
      <c r="AJ29" s="2595"/>
      <c r="AK29" s="2595"/>
      <c r="AL29" s="2595"/>
      <c r="AM29" s="2595"/>
      <c r="AN29" s="2595"/>
      <c r="AO29" s="2595"/>
      <c r="AP29" s="2595"/>
      <c r="AQ29" s="2595"/>
      <c r="AR29" s="2595"/>
      <c r="AS29" s="2595"/>
      <c r="AT29" s="2595"/>
      <c r="AU29" s="2595"/>
      <c r="AV29" s="2595"/>
      <c r="AW29" s="2595"/>
      <c r="AX29" s="2595"/>
      <c r="AY29" s="2595"/>
      <c r="AZ29" s="2595"/>
      <c r="BA29" s="1161"/>
      <c r="BI29" s="1073">
        <v>14</v>
      </c>
    </row>
    <row r="30" spans="1:61" ht="14.25" hidden="1" customHeight="1">
      <c r="Q30" s="228"/>
      <c r="R30" s="312"/>
      <c r="S30" s="1193"/>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3">
        <v>0</v>
      </c>
    </row>
    <row r="31" spans="1:61" s="2416" customFormat="1" ht="25.5" hidden="1" customHeight="1">
      <c r="A31" s="1286"/>
      <c r="B31" s="1286"/>
      <c r="C31" s="1286"/>
      <c r="D31" s="1286"/>
      <c r="E31" s="1286"/>
      <c r="F31" s="1286"/>
      <c r="G31" s="1286"/>
      <c r="H31" s="1286"/>
      <c r="I31" s="1286"/>
      <c r="J31" s="1286"/>
      <c r="K31" s="1286"/>
      <c r="L31" s="1287"/>
      <c r="M31" s="1286"/>
      <c r="N31" s="1286"/>
      <c r="O31" s="1286"/>
      <c r="P31" s="1286"/>
      <c r="Q31" s="1286"/>
      <c r="S31" s="2633" t="s">
        <v>41</v>
      </c>
      <c r="T31" s="2633"/>
      <c r="U31" s="1290"/>
      <c r="V31" s="2635" t="str">
        <f>IF(TITLE_NAME_OR_PR_CHANGE="",IF(TITLE_NAME_OR_PR="","",TITLE_NAME_OR_PR),TITLE_NAME_OR_PR_CHANGE)</f>
        <v/>
      </c>
      <c r="W31" s="2635"/>
      <c r="X31" s="2635"/>
      <c r="Y31" s="2635"/>
      <c r="Z31" s="2635"/>
      <c r="AA31" s="2635"/>
      <c r="AB31" s="2635"/>
      <c r="AC31" s="263"/>
      <c r="AD31" s="2635" t="str">
        <f>IF(TITLE_NAME_OR_PR_CHANGE="",IF(TITLE_NAME_OR_PR="","",TITLE_NAME_OR_PR),TITLE_NAME_OR_PR_CHANGE)</f>
        <v/>
      </c>
      <c r="AE31" s="2635"/>
      <c r="AF31" s="2635"/>
      <c r="AG31" s="2635"/>
      <c r="AH31" s="2635"/>
      <c r="AI31" s="2635"/>
      <c r="AJ31" s="2635"/>
      <c r="AK31" s="2635"/>
      <c r="AL31" s="2635"/>
      <c r="AM31" s="2635"/>
      <c r="AN31" s="2635"/>
      <c r="AO31" s="2635"/>
      <c r="AP31" s="2635"/>
      <c r="AQ31" s="2635"/>
      <c r="AR31" s="2635"/>
      <c r="AS31" s="2635"/>
      <c r="AT31" s="2635"/>
      <c r="AU31" s="2635"/>
      <c r="AV31" s="2635"/>
      <c r="AW31" s="2635"/>
      <c r="AX31" s="2635"/>
      <c r="AY31" s="2635"/>
      <c r="AZ31" s="2635"/>
      <c r="BA31" s="263"/>
      <c r="BB31" s="263"/>
      <c r="BC31" s="217"/>
      <c r="BD31" s="304"/>
      <c r="BE31" s="304"/>
      <c r="BF31" s="304"/>
      <c r="BG31" s="304"/>
      <c r="BH31" s="304"/>
      <c r="BI31" s="354">
        <v>0</v>
      </c>
    </row>
    <row r="32" spans="1:61" s="2416" customFormat="1" ht="18.75" hidden="1" customHeight="1">
      <c r="A32" s="1286"/>
      <c r="B32" s="1286"/>
      <c r="C32" s="1286"/>
      <c r="D32" s="1286"/>
      <c r="E32" s="1286"/>
      <c r="F32" s="1286"/>
      <c r="G32" s="1286"/>
      <c r="H32" s="1286"/>
      <c r="I32" s="1286"/>
      <c r="J32" s="1286"/>
      <c r="K32" s="1286"/>
      <c r="L32" s="1287"/>
      <c r="M32" s="1286"/>
      <c r="N32" s="1286"/>
      <c r="O32" s="1286"/>
      <c r="P32" s="1286"/>
      <c r="Q32" s="1286"/>
      <c r="S32" s="2633" t="s">
        <v>414</v>
      </c>
      <c r="T32" s="2633"/>
      <c r="U32" s="1290"/>
      <c r="V32" s="2634" t="str">
        <f>IF(TITLE_DATE_PR_CHANGE="",IF(TITLE_DATE_PR="","",TITLE_DATE_PR),TITLE_DATE_PR_CHANGE)</f>
        <v/>
      </c>
      <c r="W32" s="2634"/>
      <c r="X32" s="2634"/>
      <c r="Y32" s="2634"/>
      <c r="Z32" s="2634"/>
      <c r="AA32" s="2634"/>
      <c r="AB32" s="2634"/>
      <c r="AC32" s="263"/>
      <c r="AD32" s="2634" t="str">
        <f>IF(TITLE_DATE_PR_CHANGE="",IF(TITLE_DATE_PR="","",TITLE_DATE_PR),TITLE_DATE_PR_CHANGE)</f>
        <v/>
      </c>
      <c r="AE32" s="2634"/>
      <c r="AF32" s="2634"/>
      <c r="AG32" s="2634"/>
      <c r="AH32" s="2634"/>
      <c r="AI32" s="2634"/>
      <c r="AJ32" s="2634"/>
      <c r="AK32" s="2634"/>
      <c r="AL32" s="2634"/>
      <c r="AM32" s="2634"/>
      <c r="AN32" s="2634"/>
      <c r="AO32" s="2634"/>
      <c r="AP32" s="2634"/>
      <c r="AQ32" s="2634"/>
      <c r="AR32" s="2634"/>
      <c r="AS32" s="2634"/>
      <c r="AT32" s="2634"/>
      <c r="AU32" s="2634"/>
      <c r="AV32" s="2634"/>
      <c r="AW32" s="2634"/>
      <c r="AX32" s="2634"/>
      <c r="AY32" s="2634"/>
      <c r="AZ32" s="2634"/>
      <c r="BA32" s="263"/>
      <c r="BB32" s="263"/>
      <c r="BC32" s="217"/>
      <c r="BD32" s="304"/>
      <c r="BE32" s="304"/>
      <c r="BF32" s="304"/>
      <c r="BG32" s="304"/>
      <c r="BH32" s="304"/>
      <c r="BI32" s="354">
        <v>0</v>
      </c>
    </row>
    <row r="33" spans="1:61" s="2416" customFormat="1" ht="18.75" hidden="1" customHeight="1">
      <c r="A33" s="1286"/>
      <c r="B33" s="1286"/>
      <c r="C33" s="1286"/>
      <c r="D33" s="1286"/>
      <c r="E33" s="1286"/>
      <c r="F33" s="1286"/>
      <c r="G33" s="1286"/>
      <c r="H33" s="1286"/>
      <c r="I33" s="1286"/>
      <c r="J33" s="1286"/>
      <c r="K33" s="1286"/>
      <c r="L33" s="1287"/>
      <c r="M33" s="1286"/>
      <c r="N33" s="1286"/>
      <c r="O33" s="1286"/>
      <c r="P33" s="1286"/>
      <c r="Q33" s="1286"/>
      <c r="S33" s="2633" t="s">
        <v>415</v>
      </c>
      <c r="T33" s="2633"/>
      <c r="U33" s="1290"/>
      <c r="V33" s="2635" t="str">
        <f>IF(TITLE_NUMBER_PR_CHANGE="",IF(TITLE_NUMBER_PR="","",TITLE_NUMBER_PR),TITLE_NUMBER_PR_CHANGE)</f>
        <v/>
      </c>
      <c r="W33" s="2635"/>
      <c r="X33" s="2635"/>
      <c r="Y33" s="2635"/>
      <c r="Z33" s="2635"/>
      <c r="AA33" s="2635"/>
      <c r="AB33" s="2635"/>
      <c r="AC33" s="263"/>
      <c r="AD33" s="2635" t="str">
        <f>IF(TITLE_NUMBER_PR_CHANGE="",IF(TITLE_NUMBER_PR="","",TITLE_NUMBER_PR),TITLE_NUMBER_PR_CHANGE)</f>
        <v/>
      </c>
      <c r="AE33" s="2635"/>
      <c r="AF33" s="2635"/>
      <c r="AG33" s="2635"/>
      <c r="AH33" s="2635"/>
      <c r="AI33" s="2635"/>
      <c r="AJ33" s="2635"/>
      <c r="AK33" s="2635"/>
      <c r="AL33" s="2635"/>
      <c r="AM33" s="2635"/>
      <c r="AN33" s="2635"/>
      <c r="AO33" s="2635"/>
      <c r="AP33" s="2635"/>
      <c r="AQ33" s="2635"/>
      <c r="AR33" s="2635"/>
      <c r="AS33" s="2635"/>
      <c r="AT33" s="2635"/>
      <c r="AU33" s="2635"/>
      <c r="AV33" s="2635"/>
      <c r="AW33" s="2635"/>
      <c r="AX33" s="2635"/>
      <c r="AY33" s="2635"/>
      <c r="AZ33" s="2635"/>
      <c r="BA33" s="263"/>
      <c r="BB33" s="263"/>
      <c r="BC33" s="217"/>
      <c r="BD33" s="304"/>
      <c r="BE33" s="304"/>
      <c r="BF33" s="304"/>
      <c r="BG33" s="304"/>
      <c r="BH33" s="304"/>
      <c r="BI33" s="354">
        <v>0</v>
      </c>
    </row>
    <row r="34" spans="1:61" s="2416" customFormat="1" ht="18.75" hidden="1" customHeight="1">
      <c r="A34" s="1286"/>
      <c r="B34" s="1286"/>
      <c r="C34" s="1286"/>
      <c r="D34" s="1286"/>
      <c r="E34" s="1286"/>
      <c r="F34" s="1286"/>
      <c r="G34" s="1286"/>
      <c r="H34" s="1286"/>
      <c r="I34" s="1286"/>
      <c r="J34" s="1286"/>
      <c r="K34" s="1286"/>
      <c r="L34" s="1287"/>
      <c r="M34" s="1286"/>
      <c r="N34" s="1286"/>
      <c r="O34" s="1286"/>
      <c r="P34" s="1286"/>
      <c r="Q34" s="1286"/>
      <c r="S34" s="2633" t="s">
        <v>42</v>
      </c>
      <c r="T34" s="2633"/>
      <c r="U34" s="1290"/>
      <c r="V34" s="2635" t="str">
        <f>IF(TITLE_IST_PUB_CHANGE="",IF(TITLE_IST_PUB="","",TITLE_IST_PUB),TITLE_IST_PUB_CHANGE)</f>
        <v/>
      </c>
      <c r="W34" s="2635"/>
      <c r="X34" s="2635"/>
      <c r="Y34" s="2635"/>
      <c r="Z34" s="2635"/>
      <c r="AA34" s="2635"/>
      <c r="AB34" s="2635"/>
      <c r="AC34" s="263"/>
      <c r="AD34" s="2635" t="str">
        <f>IF(TITLE_IST_PUB_CHANGE="",IF(TITLE_IST_PUB="","",TITLE_IST_PUB),TITLE_IST_PUB_CHANGE)</f>
        <v/>
      </c>
      <c r="AE34" s="2635"/>
      <c r="AF34" s="2635"/>
      <c r="AG34" s="2635"/>
      <c r="AH34" s="2635"/>
      <c r="AI34" s="2635"/>
      <c r="AJ34" s="2635"/>
      <c r="AK34" s="2635"/>
      <c r="AL34" s="2635"/>
      <c r="AM34" s="2635"/>
      <c r="AN34" s="2635"/>
      <c r="AO34" s="2635"/>
      <c r="AP34" s="2635"/>
      <c r="AQ34" s="2635"/>
      <c r="AR34" s="2635"/>
      <c r="AS34" s="2635"/>
      <c r="AT34" s="2635"/>
      <c r="AU34" s="2635"/>
      <c r="AV34" s="2635"/>
      <c r="AW34" s="2635"/>
      <c r="AX34" s="2635"/>
      <c r="AY34" s="2635"/>
      <c r="AZ34" s="2635"/>
      <c r="BA34" s="263"/>
      <c r="BB34" s="263"/>
      <c r="BC34" s="217"/>
      <c r="BD34" s="304"/>
      <c r="BE34" s="304"/>
      <c r="BF34" s="304"/>
      <c r="BG34" s="304"/>
      <c r="BH34" s="304"/>
      <c r="BI34" s="354">
        <v>0</v>
      </c>
    </row>
    <row r="35" spans="1:61" ht="14.25" hidden="1" customHeight="1">
      <c r="Q35" s="228"/>
      <c r="R35" s="312"/>
      <c r="S35" s="1193"/>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3">
        <v>0</v>
      </c>
    </row>
    <row r="36" spans="1:61" s="2416" customFormat="1" ht="18.75" hidden="1" customHeight="1">
      <c r="A36" s="1286"/>
      <c r="B36" s="1286"/>
      <c r="C36" s="1286"/>
      <c r="D36" s="1286"/>
      <c r="E36" s="1286"/>
      <c r="F36" s="1286"/>
      <c r="G36" s="1286"/>
      <c r="H36" s="1286"/>
      <c r="I36" s="1286"/>
      <c r="J36" s="1286"/>
      <c r="K36" s="1286"/>
      <c r="L36" s="1287"/>
      <c r="M36" s="1286"/>
      <c r="N36" s="1286"/>
      <c r="O36" s="1286"/>
      <c r="P36" s="1286"/>
      <c r="Q36" s="1286"/>
      <c r="S36" s="2633" t="s">
        <v>414</v>
      </c>
      <c r="T36" s="2633"/>
      <c r="U36" s="1290"/>
      <c r="V36" s="2634" t="str">
        <f>IF(TITLE_DATE_PR_CHANGE="",IF(TITLE_DATE_PR="","",TITLE_DATE_PR),TITLE_DATE_PR_CHANGE)</f>
        <v/>
      </c>
      <c r="W36" s="2634"/>
      <c r="X36" s="2634"/>
      <c r="Y36" s="2634"/>
      <c r="Z36" s="2634"/>
      <c r="AA36" s="2634"/>
      <c r="AB36" s="2634"/>
      <c r="AC36" s="263"/>
      <c r="AD36" s="2634" t="str">
        <f>IF(TITLE_DATE_PR_CHANGE="",IF(TITLE_DATE_PR="","",TITLE_DATE_PR),TITLE_DATE_PR_CHANGE)</f>
        <v/>
      </c>
      <c r="AE36" s="2634"/>
      <c r="AF36" s="2634"/>
      <c r="AG36" s="2634"/>
      <c r="AH36" s="2634"/>
      <c r="AI36" s="2634"/>
      <c r="AJ36" s="2634"/>
      <c r="AK36" s="2634"/>
      <c r="AL36" s="2634"/>
      <c r="AM36" s="2634"/>
      <c r="AN36" s="2634"/>
      <c r="AO36" s="2634"/>
      <c r="AP36" s="2634"/>
      <c r="AQ36" s="2634"/>
      <c r="AR36" s="2634"/>
      <c r="AS36" s="2634"/>
      <c r="AT36" s="2634"/>
      <c r="AU36" s="2634"/>
      <c r="AV36" s="2634"/>
      <c r="AW36" s="2634"/>
      <c r="AX36" s="2634"/>
      <c r="AY36" s="2634"/>
      <c r="AZ36" s="2634"/>
      <c r="BA36" s="263"/>
      <c r="BB36" s="263"/>
      <c r="BC36" s="217"/>
      <c r="BD36" s="304"/>
      <c r="BE36" s="304"/>
      <c r="BF36" s="304"/>
      <c r="BG36" s="304"/>
      <c r="BH36" s="304"/>
      <c r="BI36" s="354">
        <v>0</v>
      </c>
    </row>
    <row r="37" spans="1:61" s="2416" customFormat="1" ht="18.75" hidden="1" customHeight="1">
      <c r="A37" s="1286"/>
      <c r="B37" s="1286"/>
      <c r="C37" s="1286"/>
      <c r="D37" s="1286"/>
      <c r="E37" s="1286"/>
      <c r="F37" s="1286"/>
      <c r="G37" s="1286"/>
      <c r="H37" s="1286"/>
      <c r="I37" s="1286"/>
      <c r="J37" s="1286"/>
      <c r="K37" s="1286"/>
      <c r="L37" s="1287"/>
      <c r="M37" s="1286"/>
      <c r="N37" s="1286"/>
      <c r="O37" s="1286"/>
      <c r="P37" s="1286"/>
      <c r="Q37" s="1286"/>
      <c r="S37" s="2633" t="s">
        <v>415</v>
      </c>
      <c r="T37" s="2633"/>
      <c r="U37" s="1290"/>
      <c r="V37" s="2635" t="str">
        <f>IF(TITLE_NUMBER_PR_CHANGE="",IF(TITLE_NUMBER_PR="","",TITLE_NUMBER_PR),TITLE_NUMBER_PR_CHANGE)</f>
        <v/>
      </c>
      <c r="W37" s="2635"/>
      <c r="X37" s="2635"/>
      <c r="Y37" s="2635"/>
      <c r="Z37" s="2635"/>
      <c r="AA37" s="2635"/>
      <c r="AB37" s="2635"/>
      <c r="AC37" s="263"/>
      <c r="AD37" s="2635" t="str">
        <f>IF(TITLE_NUMBER_PR_CHANGE="",IF(TITLE_NUMBER_PR="","",TITLE_NUMBER_PR),TITLE_NUMBER_PR_CHANGE)</f>
        <v/>
      </c>
      <c r="AE37" s="2635"/>
      <c r="AF37" s="2635"/>
      <c r="AG37" s="2635"/>
      <c r="AH37" s="2635"/>
      <c r="AI37" s="2635"/>
      <c r="AJ37" s="2635"/>
      <c r="AK37" s="2635"/>
      <c r="AL37" s="2635"/>
      <c r="AM37" s="2635"/>
      <c r="AN37" s="2635"/>
      <c r="AO37" s="2635"/>
      <c r="AP37" s="2635"/>
      <c r="AQ37" s="2635"/>
      <c r="AR37" s="2635"/>
      <c r="AS37" s="2635"/>
      <c r="AT37" s="2635"/>
      <c r="AU37" s="2635"/>
      <c r="AV37" s="2635"/>
      <c r="AW37" s="2635"/>
      <c r="AX37" s="2635"/>
      <c r="AY37" s="2635"/>
      <c r="AZ37" s="2635"/>
      <c r="BA37" s="263"/>
      <c r="BB37" s="263"/>
      <c r="BC37" s="217"/>
      <c r="BD37" s="304"/>
      <c r="BE37" s="304"/>
      <c r="BF37" s="304"/>
      <c r="BG37" s="304"/>
      <c r="BH37" s="304"/>
      <c r="BI37" s="354">
        <v>0</v>
      </c>
    </row>
    <row r="38" spans="1:61" s="2416" customFormat="1" ht="0" hidden="1" customHeight="1">
      <c r="A38" s="1286"/>
      <c r="B38" s="1286"/>
      <c r="C38" s="1286"/>
      <c r="D38" s="1286"/>
      <c r="E38" s="1286"/>
      <c r="F38" s="1286"/>
      <c r="G38" s="1286"/>
      <c r="H38" s="1286"/>
      <c r="I38" s="1286"/>
      <c r="J38" s="1286"/>
      <c r="K38" s="1286"/>
      <c r="L38" s="1287"/>
      <c r="M38" s="1286"/>
      <c r="N38" s="1286"/>
      <c r="O38" s="1286"/>
      <c r="P38" s="1286"/>
      <c r="Q38" s="1286"/>
      <c r="S38" s="260"/>
      <c r="T38" s="260"/>
      <c r="U38" s="1406"/>
      <c r="V38" s="263"/>
      <c r="W38" s="263"/>
      <c r="X38" s="263"/>
      <c r="Y38" s="263"/>
      <c r="Z38" s="263"/>
      <c r="AA38" s="263"/>
      <c r="AB38" s="263"/>
      <c r="AC38" s="215" t="s">
        <v>418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418</v>
      </c>
      <c r="BD38" s="304"/>
      <c r="BE38" s="304"/>
      <c r="BF38" s="304"/>
      <c r="BG38" s="304"/>
      <c r="BH38" s="304"/>
      <c r="BI38" s="354">
        <v>0</v>
      </c>
    </row>
    <row r="39" spans="1:61" ht="14.65" customHeight="1">
      <c r="Q39" s="228"/>
      <c r="R39" s="312"/>
      <c r="S39" s="1193"/>
      <c r="T39" s="299"/>
      <c r="U39" s="1162"/>
      <c r="V39" s="2654"/>
      <c r="W39" s="2654"/>
      <c r="X39" s="2654"/>
      <c r="Y39" s="2654"/>
      <c r="Z39" s="2654"/>
      <c r="AA39" s="2654"/>
      <c r="AB39" s="2654"/>
      <c r="AC39" s="2654"/>
      <c r="AD39" s="2654"/>
      <c r="AE39" s="2654"/>
      <c r="AF39" s="2654"/>
      <c r="AG39" s="2654"/>
      <c r="AH39" s="2654"/>
      <c r="AI39" s="2654"/>
      <c r="AJ39" s="2654"/>
      <c r="AK39" s="2654"/>
      <c r="AL39" s="2654"/>
      <c r="AM39" s="2654"/>
      <c r="AN39" s="2654"/>
      <c r="AO39" s="2654"/>
      <c r="AP39" s="2654"/>
      <c r="AQ39" s="2654"/>
      <c r="AR39" s="2654"/>
      <c r="AS39" s="2654"/>
      <c r="AT39" s="2654"/>
      <c r="AU39" s="2654"/>
      <c r="AV39" s="2654"/>
      <c r="AW39" s="2654"/>
      <c r="AX39" s="2654"/>
      <c r="AY39" s="2654"/>
      <c r="AZ39" s="2654"/>
      <c r="BA39" s="2654"/>
      <c r="BI39" s="1073">
        <v>14</v>
      </c>
    </row>
    <row r="40" spans="1:61" ht="14.65" customHeight="1">
      <c r="Q40" s="228"/>
      <c r="R40" s="312"/>
      <c r="S40" s="2514" t="s">
        <v>291</v>
      </c>
      <c r="T40" s="2514"/>
      <c r="U40" s="2514"/>
      <c r="V40" s="2514"/>
      <c r="W40" s="2514"/>
      <c r="X40" s="2514"/>
      <c r="Y40" s="2514"/>
      <c r="Z40" s="2514"/>
      <c r="AA40" s="2514"/>
      <c r="AB40" s="2514"/>
      <c r="AC40" s="2514"/>
      <c r="AD40" s="2514"/>
      <c r="AE40" s="2514"/>
      <c r="AF40" s="2514"/>
      <c r="AG40" s="2514"/>
      <c r="AH40" s="2514"/>
      <c r="AI40" s="2514"/>
      <c r="AJ40" s="2514"/>
      <c r="AK40" s="2514"/>
      <c r="AL40" s="2514"/>
      <c r="AM40" s="2514"/>
      <c r="AN40" s="2514"/>
      <c r="AO40" s="2514"/>
      <c r="AP40" s="2514"/>
      <c r="AQ40" s="2514"/>
      <c r="AR40" s="2514"/>
      <c r="AS40" s="2514"/>
      <c r="AT40" s="2514"/>
      <c r="AU40" s="2514"/>
      <c r="AV40" s="2514"/>
      <c r="AW40" s="2514"/>
      <c r="AX40" s="2514"/>
      <c r="AY40" s="2514"/>
      <c r="AZ40" s="2514"/>
      <c r="BA40" s="2514"/>
      <c r="BB40" s="2514"/>
      <c r="BC40" s="2514" t="s">
        <v>292</v>
      </c>
      <c r="BI40" s="1073">
        <v>14</v>
      </c>
    </row>
    <row r="41" spans="1:61" ht="14.65" customHeight="1">
      <c r="Q41" s="228"/>
      <c r="R41" s="312"/>
      <c r="S41" s="2655" t="s">
        <v>84</v>
      </c>
      <c r="T41" s="2603" t="s">
        <v>498</v>
      </c>
      <c r="U41" s="238"/>
      <c r="V41" s="2656" t="s">
        <v>420</v>
      </c>
      <c r="W41" s="2657"/>
      <c r="X41" s="2657"/>
      <c r="Y41" s="2657"/>
      <c r="Z41" s="2657"/>
      <c r="AA41" s="2657"/>
      <c r="AB41" s="2658"/>
      <c r="AC41" s="2659" t="s">
        <v>421</v>
      </c>
      <c r="AD41" s="2688" t="s">
        <v>499</v>
      </c>
      <c r="AE41" s="2672"/>
      <c r="AF41" s="2672"/>
      <c r="AG41" s="2689"/>
      <c r="AH41" s="2688" t="s">
        <v>500</v>
      </c>
      <c r="AI41" s="2672"/>
      <c r="AJ41" s="2672"/>
      <c r="AK41" s="2689"/>
      <c r="AL41" s="2688" t="s">
        <v>501</v>
      </c>
      <c r="AM41" s="2672"/>
      <c r="AN41" s="2672"/>
      <c r="AO41" s="2689"/>
      <c r="AP41" s="2688" t="s">
        <v>502</v>
      </c>
      <c r="AQ41" s="2672"/>
      <c r="AR41" s="2672"/>
      <c r="AS41" s="2689"/>
      <c r="AT41" s="2656" t="s">
        <v>420</v>
      </c>
      <c r="AU41" s="2657"/>
      <c r="AV41" s="2657"/>
      <c r="AW41" s="2657"/>
      <c r="AX41" s="2657"/>
      <c r="AY41" s="2657"/>
      <c r="AZ41" s="2658"/>
      <c r="BA41" s="2659" t="s">
        <v>421</v>
      </c>
      <c r="BB41" s="2662" t="s">
        <v>423</v>
      </c>
      <c r="BC41" s="2514"/>
      <c r="BI41" s="1073">
        <v>14</v>
      </c>
    </row>
    <row r="42" spans="1:61" ht="35.65" customHeight="1">
      <c r="Q42" s="228"/>
      <c r="R42" s="312"/>
      <c r="S42" s="2655"/>
      <c r="T42" s="2603"/>
      <c r="U42" s="954"/>
      <c r="V42" s="2574" t="s">
        <v>503</v>
      </c>
      <c r="W42" s="2575"/>
      <c r="X42" s="2574" t="s">
        <v>504</v>
      </c>
      <c r="Y42" s="2575"/>
      <c r="Z42" s="2574" t="s">
        <v>505</v>
      </c>
      <c r="AA42" s="2684"/>
      <c r="AB42" s="2575"/>
      <c r="AC42" s="2660"/>
      <c r="AD42" s="2690"/>
      <c r="AE42" s="2691"/>
      <c r="AF42" s="2691"/>
      <c r="AG42" s="2703"/>
      <c r="AH42" s="2690"/>
      <c r="AI42" s="2691"/>
      <c r="AJ42" s="2691"/>
      <c r="AK42" s="2703"/>
      <c r="AL42" s="2690"/>
      <c r="AM42" s="2691"/>
      <c r="AN42" s="2691"/>
      <c r="AO42" s="2703"/>
      <c r="AP42" s="2690"/>
      <c r="AQ42" s="2691"/>
      <c r="AR42" s="2691"/>
      <c r="AS42" s="2703"/>
      <c r="AT42" s="2574" t="s">
        <v>503</v>
      </c>
      <c r="AU42" s="2575"/>
      <c r="AV42" s="2574" t="s">
        <v>504</v>
      </c>
      <c r="AW42" s="2575"/>
      <c r="AX42" s="2574" t="s">
        <v>505</v>
      </c>
      <c r="AY42" s="2684"/>
      <c r="AZ42" s="2575"/>
      <c r="BA42" s="2660"/>
      <c r="BB42" s="2663"/>
      <c r="BC42" s="2514"/>
      <c r="BI42" s="1073">
        <v>34</v>
      </c>
    </row>
    <row r="43" spans="1:61" ht="14.65" customHeight="1">
      <c r="Q43" s="228"/>
      <c r="R43" s="312"/>
      <c r="S43" s="2655"/>
      <c r="T43" s="2603"/>
      <c r="U43" s="954"/>
      <c r="V43" s="2579"/>
      <c r="W43" s="2580"/>
      <c r="X43" s="2579"/>
      <c r="Y43" s="2580"/>
      <c r="Z43" s="2579"/>
      <c r="AA43" s="2685"/>
      <c r="AB43" s="2580"/>
      <c r="AC43" s="2660"/>
      <c r="AD43" s="2690"/>
      <c r="AE43" s="2691"/>
      <c r="AF43" s="2691"/>
      <c r="AG43" s="2703"/>
      <c r="AH43" s="2690"/>
      <c r="AI43" s="2691"/>
      <c r="AJ43" s="2691"/>
      <c r="AK43" s="2703"/>
      <c r="AL43" s="2690"/>
      <c r="AM43" s="2691"/>
      <c r="AN43" s="2691"/>
      <c r="AO43" s="2703"/>
      <c r="AP43" s="2690"/>
      <c r="AQ43" s="2691"/>
      <c r="AR43" s="2691"/>
      <c r="AS43" s="2703"/>
      <c r="AT43" s="2579"/>
      <c r="AU43" s="2580"/>
      <c r="AV43" s="2579"/>
      <c r="AW43" s="2580"/>
      <c r="AX43" s="2579"/>
      <c r="AY43" s="2685"/>
      <c r="AZ43" s="2580"/>
      <c r="BA43" s="2660"/>
      <c r="BB43" s="2663"/>
      <c r="BC43" s="2514"/>
      <c r="BI43" s="1073">
        <v>14</v>
      </c>
    </row>
    <row r="44" spans="1:61" ht="14.65" customHeight="1">
      <c r="A44" s="1288"/>
      <c r="B44" s="1288" t="s">
        <v>128</v>
      </c>
      <c r="C44" s="1288" t="s">
        <v>129</v>
      </c>
      <c r="D44" s="1288" t="s">
        <v>130</v>
      </c>
      <c r="E44" s="1282" t="s">
        <v>428</v>
      </c>
      <c r="F44" s="1282" t="s">
        <v>429</v>
      </c>
      <c r="G44" s="1282" t="s">
        <v>430</v>
      </c>
      <c r="H44" s="1282" t="s">
        <v>431</v>
      </c>
      <c r="I44" s="1282" t="s">
        <v>432</v>
      </c>
      <c r="J44" s="1282" t="s">
        <v>433</v>
      </c>
      <c r="K44" s="1282" t="s">
        <v>434</v>
      </c>
      <c r="L44" s="1282" t="s">
        <v>409</v>
      </c>
      <c r="Q44" s="228"/>
      <c r="R44" s="312"/>
      <c r="S44" s="2655"/>
      <c r="T44" s="2603"/>
      <c r="U44" s="239"/>
      <c r="V44" s="1397" t="s">
        <v>469</v>
      </c>
      <c r="W44" s="1397" t="s">
        <v>470</v>
      </c>
      <c r="X44" s="1397" t="s">
        <v>469</v>
      </c>
      <c r="Y44" s="1397" t="s">
        <v>470</v>
      </c>
      <c r="Z44" s="1407" t="s">
        <v>437</v>
      </c>
      <c r="AA44" s="2608" t="s">
        <v>438</v>
      </c>
      <c r="AB44" s="2622"/>
      <c r="AC44" s="2661"/>
      <c r="AD44" s="2692"/>
      <c r="AE44" s="2693"/>
      <c r="AF44" s="2693"/>
      <c r="AG44" s="2694"/>
      <c r="AH44" s="2692"/>
      <c r="AI44" s="2693"/>
      <c r="AJ44" s="2693"/>
      <c r="AK44" s="2694"/>
      <c r="AL44" s="2692"/>
      <c r="AM44" s="2693"/>
      <c r="AN44" s="2693"/>
      <c r="AO44" s="2694"/>
      <c r="AP44" s="2692"/>
      <c r="AQ44" s="2693"/>
      <c r="AR44" s="2693"/>
      <c r="AS44" s="2694"/>
      <c r="AT44" s="1397" t="s">
        <v>469</v>
      </c>
      <c r="AU44" s="1397" t="s">
        <v>470</v>
      </c>
      <c r="AV44" s="1397" t="s">
        <v>469</v>
      </c>
      <c r="AW44" s="1397" t="s">
        <v>470</v>
      </c>
      <c r="AX44" s="1407" t="s">
        <v>437</v>
      </c>
      <c r="AY44" s="2608" t="s">
        <v>438</v>
      </c>
      <c r="AZ44" s="2622"/>
      <c r="BA44" s="2661"/>
      <c r="BB44" s="2664"/>
      <c r="BC44" s="2514"/>
      <c r="BI44" s="1073">
        <v>14</v>
      </c>
    </row>
    <row r="45" spans="1:61" s="2431" customFormat="1" ht="0" hidden="1" customHeight="1">
      <c r="A45" s="1288"/>
      <c r="B45" s="1288"/>
      <c r="C45" s="1288"/>
      <c r="D45" s="1288"/>
      <c r="E45" s="1288"/>
      <c r="F45" s="1288"/>
      <c r="G45" s="1288"/>
      <c r="H45" s="1288"/>
      <c r="I45" s="1288"/>
      <c r="J45" s="1288"/>
      <c r="K45" s="1288"/>
      <c r="L45" s="1282"/>
      <c r="M45" s="1280"/>
      <c r="N45" s="1280"/>
      <c r="O45" s="1280"/>
      <c r="P45" s="446"/>
      <c r="Q45" s="1172"/>
      <c r="R45" s="1172">
        <v>1</v>
      </c>
      <c r="S45" s="1195" t="s">
        <v>102</v>
      </c>
      <c r="T45" s="1173" t="s">
        <v>103</v>
      </c>
      <c r="U45" s="1163" t="str">
        <f ca="1">OFFSET(U45,0,-1)</f>
        <v>2</v>
      </c>
      <c r="V45" s="1400">
        <f t="shared" ref="V45:AA45" ca="1" si="2">OFFSET(V45,0,-1)+1</f>
        <v>3</v>
      </c>
      <c r="W45" s="1400">
        <f t="shared" ca="1" si="2"/>
        <v>4</v>
      </c>
      <c r="X45" s="1400">
        <f t="shared" ca="1" si="2"/>
        <v>5</v>
      </c>
      <c r="Y45" s="1400">
        <f t="shared" ca="1" si="2"/>
        <v>6</v>
      </c>
      <c r="Z45" s="1400">
        <f t="shared" ca="1" si="2"/>
        <v>7</v>
      </c>
      <c r="AA45" s="2653">
        <f t="shared" ca="1" si="2"/>
        <v>8</v>
      </c>
      <c r="AB45" s="265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653">
        <f ca="1">OFFSET(AY45,0,-1)+1</f>
        <v>3</v>
      </c>
      <c r="AZ45" s="2653"/>
      <c r="BA45" s="1400">
        <f ca="1">OFFSET(BA45,0,-2)+1</f>
        <v>4</v>
      </c>
      <c r="BB45" s="1163">
        <f ca="1">OFFSET(BB45,0,-1)</f>
        <v>4</v>
      </c>
      <c r="BC45" s="1400">
        <f ca="1">OFFSET(BC45,0,-1)+1</f>
        <v>5</v>
      </c>
      <c r="BD45" s="447"/>
      <c r="BE45" s="447"/>
      <c r="BF45" s="447"/>
      <c r="BG45" s="447"/>
      <c r="BH45" s="447"/>
      <c r="BI45" s="432">
        <v>0</v>
      </c>
    </row>
    <row r="46" spans="1:61" ht="21.95" customHeight="1">
      <c r="A46" s="1281" t="s">
        <v>252</v>
      </c>
      <c r="B46" s="1281"/>
      <c r="C46" s="1281"/>
      <c r="D46" s="1281"/>
      <c r="E46" s="2642">
        <v>1</v>
      </c>
      <c r="F46" s="1281"/>
      <c r="G46" s="1281"/>
      <c r="H46" s="1281"/>
      <c r="I46" s="1281"/>
      <c r="J46" s="1281"/>
      <c r="K46" s="1281"/>
      <c r="L46" s="1282"/>
      <c r="M46" s="1283"/>
      <c r="N46" s="1283"/>
      <c r="O46" s="1283"/>
      <c r="P46" s="1327"/>
      <c r="Q46" s="799"/>
      <c r="R46" s="291"/>
      <c r="S46" s="1411">
        <f>INDEX(PT_DIFFERENTIATION_NUM_NTAR,MATCH(A46,PT_DIFFERENTIATION_NTAR_ID,0))</f>
        <v>0</v>
      </c>
      <c r="T46" s="235" t="s">
        <v>116</v>
      </c>
      <c r="U46" s="237"/>
      <c r="V46" s="2637"/>
      <c r="W46" s="2637"/>
      <c r="X46" s="2637"/>
      <c r="Y46" s="2637"/>
      <c r="Z46" s="2637"/>
      <c r="AA46" s="2637"/>
      <c r="AB46" s="2637"/>
      <c r="AC46" s="2638"/>
      <c r="AD46" s="2636" t="str">
        <f>INDEX(PT_DIFFERENTIATION_NTAR,MATCH(A46,PT_DIFFERENTIATION_NTAR_ID,0))</f>
        <v/>
      </c>
      <c r="AE46" s="2637"/>
      <c r="AF46" s="2637"/>
      <c r="AG46" s="2637"/>
      <c r="AH46" s="2637"/>
      <c r="AI46" s="2637"/>
      <c r="AJ46" s="2637"/>
      <c r="AK46" s="2637"/>
      <c r="AL46" s="2637"/>
      <c r="AM46" s="2637"/>
      <c r="AN46" s="2637"/>
      <c r="AO46" s="2637"/>
      <c r="AP46" s="2637"/>
      <c r="AQ46" s="2637"/>
      <c r="AR46" s="2637"/>
      <c r="AS46" s="2637"/>
      <c r="AT46" s="2637"/>
      <c r="AU46" s="2637"/>
      <c r="AV46" s="2637"/>
      <c r="AW46" s="2637"/>
      <c r="AX46" s="2637"/>
      <c r="AY46" s="2637"/>
      <c r="AZ46" s="2637"/>
      <c r="BA46" s="2637"/>
      <c r="BB46" s="263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3">
        <v>21</v>
      </c>
    </row>
    <row r="47" spans="1:61" ht="21.95" customHeight="1">
      <c r="A47" s="1281" t="s">
        <v>252</v>
      </c>
      <c r="B47" s="1281" t="s">
        <v>253</v>
      </c>
      <c r="C47" s="1281"/>
      <c r="D47" s="1281"/>
      <c r="E47" s="2643"/>
      <c r="F47" s="2642">
        <v>1</v>
      </c>
      <c r="G47" s="1281"/>
      <c r="H47" s="1281"/>
      <c r="I47" s="1281"/>
      <c r="J47" s="1281"/>
      <c r="K47" s="1281"/>
      <c r="L47" s="1282"/>
      <c r="M47" s="1283"/>
      <c r="N47" s="1283"/>
      <c r="O47" s="1283"/>
      <c r="P47" s="1328"/>
      <c r="Q47" s="1329"/>
      <c r="R47" s="289"/>
      <c r="S47" s="1411" t="str">
        <f>INDEX(PT_DIFFERENTIATION_NUM_TER,MATCH(B47,PT_DIFFERENTIATION_TER_ID,0))</f>
        <v>.</v>
      </c>
      <c r="T47" s="245" t="s">
        <v>388</v>
      </c>
      <c r="U47" s="237"/>
      <c r="V47" s="2637"/>
      <c r="W47" s="2637"/>
      <c r="X47" s="2637"/>
      <c r="Y47" s="2637"/>
      <c r="Z47" s="2637"/>
      <c r="AA47" s="2637"/>
      <c r="AB47" s="2637"/>
      <c r="AC47" s="2638"/>
      <c r="AD47" s="2636" t="str">
        <f>INDEX(PT_DIFFERENTIATION_TER,MATCH(B47,PT_DIFFERENTIATION_TER_ID,0))</f>
        <v/>
      </c>
      <c r="AE47" s="2637"/>
      <c r="AF47" s="2637"/>
      <c r="AG47" s="2637"/>
      <c r="AH47" s="2637"/>
      <c r="AI47" s="2637"/>
      <c r="AJ47" s="2637"/>
      <c r="AK47" s="2637"/>
      <c r="AL47" s="2637"/>
      <c r="AM47" s="2637"/>
      <c r="AN47" s="2637"/>
      <c r="AO47" s="2637"/>
      <c r="AP47" s="2637"/>
      <c r="AQ47" s="2637"/>
      <c r="AR47" s="2637"/>
      <c r="AS47" s="2637"/>
      <c r="AT47" s="2637"/>
      <c r="AU47" s="2637"/>
      <c r="AV47" s="2637"/>
      <c r="AW47" s="2637"/>
      <c r="AX47" s="2637"/>
      <c r="AY47" s="2637"/>
      <c r="AZ47" s="2637"/>
      <c r="BA47" s="2637"/>
      <c r="BB47" s="2638"/>
      <c r="BC47" s="1176" t="s">
        <v>389</v>
      </c>
      <c r="BE47" s="436"/>
      <c r="BF47" s="436" t="str">
        <f t="shared" si="3"/>
        <v>Территория действия тарифа</v>
      </c>
      <c r="BG47" s="436"/>
      <c r="BH47" s="436"/>
      <c r="BI47" s="1073">
        <v>21</v>
      </c>
    </row>
    <row r="48" spans="1:61" ht="35.65" customHeight="1">
      <c r="A48" s="1281" t="s">
        <v>252</v>
      </c>
      <c r="B48" s="1281" t="s">
        <v>253</v>
      </c>
      <c r="C48" s="1281" t="s">
        <v>254</v>
      </c>
      <c r="D48" s="1281"/>
      <c r="E48" s="2643"/>
      <c r="F48" s="2643"/>
      <c r="G48" s="2642">
        <v>1</v>
      </c>
      <c r="H48" s="1281"/>
      <c r="I48" s="1281"/>
      <c r="J48" s="1281"/>
      <c r="K48" s="1281"/>
      <c r="L48" s="1282"/>
      <c r="M48" s="1283"/>
      <c r="N48" s="1283"/>
      <c r="O48" s="1283"/>
      <c r="P48" s="1330"/>
      <c r="Q48" s="1329"/>
      <c r="R48" s="289"/>
      <c r="S48" s="1411" t="str">
        <f>INDEX(PT_DIFFERENTIATION_NUM_CS,MATCH(C48,PT_DIFFERENTIATION_CS_ID,0))</f>
        <v>..</v>
      </c>
      <c r="T48" s="246" t="s">
        <v>521</v>
      </c>
      <c r="U48" s="237"/>
      <c r="V48" s="2637"/>
      <c r="W48" s="2637"/>
      <c r="X48" s="2637"/>
      <c r="Y48" s="2637"/>
      <c r="Z48" s="2637"/>
      <c r="AA48" s="2637"/>
      <c r="AB48" s="2637"/>
      <c r="AC48" s="2638"/>
      <c r="AD48" s="2636" t="str">
        <f>INDEX(PT_DIFFERENTIATION_CS,MATCH(C48,PT_DIFFERENTIATION_CS_ID,0))</f>
        <v/>
      </c>
      <c r="AE48" s="2637"/>
      <c r="AF48" s="2637"/>
      <c r="AG48" s="2637"/>
      <c r="AH48" s="2637"/>
      <c r="AI48" s="2637"/>
      <c r="AJ48" s="2637"/>
      <c r="AK48" s="2637"/>
      <c r="AL48" s="2637"/>
      <c r="AM48" s="2637"/>
      <c r="AN48" s="2637"/>
      <c r="AO48" s="2637"/>
      <c r="AP48" s="2637"/>
      <c r="AQ48" s="2637"/>
      <c r="AR48" s="2637"/>
      <c r="AS48" s="2637"/>
      <c r="AT48" s="2637"/>
      <c r="AU48" s="2637"/>
      <c r="AV48" s="2637"/>
      <c r="AW48" s="2637"/>
      <c r="AX48" s="2637"/>
      <c r="AY48" s="2637"/>
      <c r="AZ48" s="2637"/>
      <c r="BA48" s="2637"/>
      <c r="BB48" s="2638"/>
      <c r="BC48" s="1176" t="s">
        <v>522</v>
      </c>
      <c r="BE48" s="436"/>
      <c r="BF48" s="436" t="str">
        <f t="shared" si="3"/>
        <v>Наименование централизованной системы горячего водоснабжения</v>
      </c>
      <c r="BG48" s="436"/>
      <c r="BH48" s="436"/>
      <c r="BI48" s="1073">
        <v>34</v>
      </c>
    </row>
    <row r="49" spans="1:61" s="2407" customFormat="1" ht="0" hidden="1" customHeight="1">
      <c r="A49" s="1261" t="s">
        <v>252</v>
      </c>
      <c r="B49" s="1261" t="s">
        <v>253</v>
      </c>
      <c r="C49" s="1261" t="s">
        <v>254</v>
      </c>
      <c r="D49" s="1261" t="s">
        <v>535</v>
      </c>
      <c r="E49" s="2643"/>
      <c r="F49" s="2643"/>
      <c r="G49" s="2643"/>
      <c r="H49" s="2642">
        <v>1</v>
      </c>
      <c r="I49" s="1261"/>
      <c r="J49" s="1261"/>
      <c r="K49" s="1261"/>
      <c r="L49" s="1264"/>
      <c r="M49" s="1233"/>
      <c r="N49" s="1233"/>
      <c r="O49" s="1233"/>
      <c r="P49" s="1415"/>
      <c r="Q49" s="1416"/>
      <c r="R49" s="293"/>
      <c r="S49" s="965"/>
      <c r="T49" s="1417"/>
      <c r="U49" s="1302"/>
      <c r="V49" s="2674"/>
      <c r="W49" s="2674"/>
      <c r="X49" s="2674"/>
      <c r="Y49" s="2674"/>
      <c r="Z49" s="2674"/>
      <c r="AA49" s="2674"/>
      <c r="AB49" s="2674"/>
      <c r="AC49" s="2675"/>
      <c r="AD49" s="2673"/>
      <c r="AE49" s="2674"/>
      <c r="AF49" s="2674"/>
      <c r="AG49" s="2674"/>
      <c r="AH49" s="2674"/>
      <c r="AI49" s="2674"/>
      <c r="AJ49" s="2674"/>
      <c r="AK49" s="2674"/>
      <c r="AL49" s="2674"/>
      <c r="AM49" s="2674"/>
      <c r="AN49" s="2674"/>
      <c r="AO49" s="2674"/>
      <c r="AP49" s="2674"/>
      <c r="AQ49" s="2674"/>
      <c r="AR49" s="2674"/>
      <c r="AS49" s="2674"/>
      <c r="AT49" s="2674"/>
      <c r="AU49" s="2674"/>
      <c r="AV49" s="2674"/>
      <c r="AW49" s="2674"/>
      <c r="AX49" s="2674"/>
      <c r="AY49" s="2674"/>
      <c r="AZ49" s="2674"/>
      <c r="BA49" s="2674"/>
      <c r="BB49" s="2675"/>
      <c r="BC49" s="1303" t="s">
        <v>393</v>
      </c>
      <c r="BE49" s="436"/>
      <c r="BF49" s="436" t="str">
        <f t="shared" si="3"/>
        <v/>
      </c>
      <c r="BG49" s="436"/>
      <c r="BH49" s="436"/>
      <c r="BI49" s="447">
        <v>0</v>
      </c>
    </row>
    <row r="50" spans="1:61" s="2407" customFormat="1" ht="0" hidden="1" customHeight="1">
      <c r="A50" s="1261" t="s">
        <v>252</v>
      </c>
      <c r="B50" s="1261" t="s">
        <v>253</v>
      </c>
      <c r="C50" s="1261" t="s">
        <v>254</v>
      </c>
      <c r="D50" s="1261" t="s">
        <v>535</v>
      </c>
      <c r="E50" s="2643"/>
      <c r="F50" s="2643"/>
      <c r="G50" s="2643"/>
      <c r="H50" s="2643"/>
      <c r="I50" s="2644" t="str">
        <f>S49&amp;".1"</f>
        <v>.1</v>
      </c>
      <c r="J50" s="1261"/>
      <c r="K50" s="1261"/>
      <c r="L50" s="1264" t="s">
        <v>394</v>
      </c>
      <c r="M50" s="446"/>
      <c r="N50" s="446"/>
      <c r="O50" s="446"/>
      <c r="P50" s="2646">
        <v>1</v>
      </c>
      <c r="Q50" s="1399"/>
      <c r="R50" s="292"/>
      <c r="S50" s="965"/>
      <c r="T50" s="1301"/>
      <c r="U50" s="1302"/>
      <c r="V50" s="2674"/>
      <c r="W50" s="2674"/>
      <c r="X50" s="2674"/>
      <c r="Y50" s="2674"/>
      <c r="Z50" s="2674"/>
      <c r="AA50" s="2674"/>
      <c r="AB50" s="2674"/>
      <c r="AC50" s="2675"/>
      <c r="AD50" s="2673"/>
      <c r="AE50" s="2674"/>
      <c r="AF50" s="2674"/>
      <c r="AG50" s="2674"/>
      <c r="AH50" s="2674"/>
      <c r="AI50" s="2674"/>
      <c r="AJ50" s="2674"/>
      <c r="AK50" s="2674"/>
      <c r="AL50" s="2674"/>
      <c r="AM50" s="2674"/>
      <c r="AN50" s="2674"/>
      <c r="AO50" s="2674"/>
      <c r="AP50" s="2674"/>
      <c r="AQ50" s="2674"/>
      <c r="AR50" s="2674"/>
      <c r="AS50" s="2674"/>
      <c r="AT50" s="2674"/>
      <c r="AU50" s="2674"/>
      <c r="AV50" s="2674"/>
      <c r="AW50" s="2674"/>
      <c r="AX50" s="2674"/>
      <c r="AY50" s="2674"/>
      <c r="AZ50" s="2674"/>
      <c r="BA50" s="2674"/>
      <c r="BB50" s="2675"/>
      <c r="BC50" s="1303"/>
      <c r="BE50" s="436"/>
      <c r="BF50" s="436" t="str">
        <f t="shared" si="3"/>
        <v/>
      </c>
      <c r="BG50" s="436"/>
      <c r="BH50" s="436"/>
      <c r="BI50" s="447">
        <v>0</v>
      </c>
    </row>
    <row r="51" spans="1:61" s="2407" customFormat="1" ht="0" hidden="1" customHeight="1">
      <c r="A51" s="1261" t="s">
        <v>252</v>
      </c>
      <c r="B51" s="1261" t="s">
        <v>253</v>
      </c>
      <c r="C51" s="1261" t="s">
        <v>254</v>
      </c>
      <c r="D51" s="1261" t="s">
        <v>535</v>
      </c>
      <c r="E51" s="2643"/>
      <c r="F51" s="2643"/>
      <c r="G51" s="2643"/>
      <c r="H51" s="2643"/>
      <c r="I51" s="2645"/>
      <c r="J51" s="2644" t="str">
        <f>S49&amp;".1"</f>
        <v>.1</v>
      </c>
      <c r="K51" s="1261"/>
      <c r="L51" s="1264"/>
      <c r="M51" s="446"/>
      <c r="N51" s="446"/>
      <c r="O51" s="446"/>
      <c r="P51" s="2646"/>
      <c r="Q51" s="2646">
        <v>1</v>
      </c>
      <c r="R51" s="293"/>
      <c r="S51" s="965"/>
      <c r="T51" s="1317"/>
      <c r="U51" s="1302"/>
      <c r="V51" s="2674"/>
      <c r="W51" s="2674"/>
      <c r="X51" s="2674"/>
      <c r="Y51" s="2674"/>
      <c r="Z51" s="2674"/>
      <c r="AA51" s="2674"/>
      <c r="AB51" s="2674"/>
      <c r="AC51" s="2675"/>
      <c r="AD51" s="2673"/>
      <c r="AE51" s="2674"/>
      <c r="AF51" s="2674"/>
      <c r="AG51" s="2674"/>
      <c r="AH51" s="2674"/>
      <c r="AI51" s="2674"/>
      <c r="AJ51" s="2674"/>
      <c r="AK51" s="2674"/>
      <c r="AL51" s="2674"/>
      <c r="AM51" s="2674"/>
      <c r="AN51" s="2725"/>
      <c r="AO51" s="2725"/>
      <c r="AP51" s="2674"/>
      <c r="AQ51" s="2674"/>
      <c r="AR51" s="2674"/>
      <c r="AS51" s="2674"/>
      <c r="AT51" s="2674"/>
      <c r="AU51" s="2674"/>
      <c r="AV51" s="2674"/>
      <c r="AW51" s="2674"/>
      <c r="AX51" s="2674"/>
      <c r="AY51" s="2674"/>
      <c r="AZ51" s="2674"/>
      <c r="BA51" s="2674"/>
      <c r="BB51" s="2675"/>
      <c r="BC51" s="1303"/>
      <c r="BE51" s="436"/>
      <c r="BF51" s="436" t="str">
        <f t="shared" si="3"/>
        <v/>
      </c>
      <c r="BG51" s="436"/>
      <c r="BH51" s="436"/>
      <c r="BI51" s="447">
        <v>0</v>
      </c>
    </row>
    <row r="52" spans="1:61" ht="11.45" customHeight="1">
      <c r="A52" s="1281" t="s">
        <v>252</v>
      </c>
      <c r="B52" s="1281" t="s">
        <v>253</v>
      </c>
      <c r="C52" s="1281" t="s">
        <v>254</v>
      </c>
      <c r="D52" s="1281" t="s">
        <v>535</v>
      </c>
      <c r="E52" s="2643"/>
      <c r="F52" s="2643"/>
      <c r="G52" s="2643"/>
      <c r="H52" s="2643"/>
      <c r="I52" s="2645"/>
      <c r="J52" s="2645"/>
      <c r="K52" s="2644" t="str">
        <f>S48&amp;".1"</f>
        <v>...1</v>
      </c>
      <c r="L52" s="1282"/>
      <c r="P52" s="2646"/>
      <c r="Q52" s="2646"/>
      <c r="R52" s="293">
        <v>1</v>
      </c>
      <c r="S52" s="2699" t="str">
        <f>$K52</f>
        <v>...1</v>
      </c>
      <c r="T52" s="2719"/>
      <c r="U52" s="237"/>
      <c r="V52" s="687"/>
      <c r="W52" s="1175"/>
      <c r="X52" s="687"/>
      <c r="Y52" s="1175"/>
      <c r="Z52" s="1651"/>
      <c r="AA52" s="1387" t="s">
        <v>65</v>
      </c>
      <c r="AB52" s="1651"/>
      <c r="AC52" s="1387" t="s">
        <v>65</v>
      </c>
      <c r="AD52" s="2586" t="s">
        <v>65</v>
      </c>
      <c r="AE52" s="2695"/>
      <c r="AF52" s="2599">
        <v>1</v>
      </c>
      <c r="AG52" s="2718"/>
      <c r="AH52" s="2524" t="s">
        <v>65</v>
      </c>
      <c r="AI52" s="2695"/>
      <c r="AJ52" s="2599">
        <v>1</v>
      </c>
      <c r="AK52" s="2709" t="s">
        <v>22</v>
      </c>
      <c r="AL52" s="2524" t="s">
        <v>65</v>
      </c>
      <c r="AM52" s="2574"/>
      <c r="AN52" s="2599">
        <v>1</v>
      </c>
      <c r="AO52" s="2722"/>
      <c r="AP52" s="2723" t="s">
        <v>65</v>
      </c>
      <c r="AQ52" s="248"/>
      <c r="AR52" s="1404">
        <v>1</v>
      </c>
      <c r="AS52" s="1410" t="s">
        <v>22</v>
      </c>
      <c r="AT52" s="687"/>
      <c r="AU52" s="1175"/>
      <c r="AV52" s="687"/>
      <c r="AW52" s="1175"/>
      <c r="AX52" s="1651"/>
      <c r="AY52" s="1387" t="s">
        <v>65</v>
      </c>
      <c r="AZ52" s="1651"/>
      <c r="BA52" s="1387" t="s">
        <v>65</v>
      </c>
      <c r="BB52" s="1266"/>
      <c r="BC52" s="2665" t="s">
        <v>492</v>
      </c>
      <c r="BE52" s="436"/>
      <c r="BF52" s="436" t="str">
        <f t="shared" si="3"/>
        <v/>
      </c>
      <c r="BG52" s="436"/>
      <c r="BH52" s="436"/>
      <c r="BI52" s="1073">
        <v>11</v>
      </c>
    </row>
    <row r="53" spans="1:61" ht="11.45" customHeight="1">
      <c r="A53" s="1281"/>
      <c r="B53" s="1281"/>
      <c r="C53" s="1281"/>
      <c r="D53" s="1281"/>
      <c r="E53" s="2643"/>
      <c r="F53" s="2643"/>
      <c r="G53" s="2643"/>
      <c r="H53" s="2643"/>
      <c r="I53" s="2645"/>
      <c r="J53" s="2645"/>
      <c r="K53" s="2644"/>
      <c r="L53" s="1282"/>
      <c r="P53" s="2646"/>
      <c r="Q53" s="2646"/>
      <c r="R53" s="293"/>
      <c r="S53" s="2700"/>
      <c r="T53" s="2720"/>
      <c r="U53" s="237"/>
      <c r="V53" s="1311"/>
      <c r="W53" s="1414"/>
      <c r="X53" s="1311"/>
      <c r="Y53" s="1414"/>
      <c r="Z53" s="1311"/>
      <c r="AA53" s="1311"/>
      <c r="AB53" s="1311"/>
      <c r="AC53" s="1311"/>
      <c r="AD53" s="2587"/>
      <c r="AE53" s="2695"/>
      <c r="AF53" s="2599"/>
      <c r="AG53" s="2718"/>
      <c r="AH53" s="2524"/>
      <c r="AI53" s="2695"/>
      <c r="AJ53" s="2599"/>
      <c r="AK53" s="2709"/>
      <c r="AL53" s="2524"/>
      <c r="AM53" s="2579"/>
      <c r="AN53" s="2599"/>
      <c r="AO53" s="2722"/>
      <c r="AP53" s="2724"/>
      <c r="AQ53" s="253"/>
      <c r="AR53" s="352"/>
      <c r="AS53" s="352" t="s">
        <v>493</v>
      </c>
      <c r="AT53" s="1311"/>
      <c r="AU53" s="1414"/>
      <c r="AV53" s="1311"/>
      <c r="AW53" s="1414"/>
      <c r="AX53" s="1311"/>
      <c r="AY53" s="1311"/>
      <c r="AZ53" s="1311"/>
      <c r="BA53" s="1311"/>
      <c r="BB53" s="1315"/>
      <c r="BC53" s="2666"/>
      <c r="BE53" s="436"/>
      <c r="BF53" s="436"/>
      <c r="BG53" s="436"/>
      <c r="BH53" s="436"/>
      <c r="BI53" s="1073">
        <v>11</v>
      </c>
    </row>
    <row r="54" spans="1:61" ht="11.45" customHeight="1">
      <c r="A54" s="1281" t="s">
        <v>252</v>
      </c>
      <c r="B54" s="1281"/>
      <c r="C54" s="1281"/>
      <c r="D54" s="1281"/>
      <c r="E54" s="2643"/>
      <c r="F54" s="2643"/>
      <c r="G54" s="2643"/>
      <c r="H54" s="2643"/>
      <c r="I54" s="2645"/>
      <c r="J54" s="2645"/>
      <c r="K54" s="2644"/>
      <c r="L54" s="1282"/>
      <c r="P54" s="2646"/>
      <c r="Q54" s="2646"/>
      <c r="R54" s="293"/>
      <c r="S54" s="2700"/>
      <c r="T54" s="2720"/>
      <c r="U54" s="237"/>
      <c r="V54" s="1311"/>
      <c r="W54" s="1414"/>
      <c r="X54" s="1311"/>
      <c r="Y54" s="1414"/>
      <c r="Z54" s="1311"/>
      <c r="AA54" s="1311"/>
      <c r="AB54" s="1311"/>
      <c r="AC54" s="1311"/>
      <c r="AD54" s="2587"/>
      <c r="AE54" s="2695"/>
      <c r="AF54" s="2599"/>
      <c r="AG54" s="2718"/>
      <c r="AH54" s="2524"/>
      <c r="AI54" s="2695"/>
      <c r="AJ54" s="2599"/>
      <c r="AK54" s="2709"/>
      <c r="AL54" s="2524"/>
      <c r="AM54" s="253"/>
      <c r="AN54" s="1418"/>
      <c r="AO54" s="1418" t="s">
        <v>494</v>
      </c>
      <c r="AP54" s="352"/>
      <c r="AQ54" s="352"/>
      <c r="AR54" s="352"/>
      <c r="AS54" s="1311"/>
      <c r="AT54" s="1311"/>
      <c r="AU54" s="1414"/>
      <c r="AV54" s="1311"/>
      <c r="AW54" s="1414"/>
      <c r="AX54" s="1311"/>
      <c r="AY54" s="1311"/>
      <c r="AZ54" s="1311"/>
      <c r="BA54" s="1311"/>
      <c r="BB54" s="1315"/>
      <c r="BC54" s="2666"/>
      <c r="BE54" s="436"/>
      <c r="BF54" s="436"/>
      <c r="BG54" s="436"/>
      <c r="BH54" s="436"/>
      <c r="BI54" s="1073">
        <v>11</v>
      </c>
    </row>
    <row r="55" spans="1:61" ht="11.45" customHeight="1">
      <c r="A55" s="1281" t="s">
        <v>252</v>
      </c>
      <c r="B55" s="1281"/>
      <c r="C55" s="1281"/>
      <c r="D55" s="1281"/>
      <c r="E55" s="2643"/>
      <c r="F55" s="2643"/>
      <c r="G55" s="2643"/>
      <c r="H55" s="2643"/>
      <c r="I55" s="2645"/>
      <c r="J55" s="2645"/>
      <c r="K55" s="2644"/>
      <c r="L55" s="1282"/>
      <c r="P55" s="2646"/>
      <c r="Q55" s="2646"/>
      <c r="R55" s="293"/>
      <c r="S55" s="2700"/>
      <c r="T55" s="2720"/>
      <c r="U55" s="237"/>
      <c r="V55" s="1311"/>
      <c r="W55" s="1414"/>
      <c r="X55" s="1311"/>
      <c r="Y55" s="1414"/>
      <c r="Z55" s="1311"/>
      <c r="AA55" s="1311"/>
      <c r="AB55" s="1311"/>
      <c r="AC55" s="1311"/>
      <c r="AD55" s="2587"/>
      <c r="AE55" s="2695"/>
      <c r="AF55" s="2599"/>
      <c r="AG55" s="2718"/>
      <c r="AH55" s="2524"/>
      <c r="AI55" s="231"/>
      <c r="AJ55" s="351"/>
      <c r="AK55" s="250" t="s">
        <v>495</v>
      </c>
      <c r="AL55" s="1311"/>
      <c r="AM55" s="1311"/>
      <c r="AN55" s="1311"/>
      <c r="AO55" s="1311"/>
      <c r="AP55" s="1311"/>
      <c r="AQ55" s="1311"/>
      <c r="AR55" s="1311"/>
      <c r="AS55" s="1311"/>
      <c r="AT55" s="1311"/>
      <c r="AU55" s="1414"/>
      <c r="AV55" s="1311"/>
      <c r="AW55" s="1414"/>
      <c r="AX55" s="1311"/>
      <c r="AY55" s="1311"/>
      <c r="AZ55" s="1311"/>
      <c r="BA55" s="1311"/>
      <c r="BB55" s="1315"/>
      <c r="BC55" s="2666"/>
      <c r="BE55" s="436"/>
      <c r="BF55" s="436"/>
      <c r="BG55" s="436"/>
      <c r="BH55" s="436"/>
      <c r="BI55" s="1073">
        <v>11</v>
      </c>
    </row>
    <row r="56" spans="1:61" ht="11.45" customHeight="1">
      <c r="A56" s="1281" t="s">
        <v>252</v>
      </c>
      <c r="B56" s="1281" t="s">
        <v>253</v>
      </c>
      <c r="C56" s="1281" t="s">
        <v>254</v>
      </c>
      <c r="D56" s="1281" t="s">
        <v>535</v>
      </c>
      <c r="E56" s="2643"/>
      <c r="F56" s="2643"/>
      <c r="G56" s="2643"/>
      <c r="H56" s="2643"/>
      <c r="I56" s="2645"/>
      <c r="J56" s="2645"/>
      <c r="K56" s="2644"/>
      <c r="L56" s="1282"/>
      <c r="P56" s="2646"/>
      <c r="Q56" s="2646"/>
      <c r="R56" s="293"/>
      <c r="S56" s="2701"/>
      <c r="T56" s="2721"/>
      <c r="U56" s="237"/>
      <c r="V56" s="1311"/>
      <c r="W56" s="1312" t="str">
        <f>Z52&amp;"-"&amp;AB52</f>
        <v>-</v>
      </c>
      <c r="X56" s="1311"/>
      <c r="Y56" s="1312" t="str">
        <f>AB52&amp;"-"&amp;AD52</f>
        <v>-да</v>
      </c>
      <c r="Z56" s="1311"/>
      <c r="AA56" s="1311"/>
      <c r="AB56" s="1311"/>
      <c r="AC56" s="1311"/>
      <c r="AD56" s="2529"/>
      <c r="AE56" s="249"/>
      <c r="AF56" s="251"/>
      <c r="AG56" s="352" t="s">
        <v>496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666"/>
      <c r="BE56" s="436"/>
      <c r="BF56" s="436" t="str">
        <f t="shared" ref="BF56:BF63" si="4">IF(T56="","",T56)</f>
        <v/>
      </c>
      <c r="BG56" s="436"/>
      <c r="BH56" s="436"/>
      <c r="BI56" s="1073">
        <v>11</v>
      </c>
    </row>
    <row r="57" spans="1:61" ht="11.45" customHeight="1">
      <c r="A57" s="1281" t="s">
        <v>252</v>
      </c>
      <c r="B57" s="1281" t="s">
        <v>253</v>
      </c>
      <c r="C57" s="1281" t="s">
        <v>254</v>
      </c>
      <c r="D57" s="1281" t="s">
        <v>535</v>
      </c>
      <c r="E57" s="2643"/>
      <c r="F57" s="2643"/>
      <c r="G57" s="2643"/>
      <c r="H57" s="2643"/>
      <c r="I57" s="2645"/>
      <c r="J57" s="2644"/>
      <c r="K57" s="1281"/>
      <c r="L57" s="1282"/>
      <c r="P57" s="2646"/>
      <c r="Q57" s="2646"/>
      <c r="R57" s="292"/>
      <c r="S57" s="1196"/>
      <c r="T57" s="224" t="s">
        <v>459</v>
      </c>
      <c r="U57" s="303"/>
      <c r="V57" s="303"/>
      <c r="W57" s="303"/>
      <c r="X57" s="303"/>
      <c r="Y57" s="303"/>
      <c r="Z57" s="303"/>
      <c r="AA57" s="303"/>
      <c r="AB57" s="303"/>
      <c r="AC57" s="261"/>
      <c r="AD57" s="142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667"/>
      <c r="BE57" s="436"/>
      <c r="BF57" s="436" t="str">
        <f t="shared" si="4"/>
        <v>Добавить строку</v>
      </c>
      <c r="BG57" s="436"/>
      <c r="BH57" s="436"/>
      <c r="BI57" s="1073">
        <v>11</v>
      </c>
    </row>
    <row r="58" spans="1:61" s="2407" customFormat="1" ht="0" hidden="1" customHeight="1">
      <c r="A58" s="1261" t="s">
        <v>252</v>
      </c>
      <c r="B58" s="1261" t="s">
        <v>253</v>
      </c>
      <c r="C58" s="1261" t="s">
        <v>254</v>
      </c>
      <c r="D58" s="1261" t="s">
        <v>535</v>
      </c>
      <c r="E58" s="2643"/>
      <c r="F58" s="2643"/>
      <c r="G58" s="2643"/>
      <c r="H58" s="2643"/>
      <c r="I58" s="2644"/>
      <c r="J58" s="1261"/>
      <c r="K58" s="1261"/>
      <c r="L58" s="1264"/>
      <c r="M58" s="446"/>
      <c r="N58" s="446"/>
      <c r="O58" s="446"/>
      <c r="P58" s="2646"/>
      <c r="Q58" s="1399"/>
      <c r="R58" s="292"/>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6"/>
      <c r="BF58" s="436" t="str">
        <f t="shared" si="4"/>
        <v/>
      </c>
      <c r="BG58" s="436"/>
      <c r="BH58" s="436"/>
      <c r="BI58" s="447">
        <v>0</v>
      </c>
    </row>
    <row r="59" spans="1:61" s="2407" customFormat="1" ht="0" hidden="1" customHeight="1">
      <c r="A59" s="1261" t="s">
        <v>252</v>
      </c>
      <c r="B59" s="1261" t="s">
        <v>253</v>
      </c>
      <c r="C59" s="1261" t="s">
        <v>254</v>
      </c>
      <c r="D59" s="1261" t="s">
        <v>535</v>
      </c>
      <c r="E59" s="2643"/>
      <c r="F59" s="2643"/>
      <c r="G59" s="2643"/>
      <c r="H59" s="2642"/>
      <c r="I59" s="1261"/>
      <c r="J59" s="1261"/>
      <c r="K59" s="1261"/>
      <c r="L59" s="1264"/>
      <c r="M59" s="1233"/>
      <c r="N59" s="1233"/>
      <c r="O59" s="454"/>
      <c r="P59" s="316"/>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6"/>
      <c r="BF59" s="436" t="str">
        <f t="shared" si="4"/>
        <v/>
      </c>
      <c r="BG59" s="436"/>
      <c r="BH59" s="436"/>
      <c r="BI59" s="447">
        <v>0</v>
      </c>
    </row>
    <row r="60" spans="1:61" s="2407" customFormat="1" ht="0" hidden="1" customHeight="1">
      <c r="A60" s="1261" t="s">
        <v>252</v>
      </c>
      <c r="B60" s="1261" t="s">
        <v>253</v>
      </c>
      <c r="C60" s="1261" t="s">
        <v>254</v>
      </c>
      <c r="D60" s="1232"/>
      <c r="E60" s="2643"/>
      <c r="F60" s="2643"/>
      <c r="G60" s="264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9"/>
      <c r="BF60" s="719" t="str">
        <f t="shared" si="4"/>
        <v/>
      </c>
      <c r="BG60" s="719"/>
      <c r="BH60" s="719"/>
      <c r="BI60" s="454">
        <v>0</v>
      </c>
    </row>
    <row r="61" spans="1:61" s="2407" customFormat="1" ht="0" hidden="1" customHeight="1">
      <c r="A61" s="1261" t="s">
        <v>252</v>
      </c>
      <c r="B61" s="1261" t="s">
        <v>253</v>
      </c>
      <c r="C61" s="1232"/>
      <c r="D61" s="1232"/>
      <c r="E61" s="2643"/>
      <c r="F61" s="2642"/>
      <c r="G61" s="1232"/>
      <c r="H61" s="1232"/>
      <c r="I61" s="1232"/>
      <c r="J61" s="1232"/>
      <c r="K61" s="1232"/>
      <c r="L61" s="1412"/>
      <c r="M61" s="1239"/>
      <c r="N61" s="1239"/>
      <c r="P61" s="1234"/>
      <c r="Q61" s="1235"/>
      <c r="R61" s="1234"/>
      <c r="S61" s="1240"/>
      <c r="T61" s="1243" t="s">
        <v>406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9"/>
      <c r="BF61" s="719" t="str">
        <f t="shared" si="4"/>
        <v>Добавить централизованную систему для дифференциации</v>
      </c>
      <c r="BG61" s="719"/>
      <c r="BH61" s="719"/>
      <c r="BI61" s="454">
        <v>0</v>
      </c>
    </row>
    <row r="62" spans="1:61" s="2407" customFormat="1" ht="0" hidden="1" customHeight="1">
      <c r="A62" s="1261" t="s">
        <v>252</v>
      </c>
      <c r="B62" s="1261"/>
      <c r="C62" s="1261"/>
      <c r="D62" s="1261"/>
      <c r="E62" s="2642"/>
      <c r="F62" s="1261"/>
      <c r="G62" s="1261"/>
      <c r="H62" s="1261"/>
      <c r="I62" s="1261"/>
      <c r="J62" s="1261"/>
      <c r="K62" s="1261"/>
      <c r="L62" s="1264"/>
      <c r="M62" s="1239"/>
      <c r="N62" s="1239"/>
      <c r="O62" s="454"/>
      <c r="P62" s="316"/>
      <c r="Q62" s="1262"/>
      <c r="R62" s="316"/>
      <c r="S62" s="1240"/>
      <c r="T62" s="1243" t="s">
        <v>407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6"/>
      <c r="BF62" s="436" t="str">
        <f t="shared" si="4"/>
        <v>Добавить территорию для дифференциации</v>
      </c>
      <c r="BG62" s="436"/>
      <c r="BH62" s="436"/>
      <c r="BI62" s="447">
        <v>0</v>
      </c>
    </row>
    <row r="63" spans="1:61" s="240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439</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9"/>
      <c r="BF63" s="719" t="str">
        <f t="shared" si="4"/>
        <v>Добавить наименование тарифа</v>
      </c>
      <c r="BG63" s="719"/>
      <c r="BH63" s="719"/>
      <c r="BI63" s="454">
        <v>0</v>
      </c>
    </row>
    <row r="64" spans="1:61" ht="11.45" customHeight="1">
      <c r="M64" s="1078"/>
      <c r="N64" s="1078"/>
      <c r="O64" s="473"/>
      <c r="P64" s="1078"/>
      <c r="Q64" s="1078"/>
      <c r="R64" s="1073"/>
      <c r="S64" s="1073"/>
      <c r="BD64" s="1073"/>
      <c r="BE64" s="1073"/>
      <c r="BF64" s="1073"/>
      <c r="BG64" s="1073"/>
      <c r="BH64" s="1073"/>
      <c r="BI64" s="1073">
        <v>11</v>
      </c>
    </row>
    <row r="65" spans="1:61" ht="19.899999999999999" customHeight="1">
      <c r="O65" s="473"/>
      <c r="S65" s="1171"/>
      <c r="T65" s="2641"/>
      <c r="U65" s="2641"/>
      <c r="V65" s="2641"/>
      <c r="W65" s="2641"/>
      <c r="X65" s="2641"/>
      <c r="Y65" s="2641"/>
      <c r="Z65" s="2641"/>
      <c r="AA65" s="2641"/>
      <c r="AB65" s="2641"/>
      <c r="AC65" s="2641"/>
      <c r="AD65" s="2641"/>
      <c r="AE65" s="2641"/>
      <c r="AF65" s="2641"/>
      <c r="AG65" s="2641"/>
      <c r="AH65" s="2641"/>
      <c r="AI65" s="2641"/>
      <c r="AJ65" s="2641"/>
      <c r="AK65" s="2641"/>
      <c r="AL65" s="2641"/>
      <c r="AM65" s="2641"/>
      <c r="AN65" s="2641"/>
      <c r="AO65" s="2641"/>
      <c r="AP65" s="2641"/>
      <c r="AQ65" s="2641"/>
      <c r="AR65" s="2641"/>
      <c r="AS65" s="2641"/>
      <c r="AT65" s="2641"/>
      <c r="AU65" s="2641"/>
      <c r="AV65" s="2641"/>
      <c r="AW65" s="2641"/>
      <c r="AX65" s="2641"/>
      <c r="AY65" s="2641"/>
      <c r="AZ65" s="2641"/>
      <c r="BA65" s="2641"/>
      <c r="BB65" s="2641"/>
      <c r="BC65" s="2641"/>
      <c r="BI65" s="1073">
        <v>19</v>
      </c>
    </row>
    <row r="66" spans="1:61" ht="14.65" customHeight="1">
      <c r="O66" s="473"/>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3"/>
      <c r="S67" s="1171"/>
      <c r="T67" s="2641"/>
      <c r="U67" s="2641"/>
      <c r="V67" s="2641"/>
      <c r="W67" s="2641"/>
      <c r="X67" s="2641"/>
      <c r="Y67" s="2641"/>
      <c r="Z67" s="2641"/>
      <c r="AA67" s="2641"/>
      <c r="AB67" s="2641"/>
      <c r="AC67" s="2641"/>
      <c r="AD67" s="2641"/>
      <c r="AE67" s="2641"/>
      <c r="AF67" s="2641"/>
      <c r="AG67" s="2641"/>
      <c r="AH67" s="2641"/>
      <c r="AI67" s="2641"/>
      <c r="AJ67" s="2641"/>
      <c r="AK67" s="2641"/>
      <c r="AL67" s="2641"/>
      <c r="AM67" s="2641"/>
      <c r="AN67" s="2641"/>
      <c r="AO67" s="2641"/>
      <c r="AP67" s="2641"/>
      <c r="AQ67" s="2641"/>
      <c r="AR67" s="2641"/>
      <c r="AS67" s="2641"/>
      <c r="AT67" s="2641"/>
      <c r="AU67" s="2641"/>
      <c r="AV67" s="2641"/>
      <c r="AW67" s="2641"/>
      <c r="AX67" s="2641"/>
      <c r="AY67" s="2641"/>
      <c r="AZ67" s="2641"/>
      <c r="BA67" s="2641"/>
      <c r="BB67" s="2641"/>
      <c r="BC67" s="2641"/>
      <c r="BI67" s="1073">
        <v>19</v>
      </c>
    </row>
    <row r="68" spans="1:61" ht="14.65" customHeight="1">
      <c r="O68" s="473"/>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1">
        <v>3</v>
      </c>
      <c r="S69" s="517">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7">
        <v>10</v>
      </c>
      <c r="BE69" s="447">
        <v>10</v>
      </c>
      <c r="BF69" s="447">
        <v>10</v>
      </c>
      <c r="BG69" s="447">
        <v>10</v>
      </c>
      <c r="BH69" s="447">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440" hidden="1" customWidth="1"/>
    <col min="2" max="2" width="16.85546875" style="2406" hidden="1" customWidth="1"/>
    <col min="3" max="3" width="5.5703125" style="2407" hidden="1" customWidth="1"/>
    <col min="4" max="4" width="3" style="2400" customWidth="1"/>
    <col min="5" max="5" width="7" style="2400" customWidth="1"/>
    <col min="6" max="6" width="54" style="2400" customWidth="1"/>
    <col min="7" max="7" width="10" style="2400" customWidth="1"/>
    <col min="8" max="8" width="40.7109375" style="2400" hidden="1" customWidth="1"/>
    <col min="9" max="9" width="40.7109375" style="2400" customWidth="1"/>
    <col min="10" max="10" width="102" style="2400" customWidth="1"/>
    <col min="11" max="11" width="9" style="2406" customWidth="1"/>
    <col min="12" max="12" width="5" style="2407" customWidth="1"/>
    <col min="13" max="13" width="3" style="2407" customWidth="1"/>
    <col min="14" max="17" width="3" style="2406" customWidth="1"/>
    <col min="18" max="18" width="10" style="2407" customWidth="1"/>
    <col min="19" max="19" width="34" style="2406" customWidth="1"/>
    <col min="20" max="20" width="9" style="2406" customWidth="1"/>
    <col min="21" max="21" width="8" style="2441" customWidth="1"/>
    <col min="22" max="26" width="8" style="2406" customWidth="1"/>
    <col min="27" max="31" width="8" style="2398" customWidth="1"/>
    <col min="32" max="32" width="9.140625" style="2400" hidden="1"/>
  </cols>
  <sheetData>
    <row r="1" spans="1:32" ht="22.5" hidden="1" customHeight="1">
      <c r="AF1" s="1549" t="s">
        <v>14</v>
      </c>
    </row>
    <row r="2" spans="1:32" ht="23.25" hidden="1" customHeight="1">
      <c r="B2" s="2499"/>
      <c r="C2" s="1085" t="s">
        <v>536</v>
      </c>
      <c r="D2" s="1556"/>
      <c r="E2" s="482">
        <f>B2</f>
        <v>0</v>
      </c>
      <c r="F2" s="483"/>
      <c r="G2" s="1564" t="s">
        <v>537</v>
      </c>
      <c r="H2" s="1564" t="s">
        <v>537</v>
      </c>
      <c r="I2" s="1564" t="s">
        <v>537</v>
      </c>
      <c r="J2" s="226" t="s">
        <v>538</v>
      </c>
      <c r="K2" s="479"/>
      <c r="AF2" s="1549">
        <v>0</v>
      </c>
    </row>
    <row r="3" spans="1:32" s="2407" customFormat="1" ht="0.75" hidden="1" customHeight="1">
      <c r="B3" s="2499"/>
      <c r="C3" s="1085"/>
      <c r="D3" s="484"/>
      <c r="E3" s="485"/>
      <c r="F3" s="486" t="s">
        <v>539</v>
      </c>
      <c r="G3" s="487"/>
      <c r="H3" s="487">
        <f>H4*H5+H7</f>
        <v>0</v>
      </c>
      <c r="I3" s="487">
        <f>I4*I5+I6</f>
        <v>0</v>
      </c>
      <c r="J3" s="488"/>
      <c r="AF3" s="1554">
        <v>0</v>
      </c>
    </row>
    <row r="4" spans="1:32" ht="23.25" hidden="1" customHeight="1">
      <c r="B4" s="2499"/>
      <c r="C4" s="1085"/>
      <c r="D4" s="1556"/>
      <c r="E4" s="482" t="str">
        <f>B2&amp;".1"</f>
        <v>.1</v>
      </c>
      <c r="F4" s="489" t="s">
        <v>540</v>
      </c>
      <c r="G4" s="490"/>
      <c r="H4" s="477"/>
      <c r="I4" s="477"/>
      <c r="J4" s="226" t="s">
        <v>541</v>
      </c>
      <c r="K4" s="479"/>
      <c r="AF4" s="1549">
        <v>0</v>
      </c>
    </row>
    <row r="5" spans="1:32" ht="18.75" hidden="1" customHeight="1">
      <c r="B5" s="2499"/>
      <c r="C5" s="1085"/>
      <c r="D5" s="1556"/>
      <c r="E5" s="482" t="str">
        <f>B2&amp;".2"</f>
        <v>.2</v>
      </c>
      <c r="F5" s="489" t="s">
        <v>542</v>
      </c>
      <c r="G5" s="1564" t="s">
        <v>543</v>
      </c>
      <c r="H5" s="477"/>
      <c r="I5" s="477"/>
      <c r="J5" s="226"/>
      <c r="K5" s="479"/>
      <c r="AF5" s="1549">
        <v>0</v>
      </c>
    </row>
    <row r="6" spans="1:32" ht="18.75" hidden="1" customHeight="1">
      <c r="B6" s="2499"/>
      <c r="C6" s="1085"/>
      <c r="D6" s="1556"/>
      <c r="E6" s="482" t="str">
        <f>B2&amp;".3"</f>
        <v>.3</v>
      </c>
      <c r="F6" s="489" t="s">
        <v>544</v>
      </c>
      <c r="G6" s="1564" t="s">
        <v>543</v>
      </c>
      <c r="H6" s="477"/>
      <c r="I6" s="477"/>
      <c r="J6" s="226"/>
      <c r="K6" s="479"/>
      <c r="AF6" s="1549">
        <v>0</v>
      </c>
    </row>
    <row r="7" spans="1:32" ht="18.75" hidden="1" customHeight="1">
      <c r="B7" s="2499"/>
      <c r="C7" s="1085"/>
      <c r="D7" s="1556"/>
      <c r="E7" s="482" t="str">
        <f>B2&amp;".4"</f>
        <v>.4</v>
      </c>
      <c r="F7" s="489" t="s">
        <v>545</v>
      </c>
      <c r="G7" s="1564" t="s">
        <v>537</v>
      </c>
      <c r="H7" s="491"/>
      <c r="I7" s="491"/>
      <c r="J7" s="226"/>
      <c r="K7" s="479"/>
      <c r="AF7" s="1549">
        <v>0</v>
      </c>
    </row>
    <row r="8" spans="1:32" s="2406" customFormat="1" ht="11.25" hidden="1" customHeight="1">
      <c r="A8" s="911"/>
      <c r="C8" s="1554"/>
      <c r="D8" s="473"/>
      <c r="H8" s="1078">
        <v>4</v>
      </c>
      <c r="I8" s="1078">
        <v>4</v>
      </c>
      <c r="L8" s="1554"/>
      <c r="M8" s="1554"/>
      <c r="R8" s="1554"/>
      <c r="AF8" s="1078">
        <v>0</v>
      </c>
    </row>
    <row r="9" spans="1:32" s="2406" customFormat="1" ht="22.5" hidden="1" customHeight="1">
      <c r="A9" s="911"/>
      <c r="C9" s="1554"/>
      <c r="D9" s="474"/>
      <c r="E9" s="1566"/>
      <c r="F9" s="476"/>
      <c r="G9" s="1564" t="s">
        <v>543</v>
      </c>
      <c r="H9" s="477"/>
      <c r="I9" s="477"/>
      <c r="J9" s="478" t="s">
        <v>546</v>
      </c>
      <c r="K9" s="479"/>
      <c r="L9" s="1554"/>
      <c r="M9" s="1554"/>
      <c r="R9" s="1554"/>
      <c r="U9" s="480"/>
      <c r="AA9" s="1550"/>
      <c r="AB9" s="1550"/>
      <c r="AC9" s="1550"/>
      <c r="AD9" s="1550"/>
      <c r="AE9" s="1550"/>
      <c r="AF9" s="1078">
        <v>0</v>
      </c>
    </row>
    <row r="10" spans="1:32" ht="11.25" hidden="1" customHeight="1">
      <c r="AF10" s="1549">
        <v>0</v>
      </c>
    </row>
    <row r="11" spans="1:32" ht="18.75" hidden="1" customHeight="1">
      <c r="D11" s="1556"/>
      <c r="E11" s="482"/>
      <c r="F11" s="476"/>
      <c r="G11" s="1564" t="s">
        <v>547</v>
      </c>
      <c r="H11" s="477"/>
      <c r="I11" s="477"/>
      <c r="J11" s="226" t="s">
        <v>548</v>
      </c>
      <c r="K11" s="479"/>
      <c r="AF11" s="1549">
        <v>0</v>
      </c>
    </row>
    <row r="12" spans="1:32" ht="11.25" hidden="1" customHeight="1">
      <c r="AF12" s="1549">
        <v>0</v>
      </c>
    </row>
    <row r="13" spans="1:32" ht="22.5" hidden="1" customHeight="1">
      <c r="D13" s="1556"/>
      <c r="E13" s="482"/>
      <c r="F13" s="476"/>
      <c r="G13" s="894" t="s">
        <v>549</v>
      </c>
      <c r="H13" s="481"/>
      <c r="I13" s="481"/>
      <c r="J13" s="681" t="s">
        <v>550</v>
      </c>
      <c r="K13" s="479"/>
      <c r="AF13" s="1549">
        <v>0</v>
      </c>
    </row>
    <row r="14" spans="1:32" ht="11.25" hidden="1" customHeight="1">
      <c r="AF14" s="1549">
        <v>0</v>
      </c>
    </row>
    <row r="15" spans="1:32" ht="22.5" hidden="1" customHeight="1">
      <c r="D15" s="1556"/>
      <c r="E15" s="482"/>
      <c r="F15" s="476"/>
      <c r="G15" s="1564" t="s">
        <v>551</v>
      </c>
      <c r="H15" s="481"/>
      <c r="I15" s="481"/>
      <c r="J15" s="226" t="s">
        <v>552</v>
      </c>
      <c r="K15" s="479"/>
      <c r="AF15" s="1549">
        <v>0</v>
      </c>
    </row>
    <row r="16" spans="1:32" ht="11.25" hidden="1" customHeight="1">
      <c r="AF16" s="1549">
        <v>0</v>
      </c>
    </row>
    <row r="17" spans="1:32" ht="22.5" hidden="1" customHeight="1">
      <c r="D17" s="1556"/>
      <c r="E17" s="482"/>
      <c r="F17" s="476"/>
      <c r="G17" s="1564" t="s">
        <v>553</v>
      </c>
      <c r="H17" s="481"/>
      <c r="I17" s="481"/>
      <c r="J17" s="226" t="s">
        <v>554</v>
      </c>
      <c r="K17" s="479"/>
      <c r="AF17" s="1549">
        <v>0</v>
      </c>
    </row>
    <row r="18" spans="1:32" ht="11.25" hidden="1" customHeight="1">
      <c r="AF18" s="1549">
        <v>0</v>
      </c>
    </row>
    <row r="19" spans="1:32" s="2398" customFormat="1" ht="11.25" hidden="1" customHeight="1">
      <c r="A19" s="911"/>
      <c r="B19" s="1078"/>
      <c r="C19" s="1554"/>
      <c r="D19" s="298"/>
      <c r="J19" s="1550">
        <v>4</v>
      </c>
      <c r="K19" s="1078"/>
      <c r="L19" s="1554"/>
      <c r="M19" s="1554"/>
      <c r="N19" s="1078"/>
      <c r="O19" s="1078"/>
      <c r="P19" s="1078"/>
      <c r="Q19" s="1078"/>
      <c r="R19" s="1554"/>
      <c r="S19" s="1078"/>
      <c r="T19" s="1078"/>
      <c r="U19" s="480"/>
      <c r="V19" s="1078"/>
      <c r="W19" s="1078"/>
      <c r="X19" s="1078"/>
      <c r="Y19" s="1078"/>
      <c r="Z19" s="1078"/>
      <c r="AF19" s="1550">
        <v>0</v>
      </c>
    </row>
    <row r="20" spans="1:32" ht="11.45" customHeight="1">
      <c r="AF20" s="1549">
        <v>11</v>
      </c>
    </row>
    <row r="21" spans="1:32" ht="25.15" customHeight="1">
      <c r="E21" s="2623"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623"/>
      <c r="G21" s="2623"/>
      <c r="H21" s="2623"/>
      <c r="I21" s="2623"/>
      <c r="J21" s="492"/>
      <c r="AF21" s="1549">
        <v>24</v>
      </c>
    </row>
    <row r="22" spans="1:32" ht="25.15" customHeight="1">
      <c r="E22" s="2595" t="str">
        <f>IF(org=0,"Не определено",org)</f>
        <v>ПАО "ТГК-1" (филиал "Кольский")</v>
      </c>
      <c r="F22" s="2595"/>
      <c r="G22" s="2595"/>
      <c r="H22" s="2595"/>
      <c r="I22" s="2595"/>
      <c r="AF22" s="1549">
        <v>24</v>
      </c>
    </row>
    <row r="23" spans="1:32" ht="11.45" customHeight="1">
      <c r="E23" s="1054"/>
      <c r="F23" s="1054"/>
      <c r="G23" s="1054"/>
      <c r="H23" s="1054"/>
      <c r="I23" s="1054"/>
      <c r="AF23" s="1549">
        <v>11</v>
      </c>
    </row>
    <row r="24" spans="1:32" s="2407" customFormat="1" ht="1.1499999999999999" customHeight="1">
      <c r="A24" s="1085"/>
      <c r="D24" s="1560"/>
      <c r="H24" s="814"/>
      <c r="I24" s="814" t="s">
        <v>110</v>
      </c>
      <c r="AF24" s="1554">
        <v>1</v>
      </c>
    </row>
    <row r="25" spans="1:32" ht="11.45" customHeight="1">
      <c r="E25" s="647"/>
      <c r="F25" s="2729" t="s">
        <v>98</v>
      </c>
      <c r="G25" s="2730"/>
      <c r="H25" s="1570" t="str">
        <f>IF(H24="","",INDEX(DIFFERENTIATION_UNMERGE_VD,MATCH(H24,DIFFERENTIATION_ID_DIFF,0)))</f>
        <v/>
      </c>
      <c r="I25" s="1570">
        <f>IF(I24="","",INDEX(DIFFERENTIATION_UNMERGE_VD,MATCH(I24,DIFFERENTIATION_ID_DIFF,0)))</f>
        <v>0</v>
      </c>
      <c r="J25" s="2514"/>
      <c r="AF25" s="1549">
        <v>11</v>
      </c>
    </row>
    <row r="26" spans="1:32" ht="11.45" customHeight="1">
      <c r="E26" s="647"/>
      <c r="F26" s="2729" t="s">
        <v>555</v>
      </c>
      <c r="G26" s="2730"/>
      <c r="H26" s="1570" t="str">
        <f>IF(H24="","",INDEX(DIFFERENTIATION_UNMERGE_AREA,MATCH(H24,DIFFERENTIATION_ID_DIFF,0)))</f>
        <v/>
      </c>
      <c r="I26" s="1570" t="str">
        <f>IF(I24="","",INDEX(DIFFERENTIATION_UNMERGE_AREA,MATCH(I24,DIFFERENTIATION_ID_DIFF,0)))</f>
        <v/>
      </c>
      <c r="J26" s="2514"/>
      <c r="AF26" s="1549">
        <v>11</v>
      </c>
    </row>
    <row r="27" spans="1:32" ht="11.45" customHeight="1">
      <c r="E27" s="647"/>
      <c r="F27" s="2729" t="s">
        <v>556</v>
      </c>
      <c r="G27" s="2730"/>
      <c r="H27" s="1570" t="str">
        <f>IF(H24="","",INDEX(DIFFERENTIATION_UNMERGE_SYSTEM,MATCH(H24,DIFFERENTIATION_ID_DIFF,0)))</f>
        <v/>
      </c>
      <c r="I27" s="1570" t="str">
        <f>IF(I24="","",INDEX(DIFFERENTIATION_UNMERGE_SYSTEM,MATCH(I24,DIFFERENTIATION_ID_DIFF,0)))</f>
        <v>без дифференциации</v>
      </c>
      <c r="J27" s="2514"/>
      <c r="AF27" s="1549">
        <v>11</v>
      </c>
    </row>
    <row r="28" spans="1:32" ht="11.45" customHeight="1">
      <c r="E28" s="2731" t="s">
        <v>291</v>
      </c>
      <c r="F28" s="2732"/>
      <c r="G28" s="2732"/>
      <c r="H28" s="1563"/>
      <c r="I28" s="1563"/>
      <c r="J28" s="2514"/>
      <c r="AF28" s="1549">
        <v>11</v>
      </c>
    </row>
    <row r="29" spans="1:32" ht="24" customHeight="1">
      <c r="E29" s="1564" t="s">
        <v>84</v>
      </c>
      <c r="F29" s="1571" t="s">
        <v>293</v>
      </c>
      <c r="G29" s="1571" t="s">
        <v>557</v>
      </c>
      <c r="H29" s="1571" t="s">
        <v>294</v>
      </c>
      <c r="I29" s="1571" t="s">
        <v>294</v>
      </c>
      <c r="J29" s="2514"/>
      <c r="AF29" s="1549">
        <v>23</v>
      </c>
    </row>
    <row r="30" spans="1:32" ht="19.899999999999999" customHeight="1">
      <c r="D30" s="1556"/>
      <c r="E30" s="482">
        <f>FHD_NUM_P_1</f>
        <v>1</v>
      </c>
      <c r="F30" s="1795" t="str">
        <f>FHD_P_1</f>
        <v>Выручка от регулируемого вида деятельности с распределением по видам деятельности</v>
      </c>
      <c r="G30" s="1793" t="s">
        <v>543</v>
      </c>
      <c r="H30" s="493"/>
      <c r="I30" s="493"/>
      <c r="J30" s="226" t="str">
        <f>FHD_NOTE_P_1</f>
        <v>Указывается выручка от регулируемого вида деятельности с распределением по видам деятельности.</v>
      </c>
      <c r="K30" s="479"/>
      <c r="AF30" s="1549">
        <v>19</v>
      </c>
    </row>
    <row r="31" spans="1:32" ht="11.45" customHeight="1">
      <c r="D31" s="1556"/>
      <c r="E31" s="482">
        <f>FHD_NUM_P_2</f>
        <v>2</v>
      </c>
      <c r="F31" s="1795" t="str">
        <f>FHD_P_2</f>
        <v>Себестоимость производимых товаров (оказываемых услуг) по регулируемому виду деятельности, включая:</v>
      </c>
      <c r="G31" s="1793" t="s">
        <v>543</v>
      </c>
      <c r="H31" s="494">
        <f>SUMIF($K33:$K71,$K31,H33:H71)</f>
        <v>0</v>
      </c>
      <c r="I31" s="494">
        <f>SUMIF($K33:$K71,$K31,I33:I71)</f>
        <v>0</v>
      </c>
      <c r="J31" s="226" t="str">
        <f>FHD_NOTE_P_2</f>
        <v>Указывается суммарная себестоимость производимых товаров.</v>
      </c>
      <c r="K31" s="1554" t="s">
        <v>558</v>
      </c>
      <c r="AF31" s="1549">
        <v>11</v>
      </c>
    </row>
    <row r="32" spans="1:32" ht="11.45" customHeight="1">
      <c r="D32" s="1556"/>
      <c r="E32" s="482" t="str">
        <f>FHD_NUM_P_3</f>
        <v>2.1</v>
      </c>
      <c r="F32" s="1442" t="str">
        <f>FHD_P_3</f>
        <v>Расходы на приобретаемую тепловую энергию (мощность), теплоноситель</v>
      </c>
      <c r="G32" s="1793" t="s">
        <v>543</v>
      </c>
      <c r="H32" s="493"/>
      <c r="I32" s="493"/>
      <c r="J32" s="226" t="str">
        <f>FHD_NOTE_P_3</f>
        <v/>
      </c>
      <c r="K32" s="1554" t="str">
        <f t="shared" ref="K32:K70" si="0">IF((LEN(E32)-LEN(SUBSTITUTE(E32,".","")))/LEN(".")=1,"p","")</f>
        <v>p</v>
      </c>
      <c r="AF32" s="1549">
        <v>11</v>
      </c>
    </row>
    <row r="33" spans="1:32" ht="11.25" customHeight="1">
      <c r="A33" s="2727" t="s">
        <v>559</v>
      </c>
      <c r="D33" s="1556"/>
      <c r="E33" s="482"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543</v>
      </c>
      <c r="H33" s="494">
        <f>SUMIF($F34:$F40,$F3,H34:H40)</f>
        <v>0</v>
      </c>
      <c r="I33" s="494">
        <f>SUMIF($F34:$F40,$F3,I34:I40)</f>
        <v>0</v>
      </c>
      <c r="J33" s="226" t="str">
        <f>FHD_NOTE_P_4</f>
        <v>Указываются суммарные расходы на приобретение топлива всех видов.</v>
      </c>
      <c r="K33" s="1554" t="str">
        <f t="shared" si="0"/>
        <v>p</v>
      </c>
      <c r="AF33" s="1549">
        <v>0</v>
      </c>
    </row>
    <row r="34" spans="1:32" s="2431" customFormat="1" ht="0.75" customHeight="1">
      <c r="A34" s="2727"/>
      <c r="B34" s="2728" t="str">
        <f>E33&amp;".0"</f>
        <v>2.2.0</v>
      </c>
      <c r="C34" s="1085"/>
      <c r="D34" s="496"/>
      <c r="E34" s="497"/>
      <c r="F34" s="498"/>
      <c r="G34" s="499"/>
      <c r="H34" s="433"/>
      <c r="I34" s="433"/>
      <c r="J34" s="500"/>
      <c r="K34" s="1554" t="str">
        <f t="shared" si="0"/>
        <v/>
      </c>
      <c r="L34" s="1554"/>
      <c r="M34" s="1554"/>
      <c r="N34" s="1554"/>
      <c r="O34" s="1554"/>
      <c r="P34" s="1554"/>
      <c r="Q34" s="1554"/>
      <c r="R34" s="1554"/>
      <c r="S34" s="1554"/>
      <c r="T34" s="1554"/>
      <c r="U34" s="501"/>
      <c r="V34" s="1554"/>
      <c r="W34" s="1554"/>
      <c r="X34" s="1554"/>
      <c r="Y34" s="1554"/>
      <c r="Z34" s="1554"/>
      <c r="AA34" s="502"/>
      <c r="AB34" s="502"/>
      <c r="AC34" s="502"/>
      <c r="AD34" s="502"/>
      <c r="AE34" s="502"/>
      <c r="AF34" s="1559">
        <v>0</v>
      </c>
    </row>
    <row r="35" spans="1:32" s="2431" customFormat="1" ht="0.75" customHeight="1">
      <c r="A35" s="2727"/>
      <c r="B35" s="2728"/>
      <c r="C35" s="1085"/>
      <c r="D35" s="496"/>
      <c r="E35" s="503"/>
      <c r="F35" s="504"/>
      <c r="G35" s="499"/>
      <c r="H35" s="505"/>
      <c r="I35" s="505"/>
      <c r="J35" s="500"/>
      <c r="K35" s="1554" t="str">
        <f t="shared" si="0"/>
        <v/>
      </c>
      <c r="L35" s="1554"/>
      <c r="M35" s="1554"/>
      <c r="N35" s="1554"/>
      <c r="O35" s="1554"/>
      <c r="P35" s="1554"/>
      <c r="Q35" s="1554"/>
      <c r="R35" s="1554"/>
      <c r="S35" s="1554"/>
      <c r="T35" s="1554"/>
      <c r="U35" s="501"/>
      <c r="V35" s="1554"/>
      <c r="W35" s="1554"/>
      <c r="X35" s="1554"/>
      <c r="Y35" s="1554"/>
      <c r="Z35" s="1554"/>
      <c r="AA35" s="502"/>
      <c r="AB35" s="502"/>
      <c r="AC35" s="502"/>
      <c r="AD35" s="502"/>
      <c r="AE35" s="502"/>
      <c r="AF35" s="1559">
        <v>0</v>
      </c>
    </row>
    <row r="36" spans="1:32" s="2431" customFormat="1" ht="0.75" customHeight="1">
      <c r="A36" s="2727"/>
      <c r="B36" s="2728"/>
      <c r="C36" s="1085"/>
      <c r="D36" s="496"/>
      <c r="E36" s="503"/>
      <c r="F36" s="504"/>
      <c r="G36" s="499"/>
      <c r="H36" s="505"/>
      <c r="I36" s="505"/>
      <c r="J36" s="500"/>
      <c r="K36" s="1554" t="str">
        <f t="shared" si="0"/>
        <v/>
      </c>
      <c r="L36" s="1554"/>
      <c r="M36" s="1554"/>
      <c r="N36" s="1554"/>
      <c r="O36" s="1554"/>
      <c r="P36" s="1554"/>
      <c r="Q36" s="1554"/>
      <c r="R36" s="1554"/>
      <c r="S36" s="1554"/>
      <c r="T36" s="1554"/>
      <c r="U36" s="501"/>
      <c r="V36" s="1554"/>
      <c r="W36" s="1554"/>
      <c r="X36" s="1554"/>
      <c r="Y36" s="1554"/>
      <c r="Z36" s="1554"/>
      <c r="AA36" s="502"/>
      <c r="AB36" s="502"/>
      <c r="AC36" s="502"/>
      <c r="AD36" s="502"/>
      <c r="AE36" s="502"/>
      <c r="AF36" s="1559">
        <v>0</v>
      </c>
    </row>
    <row r="37" spans="1:32" s="2431" customFormat="1" ht="0.75" customHeight="1">
      <c r="A37" s="2727"/>
      <c r="B37" s="2728"/>
      <c r="C37" s="1085"/>
      <c r="D37" s="496"/>
      <c r="E37" s="503"/>
      <c r="F37" s="504"/>
      <c r="G37" s="499"/>
      <c r="H37" s="505"/>
      <c r="I37" s="505"/>
      <c r="J37" s="500"/>
      <c r="K37" s="1554" t="str">
        <f t="shared" si="0"/>
        <v/>
      </c>
      <c r="L37" s="1554"/>
      <c r="M37" s="1554"/>
      <c r="N37" s="1554"/>
      <c r="O37" s="1554"/>
      <c r="P37" s="1554"/>
      <c r="Q37" s="1554"/>
      <c r="R37" s="1554"/>
      <c r="S37" s="1554"/>
      <c r="T37" s="1554"/>
      <c r="U37" s="501"/>
      <c r="V37" s="1554"/>
      <c r="W37" s="1554"/>
      <c r="X37" s="1554"/>
      <c r="Y37" s="1554"/>
      <c r="Z37" s="1554"/>
      <c r="AA37" s="502"/>
      <c r="AB37" s="502"/>
      <c r="AC37" s="502"/>
      <c r="AD37" s="502"/>
      <c r="AE37" s="502"/>
      <c r="AF37" s="1559">
        <v>0</v>
      </c>
    </row>
    <row r="38" spans="1:32" s="2431" customFormat="1" ht="0.75" customHeight="1">
      <c r="A38" s="2727"/>
      <c r="B38" s="2728"/>
      <c r="C38" s="1085"/>
      <c r="D38" s="496"/>
      <c r="E38" s="503"/>
      <c r="F38" s="504"/>
      <c r="G38" s="499"/>
      <c r="H38" s="505"/>
      <c r="I38" s="505"/>
      <c r="J38" s="500"/>
      <c r="K38" s="1554" t="str">
        <f t="shared" si="0"/>
        <v/>
      </c>
      <c r="L38" s="1554"/>
      <c r="M38" s="1554"/>
      <c r="N38" s="1554"/>
      <c r="O38" s="1554"/>
      <c r="P38" s="1554"/>
      <c r="Q38" s="1554"/>
      <c r="R38" s="1554"/>
      <c r="S38" s="1554"/>
      <c r="T38" s="1554"/>
      <c r="U38" s="501"/>
      <c r="V38" s="1554"/>
      <c r="W38" s="1554"/>
      <c r="X38" s="1554"/>
      <c r="Y38" s="1554"/>
      <c r="Z38" s="1554"/>
      <c r="AA38" s="502"/>
      <c r="AB38" s="502"/>
      <c r="AC38" s="502"/>
      <c r="AD38" s="502"/>
      <c r="AE38" s="502"/>
      <c r="AF38" s="1559">
        <v>0</v>
      </c>
    </row>
    <row r="39" spans="1:32" s="2431" customFormat="1" ht="0.75" customHeight="1">
      <c r="A39" s="2727"/>
      <c r="B39" s="2728"/>
      <c r="C39" s="1085"/>
      <c r="D39" s="496"/>
      <c r="E39" s="503"/>
      <c r="F39" s="504"/>
      <c r="G39" s="499"/>
      <c r="H39" s="433"/>
      <c r="I39" s="433"/>
      <c r="J39" s="500"/>
      <c r="K39" s="1554" t="str">
        <f t="shared" si="0"/>
        <v/>
      </c>
      <c r="L39" s="1554"/>
      <c r="M39" s="1554"/>
      <c r="N39" s="1554"/>
      <c r="O39" s="1554"/>
      <c r="P39" s="1554"/>
      <c r="Q39" s="1554"/>
      <c r="R39" s="1554"/>
      <c r="S39" s="1554"/>
      <c r="T39" s="1554"/>
      <c r="U39" s="501"/>
      <c r="V39" s="1554"/>
      <c r="W39" s="1554"/>
      <c r="X39" s="1554"/>
      <c r="Y39" s="1554"/>
      <c r="Z39" s="1554"/>
      <c r="AA39" s="502"/>
      <c r="AB39" s="502"/>
      <c r="AC39" s="502"/>
      <c r="AD39" s="502"/>
      <c r="AE39" s="502"/>
      <c r="AF39" s="1559">
        <v>0</v>
      </c>
    </row>
    <row r="40" spans="1:32" s="2406" customFormat="1" ht="15" customHeight="1">
      <c r="A40" s="2727"/>
      <c r="C40" s="1554"/>
      <c r="D40" s="1551"/>
      <c r="E40" s="506"/>
      <c r="F40" s="507" t="s">
        <v>560</v>
      </c>
      <c r="G40" s="508"/>
      <c r="H40" s="509"/>
      <c r="I40" s="509"/>
      <c r="J40" s="238"/>
      <c r="K40" s="1554" t="str">
        <f t="shared" si="0"/>
        <v/>
      </c>
      <c r="L40" s="1554"/>
      <c r="M40" s="1554"/>
      <c r="R40" s="1554"/>
      <c r="U40" s="480"/>
      <c r="AA40" s="1550"/>
      <c r="AB40" s="1550"/>
      <c r="AC40" s="1550"/>
      <c r="AD40" s="1550"/>
      <c r="AE40" s="1550"/>
      <c r="AF40" s="1078">
        <v>0</v>
      </c>
    </row>
    <row r="41" spans="1:32" ht="11.25" hidden="1" customHeight="1">
      <c r="A41" s="2727" t="s">
        <v>561</v>
      </c>
      <c r="D41" s="1556"/>
      <c r="E41" s="482" t="str">
        <f>FHD_NUM_P_5</f>
        <v/>
      </c>
      <c r="F41" s="1442" t="str">
        <f>FHD_P_5</f>
        <v/>
      </c>
      <c r="G41" s="1793" t="s">
        <v>543</v>
      </c>
      <c r="H41" s="493"/>
      <c r="I41" s="493"/>
      <c r="J41" s="226" t="str">
        <f>FHD_NOTE_P_5</f>
        <v/>
      </c>
      <c r="K41" s="1554" t="str">
        <f t="shared" si="0"/>
        <v/>
      </c>
      <c r="AF41" s="1549">
        <v>0</v>
      </c>
    </row>
    <row r="42" spans="1:32" ht="11.25" hidden="1" customHeight="1">
      <c r="A42" s="2727"/>
      <c r="D42" s="1556"/>
      <c r="E42" s="482" t="str">
        <f>FHD_NUM_P_6</f>
        <v/>
      </c>
      <c r="F42" s="1442" t="str">
        <f>FHD_P_6</f>
        <v/>
      </c>
      <c r="G42" s="1793" t="s">
        <v>543</v>
      </c>
      <c r="H42" s="493"/>
      <c r="I42" s="493"/>
      <c r="J42" s="226" t="str">
        <f>FHD_NOTE_P_6</f>
        <v/>
      </c>
      <c r="K42" s="1554" t="str">
        <f t="shared" si="0"/>
        <v/>
      </c>
      <c r="AF42" s="1549">
        <v>0</v>
      </c>
    </row>
    <row r="43" spans="1:32" ht="11.25" hidden="1" customHeight="1">
      <c r="A43" s="2727"/>
      <c r="D43" s="1556"/>
      <c r="E43" s="482" t="str">
        <f>FHD_NUM_P_7</f>
        <v/>
      </c>
      <c r="F43" s="1442" t="str">
        <f>FHD_P_7</f>
        <v/>
      </c>
      <c r="G43" s="1793" t="s">
        <v>543</v>
      </c>
      <c r="H43" s="493"/>
      <c r="I43" s="493"/>
      <c r="J43" s="226" t="str">
        <f>FHD_NOTE_P_7</f>
        <v/>
      </c>
      <c r="K43" s="1554" t="str">
        <f t="shared" si="0"/>
        <v/>
      </c>
      <c r="AF43" s="1549">
        <v>0</v>
      </c>
    </row>
    <row r="44" spans="1:32" ht="11.45" customHeight="1">
      <c r="D44" s="1556"/>
      <c r="E44" s="482" t="str">
        <f>FHD_NUM_P_8</f>
        <v>2.3</v>
      </c>
      <c r="F44" s="1442" t="str">
        <f>FHD_P_8</f>
        <v>Расходы на приобретаемую электрическую энергию (мощность), используемую в технологическом процессе</v>
      </c>
      <c r="G44" s="1793" t="s">
        <v>543</v>
      </c>
      <c r="H44" s="493"/>
      <c r="I44" s="493"/>
      <c r="J44" s="226" t="str">
        <f>FHD_NOTE_P_8</f>
        <v/>
      </c>
      <c r="K44" s="1554" t="str">
        <f t="shared" si="0"/>
        <v>p</v>
      </c>
      <c r="AF44" s="1549">
        <v>11</v>
      </c>
    </row>
    <row r="45" spans="1:32" ht="11.45" customHeight="1">
      <c r="D45" s="1556"/>
      <c r="E45" s="482" t="str">
        <f>FHD_NUM_P_9</f>
        <v>2.3.1</v>
      </c>
      <c r="F45" s="1568" t="str">
        <f>FHD_P_9</f>
        <v>Средневзвешенная стоимость 1 кВт.ч</v>
      </c>
      <c r="G45" s="1793" t="s">
        <v>562</v>
      </c>
      <c r="H45" s="493"/>
      <c r="I45" s="493"/>
      <c r="J45" s="226" t="str">
        <f>FHD_NOTE_P_9</f>
        <v/>
      </c>
      <c r="K45" s="1554" t="str">
        <f t="shared" si="0"/>
        <v/>
      </c>
      <c r="AF45" s="1549">
        <v>11</v>
      </c>
    </row>
    <row r="46" spans="1:32" s="2406" customFormat="1" ht="11.45" customHeight="1">
      <c r="A46" s="911"/>
      <c r="C46" s="1554"/>
      <c r="D46" s="510"/>
      <c r="E46" s="482" t="str">
        <f>FHD_NUM_P_10</f>
        <v>2.3.2</v>
      </c>
      <c r="F46" s="1568" t="str">
        <f>FHD_P_10</f>
        <v>Объём приобретения электрической энергии</v>
      </c>
      <c r="G46" s="1793" t="s">
        <v>563</v>
      </c>
      <c r="H46" s="493"/>
      <c r="I46" s="493"/>
      <c r="J46" s="226" t="str">
        <f>FHD_NOTE_P_10</f>
        <v/>
      </c>
      <c r="K46" s="1554" t="str">
        <f t="shared" si="0"/>
        <v/>
      </c>
      <c r="L46" s="1554"/>
      <c r="M46" s="1554"/>
      <c r="R46" s="1554"/>
      <c r="U46" s="480"/>
      <c r="AA46" s="1550"/>
      <c r="AB46" s="1550"/>
      <c r="AC46" s="1550"/>
      <c r="AD46" s="1550"/>
      <c r="AE46" s="1550"/>
      <c r="AF46" s="1078">
        <v>11</v>
      </c>
    </row>
    <row r="47" spans="1:32" s="2406" customFormat="1" ht="11.25" customHeight="1">
      <c r="A47" s="913" t="s">
        <v>564</v>
      </c>
      <c r="C47" s="1554"/>
      <c r="D47" s="511"/>
      <c r="E47" s="482" t="str">
        <f>FHD_NUM_P_11</f>
        <v>2.4</v>
      </c>
      <c r="F47" s="1442" t="str">
        <f>FHD_P_11</f>
        <v>Расходы на приобретение холодной воды, используемой в технологическом процессе</v>
      </c>
      <c r="G47" s="1793" t="s">
        <v>543</v>
      </c>
      <c r="H47" s="493"/>
      <c r="I47" s="493"/>
      <c r="J47" s="226" t="str">
        <f>FHD_NOTE_P_11</f>
        <v/>
      </c>
      <c r="K47" s="1554" t="str">
        <f t="shared" si="0"/>
        <v>p</v>
      </c>
      <c r="L47" s="1554"/>
      <c r="M47" s="1554"/>
      <c r="R47" s="1554"/>
      <c r="U47" s="480"/>
      <c r="AA47" s="1550"/>
      <c r="AB47" s="1550"/>
      <c r="AC47" s="1550"/>
      <c r="AD47" s="1550"/>
      <c r="AE47" s="1550"/>
      <c r="AF47" s="1078">
        <v>0</v>
      </c>
    </row>
    <row r="48" spans="1:32" s="2406" customFormat="1" ht="18.75" customHeight="1">
      <c r="A48" s="913" t="s">
        <v>565</v>
      </c>
      <c r="C48" s="1554"/>
      <c r="D48" s="1556"/>
      <c r="E48" s="482" t="str">
        <f>FHD_NUM_P_12</f>
        <v>2.5</v>
      </c>
      <c r="F48" s="1442" t="str">
        <f>FHD_P_12</f>
        <v>Расходы на  хим. реагенты, используемые в технологическом процессе</v>
      </c>
      <c r="G48" s="1793" t="s">
        <v>543</v>
      </c>
      <c r="H48" s="513"/>
      <c r="I48" s="513"/>
      <c r="J48" s="226" t="str">
        <f>FHD_NOTE_P_12</f>
        <v/>
      </c>
      <c r="K48" s="1554" t="str">
        <f t="shared" si="0"/>
        <v>p</v>
      </c>
      <c r="L48" s="1554"/>
      <c r="M48" s="1554"/>
      <c r="R48" s="1554"/>
      <c r="U48" s="480"/>
      <c r="AA48" s="1550"/>
      <c r="AB48" s="1550"/>
      <c r="AC48" s="1550"/>
      <c r="AD48" s="1550"/>
      <c r="AE48" s="1550"/>
      <c r="AF48" s="1078">
        <v>18</v>
      </c>
    </row>
    <row r="49" spans="1:32" s="2439" customFormat="1" ht="11.45" customHeight="1">
      <c r="A49" s="912"/>
      <c r="C49" s="666"/>
      <c r="D49" s="609"/>
      <c r="E49" s="482"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543</v>
      </c>
      <c r="H49" s="493"/>
      <c r="I49" s="493"/>
      <c r="J49" s="226" t="str">
        <f>FHD_NOTE_P_13</f>
        <v/>
      </c>
      <c r="K49" s="1554" t="str">
        <f t="shared" si="0"/>
        <v>p</v>
      </c>
      <c r="L49" s="666"/>
      <c r="M49" s="666"/>
      <c r="R49" s="666"/>
      <c r="U49" s="667"/>
      <c r="AA49" s="668"/>
      <c r="AB49" s="668"/>
      <c r="AC49" s="668"/>
      <c r="AD49" s="668"/>
      <c r="AE49" s="668"/>
      <c r="AF49" s="665">
        <v>11</v>
      </c>
    </row>
    <row r="50" spans="1:32" s="2439" customFormat="1" ht="11.45" customHeight="1">
      <c r="A50" s="912"/>
      <c r="C50" s="666"/>
      <c r="D50" s="609"/>
      <c r="E50" s="482" t="str">
        <f>FHD_NUM_P_14</f>
        <v>2.6.1</v>
      </c>
      <c r="F50" s="1568" t="str">
        <f>FHD_P_14</f>
        <v>Расходы на оплату труда основного производственного персонала</v>
      </c>
      <c r="G50" s="1793" t="s">
        <v>543</v>
      </c>
      <c r="H50" s="493"/>
      <c r="I50" s="493"/>
      <c r="J50" s="226" t="str">
        <f>FHD_NOTE_P_14</f>
        <v/>
      </c>
      <c r="K50" s="1554" t="str">
        <f t="shared" si="0"/>
        <v/>
      </c>
      <c r="L50" s="666"/>
      <c r="M50" s="666"/>
      <c r="R50" s="666"/>
      <c r="U50" s="667"/>
      <c r="AA50" s="668"/>
      <c r="AB50" s="668"/>
      <c r="AC50" s="668"/>
      <c r="AD50" s="668"/>
      <c r="AE50" s="668"/>
      <c r="AF50" s="665">
        <v>11</v>
      </c>
    </row>
    <row r="51" spans="1:32" s="2439" customFormat="1" ht="11.45" customHeight="1">
      <c r="A51" s="912"/>
      <c r="C51" s="666"/>
      <c r="D51" s="609"/>
      <c r="E51" s="482" t="str">
        <f>FHD_NUM_P_15</f>
        <v>2.6.2</v>
      </c>
      <c r="F51" s="1568"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793" t="s">
        <v>543</v>
      </c>
      <c r="H51" s="493"/>
      <c r="I51" s="493"/>
      <c r="J51" s="226" t="str">
        <f>FHD_NOTE_P_15</f>
        <v/>
      </c>
      <c r="K51" s="1554" t="str">
        <f t="shared" si="0"/>
        <v/>
      </c>
      <c r="L51" s="666"/>
      <c r="M51" s="666"/>
      <c r="R51" s="666"/>
      <c r="U51" s="667"/>
      <c r="AA51" s="668"/>
      <c r="AB51" s="668"/>
      <c r="AC51" s="668"/>
      <c r="AD51" s="668"/>
      <c r="AE51" s="668"/>
      <c r="AF51" s="665">
        <v>11</v>
      </c>
    </row>
    <row r="52" spans="1:32" s="2406" customFormat="1" ht="11.45" customHeight="1">
      <c r="A52" s="911"/>
      <c r="C52" s="1554"/>
      <c r="D52" s="1556"/>
      <c r="E52" s="482"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3" t="s">
        <v>543</v>
      </c>
      <c r="H52" s="493"/>
      <c r="I52" s="493"/>
      <c r="J52" s="226" t="str">
        <f>FHD_NOTE_P_16</f>
        <v/>
      </c>
      <c r="K52" s="1554" t="str">
        <f t="shared" si="0"/>
        <v>p</v>
      </c>
      <c r="L52" s="1554"/>
      <c r="M52" s="1560"/>
      <c r="N52" s="473"/>
      <c r="O52" s="473"/>
      <c r="R52" s="1554"/>
      <c r="U52" s="480"/>
      <c r="AA52" s="1550"/>
      <c r="AB52" s="1550"/>
      <c r="AC52" s="1550"/>
      <c r="AD52" s="1550"/>
      <c r="AE52" s="1550"/>
      <c r="AF52" s="1078">
        <v>11</v>
      </c>
    </row>
    <row r="53" spans="1:32" s="2406" customFormat="1" ht="11.45" customHeight="1">
      <c r="A53" s="911"/>
      <c r="C53" s="1554"/>
      <c r="D53" s="1556"/>
      <c r="E53" s="482" t="str">
        <f>FHD_NUM_P_17</f>
        <v>2.7.1</v>
      </c>
      <c r="F53" s="1568" t="str">
        <f>FHD_P_17</f>
        <v>Расходы на оплату труда административно-управленческого персонала</v>
      </c>
      <c r="G53" s="1793" t="s">
        <v>543</v>
      </c>
      <c r="H53" s="493"/>
      <c r="I53" s="493"/>
      <c r="J53" s="226" t="str">
        <f>FHD_NOTE_P_17</f>
        <v/>
      </c>
      <c r="K53" s="1554" t="str">
        <f t="shared" si="0"/>
        <v/>
      </c>
      <c r="L53" s="1554"/>
      <c r="M53" s="1560"/>
      <c r="N53" s="473"/>
      <c r="O53" s="473"/>
      <c r="R53" s="1554"/>
      <c r="U53" s="480"/>
      <c r="AA53" s="1550"/>
      <c r="AB53" s="1550"/>
      <c r="AC53" s="1550"/>
      <c r="AD53" s="1550"/>
      <c r="AE53" s="1550"/>
      <c r="AF53" s="1078">
        <v>11</v>
      </c>
    </row>
    <row r="54" spans="1:32" s="2406" customFormat="1" ht="11.45" customHeight="1">
      <c r="A54" s="911"/>
      <c r="C54" s="1554"/>
      <c r="D54" s="1556"/>
      <c r="E54" s="482" t="str">
        <f>FHD_NUM_P_18</f>
        <v>2.7.2</v>
      </c>
      <c r="F54" s="1568"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793" t="s">
        <v>543</v>
      </c>
      <c r="H54" s="493"/>
      <c r="I54" s="493"/>
      <c r="J54" s="226" t="str">
        <f>FHD_NOTE_P_18</f>
        <v/>
      </c>
      <c r="K54" s="1554" t="str">
        <f t="shared" si="0"/>
        <v/>
      </c>
      <c r="L54" s="1554"/>
      <c r="M54" s="1560"/>
      <c r="N54" s="473"/>
      <c r="O54" s="473"/>
      <c r="R54" s="1554"/>
      <c r="U54" s="480"/>
      <c r="AA54" s="1550"/>
      <c r="AB54" s="1550"/>
      <c r="AC54" s="1550"/>
      <c r="AD54" s="1550"/>
      <c r="AE54" s="1550"/>
      <c r="AF54" s="1078">
        <v>11</v>
      </c>
    </row>
    <row r="55" spans="1:32" s="2406" customFormat="1" ht="11.45" customHeight="1">
      <c r="A55" s="911"/>
      <c r="C55" s="1554"/>
      <c r="D55" s="511"/>
      <c r="E55" s="482" t="str">
        <f>FHD_NUM_P_19</f>
        <v>2.8</v>
      </c>
      <c r="F55" s="1442" t="str">
        <f>FHD_P_19</f>
        <v>Расходы на амортизацию основных средств и нематериальных активов</v>
      </c>
      <c r="G55" s="1793" t="s">
        <v>543</v>
      </c>
      <c r="H55" s="493"/>
      <c r="I55" s="493"/>
      <c r="J55" s="226" t="str">
        <f>FHD_NOTE_P_19</f>
        <v/>
      </c>
      <c r="K55" s="1554" t="str">
        <f t="shared" si="0"/>
        <v>p</v>
      </c>
      <c r="L55" s="1554"/>
      <c r="M55" s="1554"/>
      <c r="R55" s="1554"/>
      <c r="U55" s="480"/>
      <c r="AA55" s="1550"/>
      <c r="AB55" s="1550"/>
      <c r="AC55" s="1550"/>
      <c r="AD55" s="1550"/>
      <c r="AE55" s="1550"/>
      <c r="AF55" s="1078">
        <v>11</v>
      </c>
    </row>
    <row r="56" spans="1:32" s="2406" customFormat="1" ht="11.45" customHeight="1">
      <c r="A56" s="911"/>
      <c r="C56" s="1554"/>
      <c r="D56" s="511"/>
      <c r="E56" s="482" t="str">
        <f>FHD_NUM_P_20</f>
        <v>2.8.1</v>
      </c>
      <c r="F56" s="1568" t="str">
        <f>FHD_P_20</f>
        <v>Расходы на амортизацию основных средств</v>
      </c>
      <c r="G56" s="1793" t="s">
        <v>543</v>
      </c>
      <c r="H56" s="493"/>
      <c r="I56" s="493"/>
      <c r="J56" s="226" t="str">
        <f>FHD_NOTE_P_20</f>
        <v/>
      </c>
      <c r="K56" s="1554" t="str">
        <f t="shared" si="0"/>
        <v/>
      </c>
      <c r="L56" s="1554"/>
      <c r="M56" s="1554"/>
      <c r="R56" s="1554"/>
      <c r="U56" s="480"/>
      <c r="AA56" s="1550"/>
      <c r="AB56" s="1550"/>
      <c r="AC56" s="1550"/>
      <c r="AD56" s="1550"/>
      <c r="AE56" s="1550"/>
      <c r="AF56" s="1078">
        <v>11</v>
      </c>
    </row>
    <row r="57" spans="1:32" s="2406" customFormat="1" ht="11.45" customHeight="1">
      <c r="A57" s="911"/>
      <c r="C57" s="1554"/>
      <c r="D57" s="511"/>
      <c r="E57" s="482" t="str">
        <f>FHD_NUM_P_21</f>
        <v>2.8.2</v>
      </c>
      <c r="F57" s="1568" t="str">
        <f>FHD_P_21</f>
        <v>Расходы на амортизацию нематериальных активов</v>
      </c>
      <c r="G57" s="1793" t="s">
        <v>543</v>
      </c>
      <c r="H57" s="493"/>
      <c r="I57" s="493"/>
      <c r="J57" s="226" t="str">
        <f>FHD_NOTE_P_21</f>
        <v/>
      </c>
      <c r="K57" s="1554" t="str">
        <f t="shared" si="0"/>
        <v/>
      </c>
      <c r="L57" s="1554"/>
      <c r="M57" s="1554"/>
      <c r="R57" s="1554"/>
      <c r="U57" s="480"/>
      <c r="AA57" s="1550"/>
      <c r="AB57" s="1550"/>
      <c r="AC57" s="1550"/>
      <c r="AD57" s="1550"/>
      <c r="AE57" s="1550"/>
      <c r="AF57" s="1078">
        <v>11</v>
      </c>
    </row>
    <row r="58" spans="1:32" s="2406" customFormat="1" ht="11.45" customHeight="1">
      <c r="A58" s="911"/>
      <c r="C58" s="1554"/>
      <c r="D58" s="1556"/>
      <c r="E58" s="482" t="str">
        <f>FHD_NUM_P_22</f>
        <v>2.9</v>
      </c>
      <c r="F58" s="1442" t="str">
        <f>FHD_P_22</f>
        <v>Расходы на аренду имущества, используемого для осуществления регулируемого вида деятельности</v>
      </c>
      <c r="G58" s="1793" t="s">
        <v>543</v>
      </c>
      <c r="H58" s="493"/>
      <c r="I58" s="493"/>
      <c r="J58" s="226" t="str">
        <f>FHD_NOTE_P_22</f>
        <v/>
      </c>
      <c r="K58" s="1554" t="str">
        <f t="shared" si="0"/>
        <v>p</v>
      </c>
      <c r="L58" s="1554"/>
      <c r="M58" s="1554"/>
      <c r="R58" s="1554"/>
      <c r="U58" s="480"/>
      <c r="AA58" s="1550"/>
      <c r="AB58" s="1550"/>
      <c r="AC58" s="1550"/>
      <c r="AD58" s="1550"/>
      <c r="AE58" s="1550"/>
      <c r="AF58" s="1078">
        <v>11</v>
      </c>
    </row>
    <row r="59" spans="1:32" s="2406" customFormat="1" ht="11.45" customHeight="1">
      <c r="A59" s="911"/>
      <c r="C59" s="1554"/>
      <c r="D59" s="511"/>
      <c r="E59" s="482" t="str">
        <f>FHD_NUM_P_23</f>
        <v>2.10</v>
      </c>
      <c r="F59" s="1442" t="str">
        <f>FHD_P_23</f>
        <v>Общепроизводственные расходы, в том числе:</v>
      </c>
      <c r="G59" s="1793" t="s">
        <v>543</v>
      </c>
      <c r="H59" s="493"/>
      <c r="I59" s="493"/>
      <c r="J59" s="226" t="str">
        <f>FHD_NOTE_P_23</f>
        <v>Указывается общая сумма общепроизводственных расходов.</v>
      </c>
      <c r="K59" s="1554" t="str">
        <f t="shared" si="0"/>
        <v>p</v>
      </c>
      <c r="L59" s="1554"/>
      <c r="M59" s="1554"/>
      <c r="R59" s="1554"/>
      <c r="U59" s="480"/>
      <c r="AA59" s="1550"/>
      <c r="AB59" s="1550"/>
      <c r="AC59" s="1550"/>
      <c r="AD59" s="1550"/>
      <c r="AE59" s="1550"/>
      <c r="AF59" s="1078">
        <v>11</v>
      </c>
    </row>
    <row r="60" spans="1:32" s="2406" customFormat="1" ht="11.45" customHeight="1">
      <c r="A60" s="911"/>
      <c r="C60" s="1554"/>
      <c r="D60" s="511"/>
      <c r="E60" s="482" t="str">
        <f>FHD_NUM_P_24</f>
        <v>2.10.1</v>
      </c>
      <c r="F60" s="1568" t="str">
        <f>FHD_P_24</f>
        <v>Расходы на текущий ремонт</v>
      </c>
      <c r="G60" s="1793" t="s">
        <v>543</v>
      </c>
      <c r="H60" s="493"/>
      <c r="I60" s="493"/>
      <c r="J60" s="226" t="str">
        <f>FHD_NOTE_P_24</f>
        <v>Указываются расходы на текущий ремонт, отнесенные к общепроизводственным расходам.</v>
      </c>
      <c r="K60" s="1554" t="str">
        <f t="shared" si="0"/>
        <v/>
      </c>
      <c r="L60" s="1554"/>
      <c r="M60" s="1554"/>
      <c r="R60" s="1554"/>
      <c r="U60" s="480"/>
      <c r="AA60" s="1550"/>
      <c r="AB60" s="1550"/>
      <c r="AC60" s="1550"/>
      <c r="AD60" s="1550"/>
      <c r="AE60" s="1550"/>
      <c r="AF60" s="1078">
        <v>11</v>
      </c>
    </row>
    <row r="61" spans="1:32" s="2406" customFormat="1" ht="11.45" customHeight="1">
      <c r="A61" s="911"/>
      <c r="C61" s="1554"/>
      <c r="D61" s="511"/>
      <c r="E61" s="482" t="str">
        <f>FHD_NUM_P_25</f>
        <v>2.10.2</v>
      </c>
      <c r="F61" s="1568" t="str">
        <f>FHD_P_25</f>
        <v>Расходы на капитальный ремонт</v>
      </c>
      <c r="G61" s="1793" t="s">
        <v>543</v>
      </c>
      <c r="H61" s="493"/>
      <c r="I61" s="493"/>
      <c r="J61" s="226" t="str">
        <f>FHD_NOTE_P_25</f>
        <v>Указываются расходы на капитальный ремонт, отнесенные к общепроизводственным расходам.</v>
      </c>
      <c r="K61" s="1554" t="str">
        <f t="shared" si="0"/>
        <v/>
      </c>
      <c r="L61" s="1554"/>
      <c r="M61" s="1554"/>
      <c r="R61" s="1554"/>
      <c r="U61" s="480"/>
      <c r="AA61" s="1550"/>
      <c r="AB61" s="1550"/>
      <c r="AC61" s="1550"/>
      <c r="AD61" s="1550"/>
      <c r="AE61" s="1550"/>
      <c r="AF61" s="1078">
        <v>11</v>
      </c>
    </row>
    <row r="62" spans="1:32" s="2406" customFormat="1" ht="11.45" customHeight="1">
      <c r="A62" s="911"/>
      <c r="C62" s="1554"/>
      <c r="D62" s="1556"/>
      <c r="E62" s="482" t="str">
        <f>FHD_NUM_P_26</f>
        <v>2.11</v>
      </c>
      <c r="F62" s="1442" t="str">
        <f>FHD_P_26</f>
        <v>Общехозяйственные расходы, в том числе:</v>
      </c>
      <c r="G62" s="1793" t="s">
        <v>543</v>
      </c>
      <c r="H62" s="493"/>
      <c r="I62" s="493"/>
      <c r="J62" s="226" t="str">
        <f>FHD_NOTE_P_26</f>
        <v>Указывается общая сумма общехозяйственных расходов.</v>
      </c>
      <c r="K62" s="1554" t="str">
        <f t="shared" si="0"/>
        <v>p</v>
      </c>
      <c r="L62" s="1554"/>
      <c r="M62" s="1554"/>
      <c r="R62" s="1554"/>
      <c r="U62" s="480"/>
      <c r="AA62" s="1550"/>
      <c r="AB62" s="1550"/>
      <c r="AC62" s="1550"/>
      <c r="AD62" s="1550"/>
      <c r="AE62" s="1550"/>
      <c r="AF62" s="1078">
        <v>11</v>
      </c>
    </row>
    <row r="63" spans="1:32" s="2406" customFormat="1" ht="11.45" customHeight="1">
      <c r="A63" s="911"/>
      <c r="C63" s="1554"/>
      <c r="D63" s="1556"/>
      <c r="E63" s="482" t="str">
        <f>FHD_NUM_P_27</f>
        <v>2.11.1</v>
      </c>
      <c r="F63" s="1568" t="str">
        <f>FHD_P_27</f>
        <v>Расходы на текущий ремонт</v>
      </c>
      <c r="G63" s="1793" t="s">
        <v>543</v>
      </c>
      <c r="H63" s="493"/>
      <c r="I63" s="493"/>
      <c r="J63" s="226" t="str">
        <f>FHD_NOTE_P_27</f>
        <v>Указываются расходы на текущий ремонт, отнесенные к общехозяйственным расходам.</v>
      </c>
      <c r="K63" s="1554" t="str">
        <f t="shared" si="0"/>
        <v/>
      </c>
      <c r="L63" s="1554"/>
      <c r="M63" s="1554"/>
      <c r="R63" s="1554"/>
      <c r="U63" s="480"/>
      <c r="AA63" s="1550"/>
      <c r="AB63" s="1550"/>
      <c r="AC63" s="1550"/>
      <c r="AD63" s="1550"/>
      <c r="AE63" s="1550"/>
      <c r="AF63" s="1078">
        <v>11</v>
      </c>
    </row>
    <row r="64" spans="1:32" s="2406" customFormat="1" ht="11.45" customHeight="1">
      <c r="A64" s="911"/>
      <c r="C64" s="1554"/>
      <c r="D64" s="1556"/>
      <c r="E64" s="482" t="str">
        <f>FHD_NUM_P_28</f>
        <v>2.11.2</v>
      </c>
      <c r="F64" s="1568" t="str">
        <f>FHD_P_28</f>
        <v>Расходы на капитальный ремонт</v>
      </c>
      <c r="G64" s="1793" t="s">
        <v>543</v>
      </c>
      <c r="H64" s="493"/>
      <c r="I64" s="493"/>
      <c r="J64" s="226" t="str">
        <f>FHD_NOTE_P_28</f>
        <v>Указываются расходы на капитальный ремонт, отнесенные к общехозяйственным расходам.</v>
      </c>
      <c r="K64" s="1554" t="str">
        <f t="shared" si="0"/>
        <v/>
      </c>
      <c r="L64" s="1554"/>
      <c r="M64" s="1554"/>
      <c r="R64" s="1554"/>
      <c r="U64" s="480"/>
      <c r="AA64" s="1550"/>
      <c r="AB64" s="1550"/>
      <c r="AC64" s="1550"/>
      <c r="AD64" s="1550"/>
      <c r="AE64" s="1550"/>
      <c r="AF64" s="1078">
        <v>11</v>
      </c>
    </row>
    <row r="65" spans="1:32" s="2406" customFormat="1" ht="11.45" customHeight="1">
      <c r="A65" s="911"/>
      <c r="C65" s="1554"/>
      <c r="D65" s="1556"/>
      <c r="E65" s="482" t="str">
        <f>FHD_NUM_P_29</f>
        <v>2.12</v>
      </c>
      <c r="F65" s="1442" t="str">
        <f>FHD_P_29</f>
        <v>Расходы на капитальный и текущий ремонт основных производственных средств</v>
      </c>
      <c r="G65" s="1793" t="s">
        <v>543</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80"/>
      <c r="AA65" s="1550"/>
      <c r="AB65" s="1550"/>
      <c r="AC65" s="1550"/>
      <c r="AD65" s="1550"/>
      <c r="AE65" s="1550"/>
      <c r="AF65" s="1078">
        <v>11</v>
      </c>
    </row>
    <row r="66" spans="1:32" s="2406" customFormat="1" ht="11.45" customHeight="1">
      <c r="A66" s="911"/>
      <c r="C66" s="1554"/>
      <c r="D66" s="1556"/>
      <c r="E66" s="482"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297</v>
      </c>
      <c r="H66" s="1567" t="s">
        <v>566</v>
      </c>
      <c r="I66" s="1567" t="s">
        <v>566</v>
      </c>
      <c r="J66" s="226" t="str">
        <f>FHD_NOTE_P_30</f>
        <v/>
      </c>
      <c r="K66" s="1554" t="str">
        <f t="shared" si="0"/>
        <v/>
      </c>
      <c r="L66" s="1554">
        <f>IFERROR(MATCH("есть",B_FHD_FLAG_INDEX_1,0),0)</f>
        <v>0</v>
      </c>
      <c r="M66" s="1554"/>
      <c r="R66" s="1554"/>
      <c r="U66" s="480"/>
      <c r="AA66" s="1550"/>
      <c r="AB66" s="1550"/>
      <c r="AC66" s="1550"/>
      <c r="AD66" s="1550"/>
      <c r="AE66" s="1550"/>
      <c r="AF66" s="1078">
        <v>11</v>
      </c>
    </row>
    <row r="67" spans="1:32" s="2406" customFormat="1" ht="23.25" hidden="1" customHeight="1">
      <c r="A67" s="2727" t="s">
        <v>567</v>
      </c>
      <c r="C67" s="1554"/>
      <c r="D67" s="1556"/>
      <c r="E67" s="482" t="str">
        <f>FHD_NUM_P_31</f>
        <v/>
      </c>
      <c r="F67" s="1442" t="str">
        <f>FHD_P_31</f>
        <v/>
      </c>
      <c r="G67" s="1793" t="s">
        <v>543</v>
      </c>
      <c r="H67" s="493"/>
      <c r="I67" s="493"/>
      <c r="J67" s="226" t="str">
        <f>FHD_NOTE_P_31</f>
        <v/>
      </c>
      <c r="K67" s="1554" t="str">
        <f t="shared" si="0"/>
        <v/>
      </c>
      <c r="L67" s="1554"/>
      <c r="M67" s="1554"/>
      <c r="R67" s="1554"/>
      <c r="U67" s="480"/>
      <c r="AA67" s="1550"/>
      <c r="AB67" s="1550"/>
      <c r="AC67" s="1550"/>
      <c r="AD67" s="1550"/>
      <c r="AE67" s="1550"/>
      <c r="AF67" s="1078">
        <v>22</v>
      </c>
    </row>
    <row r="68" spans="1:32" s="2406" customFormat="1" ht="47.25" hidden="1" customHeight="1">
      <c r="A68" s="2727"/>
      <c r="C68" s="1554"/>
      <c r="D68" s="1556"/>
      <c r="E68" s="482" t="str">
        <f>FHD_NUM_P_32</f>
        <v/>
      </c>
      <c r="F68" s="1568" t="str">
        <f>FHD_P_32</f>
        <v/>
      </c>
      <c r="G68" s="1793" t="s">
        <v>297</v>
      </c>
      <c r="H68" s="1567" t="s">
        <v>566</v>
      </c>
      <c r="I68" s="1567" t="s">
        <v>566</v>
      </c>
      <c r="J68" s="226" t="str">
        <f>FHD_NOTE_P_32</f>
        <v/>
      </c>
      <c r="K68" s="1554" t="str">
        <f t="shared" si="0"/>
        <v/>
      </c>
      <c r="L68" s="1554">
        <f>IFERROR(MATCH("есть",B_FHD_FLAG_INDEX_2,0),0)</f>
        <v>0</v>
      </c>
      <c r="M68" s="1554"/>
      <c r="R68" s="1554"/>
      <c r="U68" s="480"/>
      <c r="AA68" s="1550"/>
      <c r="AB68" s="1550"/>
      <c r="AC68" s="1550"/>
      <c r="AD68" s="1550"/>
      <c r="AE68" s="1550"/>
      <c r="AF68" s="1078">
        <v>45</v>
      </c>
    </row>
    <row r="69" spans="1:32" s="2406" customFormat="1" ht="11.45" customHeight="1">
      <c r="A69" s="911"/>
      <c r="C69" s="1554"/>
      <c r="D69" s="1556"/>
      <c r="E69" s="482"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543</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80"/>
      <c r="AA69" s="1550"/>
      <c r="AB69" s="1550"/>
      <c r="AC69" s="1550"/>
      <c r="AD69" s="1550"/>
      <c r="AE69" s="1550"/>
      <c r="AF69" s="1078">
        <v>11</v>
      </c>
    </row>
    <row r="70" spans="1:32" s="2407" customFormat="1" ht="1.1499999999999999" customHeight="1">
      <c r="A70" s="1085"/>
      <c r="D70" s="484"/>
      <c r="E70" s="936" t="str">
        <f>E69&amp;".0"</f>
        <v>2.13.0</v>
      </c>
      <c r="F70" s="915"/>
      <c r="G70" s="936"/>
      <c r="H70" s="916"/>
      <c r="I70" s="916"/>
      <c r="J70" s="917"/>
      <c r="K70" s="1554" t="str">
        <f t="shared" si="0"/>
        <v/>
      </c>
      <c r="AF70" s="1554">
        <v>1</v>
      </c>
    </row>
    <row r="71" spans="1:32" s="2406" customFormat="1" ht="14.65" customHeight="1">
      <c r="A71" s="911"/>
      <c r="C71" s="1554"/>
      <c r="D71" s="1551"/>
      <c r="E71" s="506"/>
      <c r="F71" s="507" t="s">
        <v>568</v>
      </c>
      <c r="G71" s="508"/>
      <c r="H71" s="509"/>
      <c r="I71" s="509"/>
      <c r="J71" s="238"/>
      <c r="K71" s="1554"/>
      <c r="L71" s="1554"/>
      <c r="M71" s="1554"/>
      <c r="R71" s="1554"/>
      <c r="U71" s="480"/>
      <c r="AA71" s="1550"/>
      <c r="AB71" s="1550"/>
      <c r="AC71" s="1550"/>
      <c r="AD71" s="1550"/>
      <c r="AE71" s="1550"/>
      <c r="AF71" s="1078">
        <v>14</v>
      </c>
    </row>
    <row r="72" spans="1:32" s="2406" customFormat="1" ht="18.75" customHeight="1">
      <c r="A72" s="913" t="s">
        <v>569</v>
      </c>
      <c r="C72" s="1554"/>
      <c r="D72" s="1556"/>
      <c r="E72" s="482" t="str">
        <f>FHD_NUM_P_34</f>
        <v>3</v>
      </c>
      <c r="F72" s="1795" t="str">
        <f>FHD_P_34</f>
        <v>Валовая прибыль (убытки) от реализации товаров и оказания услуг по регулируемому виду деятельности</v>
      </c>
      <c r="G72" s="1793" t="s">
        <v>543</v>
      </c>
      <c r="H72" s="493"/>
      <c r="I72" s="493"/>
      <c r="J72" s="226" t="str">
        <f>FHD_NOTE_P_34</f>
        <v/>
      </c>
      <c r="K72" s="479"/>
      <c r="L72" s="1554"/>
      <c r="M72" s="1554"/>
      <c r="R72" s="1554"/>
      <c r="U72" s="480"/>
      <c r="AA72" s="1550"/>
      <c r="AB72" s="1550"/>
      <c r="AC72" s="1550"/>
      <c r="AD72" s="1550"/>
      <c r="AE72" s="1550"/>
      <c r="AF72" s="1078">
        <v>0</v>
      </c>
    </row>
    <row r="73" spans="1:32" s="2406" customFormat="1" ht="19.899999999999999" customHeight="1">
      <c r="A73" s="911"/>
      <c r="C73" s="1554"/>
      <c r="D73" s="511"/>
      <c r="E73" s="482" t="str">
        <f>FHD_NUM_P_35</f>
        <v>4</v>
      </c>
      <c r="F73" s="1795" t="str">
        <f>FHD_P_35</f>
        <v>Чистая прибыль, полученная от регулируемого вида деятельности, в том числе:</v>
      </c>
      <c r="G73" s="1793" t="s">
        <v>543</v>
      </c>
      <c r="H73" s="493"/>
      <c r="I73" s="493"/>
      <c r="J73" s="226" t="str">
        <f>FHD_NOTE_P_35</f>
        <v>Указывается общая сумма чистой прибыли, полученной от регулируемого вида деятельности.</v>
      </c>
      <c r="K73" s="479"/>
      <c r="L73" s="1554"/>
      <c r="M73" s="1554"/>
      <c r="R73" s="1554"/>
      <c r="U73" s="480"/>
      <c r="AA73" s="1550"/>
      <c r="AB73" s="1550"/>
      <c r="AC73" s="1550"/>
      <c r="AD73" s="1550"/>
      <c r="AE73" s="1550"/>
      <c r="AF73" s="1078">
        <v>19</v>
      </c>
    </row>
    <row r="74" spans="1:32" s="2406" customFormat="1" ht="19.899999999999999" customHeight="1">
      <c r="A74" s="911"/>
      <c r="C74" s="1554"/>
      <c r="D74" s="1556"/>
      <c r="E74" s="482"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543</v>
      </c>
      <c r="H74" s="493"/>
      <c r="I74" s="493"/>
      <c r="J74" s="226" t="str">
        <f>FHD_NOTE_P_36</f>
        <v/>
      </c>
      <c r="K74" s="479"/>
      <c r="L74" s="1554"/>
      <c r="M74" s="1554"/>
      <c r="R74" s="1554"/>
      <c r="U74" s="480"/>
      <c r="AA74" s="1550"/>
      <c r="AB74" s="1550"/>
      <c r="AC74" s="1550"/>
      <c r="AD74" s="1550"/>
      <c r="AE74" s="1550"/>
      <c r="AF74" s="1078">
        <v>19</v>
      </c>
    </row>
    <row r="75" spans="1:32" s="2406" customFormat="1" ht="19.899999999999999" customHeight="1">
      <c r="A75" s="911"/>
      <c r="C75" s="1554"/>
      <c r="D75" s="1556"/>
      <c r="E75" s="482" t="str">
        <f>FHD_NUM_P_37</f>
        <v>5</v>
      </c>
      <c r="F75" s="1795" t="str">
        <f>FHD_P_37</f>
        <v>Изменение стоимости основных фондов, в том числе:</v>
      </c>
      <c r="G75" s="1793" t="s">
        <v>543</v>
      </c>
      <c r="H75" s="493"/>
      <c r="I75" s="493"/>
      <c r="J75" s="226" t="str">
        <f>FHD_NOTE_P_37</f>
        <v>Указывается общее изменение стоимости основных фондов.</v>
      </c>
      <c r="K75" s="479"/>
      <c r="L75" s="1554"/>
      <c r="M75" s="1554"/>
      <c r="R75" s="1554"/>
      <c r="U75" s="480"/>
      <c r="AA75" s="1550"/>
      <c r="AB75" s="1550"/>
      <c r="AC75" s="1550"/>
      <c r="AD75" s="1550"/>
      <c r="AE75" s="1550"/>
      <c r="AF75" s="1078">
        <v>19</v>
      </c>
    </row>
    <row r="76" spans="1:32" s="2406" customFormat="1" ht="19.899999999999999" customHeight="1">
      <c r="A76" s="911"/>
      <c r="C76" s="1554"/>
      <c r="D76" s="1556"/>
      <c r="E76" s="482" t="str">
        <f>FHD_NUM_P_38</f>
        <v>5.1</v>
      </c>
      <c r="F76" s="1442" t="str">
        <f>FHD_P_38</f>
        <v>за счет их ввода в эксплуатацию (вывода из эксплуатации)</v>
      </c>
      <c r="G76" s="1793" t="s">
        <v>543</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4"/>
      <c r="M76" s="1554"/>
      <c r="R76" s="1554"/>
      <c r="U76" s="480"/>
      <c r="AA76" s="1550"/>
      <c r="AB76" s="1550"/>
      <c r="AC76" s="1550"/>
      <c r="AD76" s="1550"/>
      <c r="AE76" s="1550"/>
      <c r="AF76" s="1078">
        <v>19</v>
      </c>
    </row>
    <row r="77" spans="1:32" s="2406" customFormat="1" ht="19.899999999999999" customHeight="1">
      <c r="A77" s="911"/>
      <c r="C77" s="1554"/>
      <c r="D77" s="1556"/>
      <c r="E77" s="482" t="str">
        <f>FHD_NUM_P_39</f>
        <v>5.1.1</v>
      </c>
      <c r="F77" s="1568" t="str">
        <f>FHD_P_39</f>
        <v>за счет их ввода в эксплуатацию</v>
      </c>
      <c r="G77" s="1984" t="s">
        <v>543</v>
      </c>
      <c r="H77" s="493"/>
      <c r="I77" s="493"/>
      <c r="J77" s="226" t="str">
        <f>FHD_NOTE_P_39</f>
        <v>Указываются изменение стоимости основных фондов за счет их ввода в эксплуатацию.</v>
      </c>
      <c r="K77" s="479"/>
      <c r="L77" s="1554"/>
      <c r="M77" s="1554"/>
      <c r="R77" s="1554"/>
      <c r="U77" s="480"/>
      <c r="AA77" s="1550"/>
      <c r="AB77" s="1550"/>
      <c r="AC77" s="1550"/>
      <c r="AD77" s="1550"/>
      <c r="AE77" s="1550"/>
      <c r="AF77" s="1078">
        <v>19</v>
      </c>
    </row>
    <row r="78" spans="1:32" s="2406" customFormat="1" ht="19.899999999999999" customHeight="1">
      <c r="A78" s="911"/>
      <c r="C78" s="1554"/>
      <c r="D78" s="1556"/>
      <c r="E78" s="482" t="str">
        <f>FHD_NUM_P_40</f>
        <v>5.1.2</v>
      </c>
      <c r="F78" s="1988" t="str">
        <f>FHD_P_40</f>
        <v>за счет их вывода в эксплуатацию</v>
      </c>
      <c r="G78" s="1983" t="s">
        <v>543</v>
      </c>
      <c r="H78" s="901"/>
      <c r="I78" s="493"/>
      <c r="J78" s="226" t="str">
        <f>FHD_NOTE_P_40</f>
        <v>Указываются изменение стоимости основных фондов за счет их вывода из эксплуатации.</v>
      </c>
      <c r="K78" s="479"/>
      <c r="L78" s="1554"/>
      <c r="M78" s="1554"/>
      <c r="R78" s="1554"/>
      <c r="U78" s="480"/>
      <c r="AA78" s="1550"/>
      <c r="AB78" s="1550"/>
      <c r="AC78" s="1550"/>
      <c r="AD78" s="1550"/>
      <c r="AE78" s="1550"/>
      <c r="AF78" s="1078">
        <v>19</v>
      </c>
    </row>
    <row r="79" spans="1:32" s="2406" customFormat="1" ht="19.899999999999999" customHeight="1">
      <c r="A79" s="911"/>
      <c r="C79" s="1554"/>
      <c r="D79" s="1556"/>
      <c r="E79" s="482" t="str">
        <f>FHD_NUM_P_41</f>
        <v>5.2</v>
      </c>
      <c r="F79" s="1987" t="str">
        <f>FHD_P_41</f>
        <v>за счет их переоценки</v>
      </c>
      <c r="G79" s="1983" t="s">
        <v>543</v>
      </c>
      <c r="H79" s="901"/>
      <c r="I79" s="493"/>
      <c r="J79" s="226" t="str">
        <f>FHD_NOTE_P_41</f>
        <v/>
      </c>
      <c r="K79" s="479"/>
      <c r="L79" s="1554"/>
      <c r="M79" s="1554"/>
      <c r="R79" s="1554"/>
      <c r="U79" s="480"/>
      <c r="AA79" s="1550"/>
      <c r="AB79" s="1550"/>
      <c r="AC79" s="1550"/>
      <c r="AD79" s="1550"/>
      <c r="AE79" s="1550"/>
      <c r="AF79" s="1078">
        <v>19</v>
      </c>
    </row>
    <row r="80" spans="1:32" s="2406" customFormat="1" ht="20.25" hidden="1" customHeight="1">
      <c r="A80" s="913" t="s">
        <v>570</v>
      </c>
      <c r="C80" s="1554"/>
      <c r="D80" s="1556"/>
      <c r="E80" s="482" t="str">
        <f>FHD_NUM_P_42</f>
        <v/>
      </c>
      <c r="F80" s="1985" t="str">
        <f>FHD_P_42</f>
        <v/>
      </c>
      <c r="G80" s="1983" t="s">
        <v>543</v>
      </c>
      <c r="H80" s="901"/>
      <c r="I80" s="493"/>
      <c r="J80" s="226" t="str">
        <f>FHD_NOTE_P_42</f>
        <v/>
      </c>
      <c r="K80" s="479"/>
      <c r="L80" s="1554"/>
      <c r="M80" s="1554"/>
      <c r="R80" s="1554"/>
      <c r="U80" s="480"/>
      <c r="AA80" s="1550"/>
      <c r="AB80" s="1550"/>
      <c r="AC80" s="1550"/>
      <c r="AD80" s="1550"/>
      <c r="AE80" s="1550"/>
      <c r="AF80" s="1078">
        <v>19</v>
      </c>
    </row>
    <row r="81" spans="1:32" s="2406" customFormat="1" ht="19.899999999999999" customHeight="1">
      <c r="A81" s="911"/>
      <c r="C81" s="1554"/>
      <c r="D81" s="1556"/>
      <c r="E81" s="482" t="str">
        <f>FHD_NUM_P_43</f>
        <v>6</v>
      </c>
      <c r="F81" s="1795" t="str">
        <f>FHD_P_43</f>
        <v>Годовая бухгалтерская (финансовая) отчетность, включая бухгалтерский баланс и приложения к нему</v>
      </c>
      <c r="G81" s="1986" t="s">
        <v>297</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4"/>
      <c r="M81" s="1554"/>
      <c r="R81" s="1554"/>
      <c r="U81" s="480"/>
      <c r="AA81" s="1550"/>
      <c r="AB81" s="1550"/>
      <c r="AC81" s="1550"/>
      <c r="AD81" s="1550"/>
      <c r="AE81" s="1550"/>
      <c r="AF81" s="1078">
        <v>19</v>
      </c>
    </row>
    <row r="82" spans="1:32" s="2406" customFormat="1" ht="18.75" hidden="1" customHeight="1">
      <c r="A82" s="2727" t="s">
        <v>571</v>
      </c>
      <c r="C82" s="671"/>
      <c r="D82" s="669"/>
      <c r="E82" s="482" t="str">
        <f>FHD_NUM_P_44</f>
        <v/>
      </c>
      <c r="F82" s="1795" t="str">
        <f>FHD_P_44</f>
        <v/>
      </c>
      <c r="G82" s="1796" t="s">
        <v>572</v>
      </c>
      <c r="H82" s="902"/>
      <c r="I82" s="513"/>
      <c r="J82" s="226" t="str">
        <f>FHD_NOTE_P_44</f>
        <v/>
      </c>
      <c r="K82" s="670"/>
      <c r="L82" s="671"/>
      <c r="M82" s="671"/>
      <c r="R82" s="671"/>
      <c r="U82" s="672"/>
      <c r="AA82" s="673"/>
      <c r="AB82" s="673"/>
      <c r="AC82" s="673"/>
      <c r="AD82" s="673"/>
      <c r="AE82" s="673"/>
      <c r="AF82" s="835">
        <v>0</v>
      </c>
    </row>
    <row r="83" spans="1:32" s="2406" customFormat="1" ht="18.75" hidden="1" customHeight="1">
      <c r="A83" s="2727"/>
      <c r="C83" s="671"/>
      <c r="D83" s="669"/>
      <c r="E83" s="482" t="str">
        <f>FHD_NUM_P_45</f>
        <v/>
      </c>
      <c r="F83" s="1795" t="str">
        <f>FHD_P_45</f>
        <v/>
      </c>
      <c r="G83" s="1796" t="s">
        <v>572</v>
      </c>
      <c r="H83" s="902"/>
      <c r="I83" s="513"/>
      <c r="J83" s="226" t="str">
        <f>FHD_NOTE_P_45</f>
        <v/>
      </c>
      <c r="K83" s="670"/>
      <c r="L83" s="671"/>
      <c r="M83" s="671"/>
      <c r="R83" s="671"/>
      <c r="U83" s="672"/>
      <c r="AA83" s="673"/>
      <c r="AB83" s="673"/>
      <c r="AC83" s="673"/>
      <c r="AD83" s="673"/>
      <c r="AE83" s="673"/>
      <c r="AF83" s="835">
        <v>0</v>
      </c>
    </row>
    <row r="84" spans="1:32" s="2406" customFormat="1" ht="18.75" hidden="1" customHeight="1">
      <c r="A84" s="2727"/>
      <c r="C84" s="671"/>
      <c r="D84" s="674"/>
      <c r="E84" s="482" t="str">
        <f>FHD_NUM_P_46</f>
        <v/>
      </c>
      <c r="F84" s="1795" t="str">
        <f>FHD_P_46</f>
        <v/>
      </c>
      <c r="G84" s="1796" t="s">
        <v>572</v>
      </c>
      <c r="H84" s="902"/>
      <c r="I84" s="513"/>
      <c r="J84" s="226" t="str">
        <f>FHD_NOTE_P_46</f>
        <v/>
      </c>
      <c r="K84" s="670"/>
      <c r="L84" s="671"/>
      <c r="M84" s="671"/>
      <c r="R84" s="671"/>
      <c r="U84" s="672"/>
      <c r="AA84" s="673"/>
      <c r="AB84" s="673"/>
      <c r="AC84" s="673"/>
      <c r="AD84" s="673"/>
      <c r="AE84" s="673"/>
      <c r="AF84" s="835">
        <v>0</v>
      </c>
    </row>
    <row r="85" spans="1:32" s="2406" customFormat="1" ht="18.75" hidden="1" customHeight="1">
      <c r="A85" s="2727"/>
      <c r="C85" s="671"/>
      <c r="D85" s="669"/>
      <c r="E85" s="482" t="str">
        <f>FHD_NUM_P_47</f>
        <v/>
      </c>
      <c r="F85" s="1795" t="str">
        <f>FHD_P_47</f>
        <v/>
      </c>
      <c r="G85" s="1796" t="s">
        <v>572</v>
      </c>
      <c r="H85" s="902"/>
      <c r="I85" s="513"/>
      <c r="J85" s="226" t="str">
        <f>FHD_NOTE_P_47</f>
        <v/>
      </c>
      <c r="K85" s="670"/>
      <c r="L85" s="671"/>
      <c r="M85" s="671"/>
      <c r="R85" s="671"/>
      <c r="U85" s="672"/>
      <c r="AA85" s="673"/>
      <c r="AB85" s="673"/>
      <c r="AC85" s="673"/>
      <c r="AD85" s="673"/>
      <c r="AE85" s="673"/>
      <c r="AF85" s="835">
        <v>0</v>
      </c>
    </row>
    <row r="86" spans="1:32" s="2400" customFormat="1" ht="18.75" hidden="1" customHeight="1">
      <c r="A86" s="2727"/>
      <c r="B86" s="835"/>
      <c r="C86" s="671"/>
      <c r="D86" s="669"/>
      <c r="E86" s="482" t="str">
        <f>FHD_NUM_P_48</f>
        <v/>
      </c>
      <c r="F86" s="1795" t="str">
        <f>FHD_P_48</f>
        <v/>
      </c>
      <c r="G86" s="1796" t="s">
        <v>572</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400" customFormat="1" ht="18.75" hidden="1" customHeight="1">
      <c r="A87" s="2727"/>
      <c r="B87" s="835"/>
      <c r="C87" s="671"/>
      <c r="D87" s="669"/>
      <c r="E87" s="482" t="str">
        <f>FHD_NUM_P_49</f>
        <v/>
      </c>
      <c r="F87" s="1795" t="str">
        <f>FHD_P_49</f>
        <v/>
      </c>
      <c r="G87" s="1796" t="s">
        <v>572</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400" customFormat="1" ht="18.75" hidden="1" customHeight="1">
      <c r="A88" s="2727"/>
      <c r="B88" s="835"/>
      <c r="C88" s="671"/>
      <c r="D88" s="669"/>
      <c r="E88" s="482" t="str">
        <f>FHD_NUM_P_50</f>
        <v/>
      </c>
      <c r="F88" s="1795" t="str">
        <f>FHD_P_50</f>
        <v/>
      </c>
      <c r="G88" s="1796" t="s">
        <v>572</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400" customFormat="1" ht="18.75" hidden="1" customHeight="1">
      <c r="A89" s="2727"/>
      <c r="B89" s="835"/>
      <c r="C89" s="671"/>
      <c r="D89" s="669"/>
      <c r="E89" s="482" t="str">
        <f>FHD_NUM_P_51</f>
        <v/>
      </c>
      <c r="F89" s="1795" t="str">
        <f>FHD_P_51</f>
        <v/>
      </c>
      <c r="G89" s="1796" t="s">
        <v>572</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400" customFormat="1" ht="18.75" hidden="1" customHeight="1">
      <c r="A90" s="2727"/>
      <c r="B90" s="835"/>
      <c r="C90" s="671"/>
      <c r="D90" s="669"/>
      <c r="E90" s="482" t="str">
        <f>FHD_NUM_P_52</f>
        <v/>
      </c>
      <c r="F90" s="1795" t="str">
        <f>FHD_P_52</f>
        <v/>
      </c>
      <c r="G90" s="1796" t="s">
        <v>549</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406" customFormat="1" ht="18.75" hidden="1" customHeight="1">
      <c r="A91" s="2727" t="s">
        <v>573</v>
      </c>
      <c r="C91" s="671"/>
      <c r="D91" s="669"/>
      <c r="E91" s="482" t="str">
        <f>FHD_NUM_P_53</f>
        <v/>
      </c>
      <c r="F91" s="1795" t="str">
        <f>FHD_P_53</f>
        <v/>
      </c>
      <c r="G91" s="1796" t="s">
        <v>572</v>
      </c>
      <c r="H91" s="902"/>
      <c r="I91" s="513"/>
      <c r="J91" s="226" t="str">
        <f>FHD_NOTE_P_53</f>
        <v/>
      </c>
      <c r="K91" s="670"/>
      <c r="L91" s="671"/>
      <c r="M91" s="671"/>
      <c r="R91" s="671"/>
      <c r="U91" s="672"/>
      <c r="AA91" s="673"/>
      <c r="AB91" s="673"/>
      <c r="AC91" s="673"/>
      <c r="AD91" s="673"/>
      <c r="AE91" s="673"/>
      <c r="AF91" s="835">
        <v>0</v>
      </c>
    </row>
    <row r="92" spans="1:32" s="2406" customFormat="1" ht="18.75" hidden="1" customHeight="1">
      <c r="A92" s="2727"/>
      <c r="C92" s="671"/>
      <c r="D92" s="669"/>
      <c r="E92" s="482" t="str">
        <f>FHD_NUM_P_54</f>
        <v/>
      </c>
      <c r="F92" s="1795" t="str">
        <f>FHD_P_54</f>
        <v/>
      </c>
      <c r="G92" s="1796" t="s">
        <v>572</v>
      </c>
      <c r="H92" s="902"/>
      <c r="I92" s="513"/>
      <c r="J92" s="226" t="str">
        <f>FHD_NOTE_P_54</f>
        <v/>
      </c>
      <c r="K92" s="670"/>
      <c r="L92" s="671"/>
      <c r="M92" s="671"/>
      <c r="R92" s="671"/>
      <c r="U92" s="672"/>
      <c r="AA92" s="673"/>
      <c r="AB92" s="673"/>
      <c r="AC92" s="673"/>
      <c r="AD92" s="673"/>
      <c r="AE92" s="673"/>
      <c r="AF92" s="835">
        <v>0</v>
      </c>
    </row>
    <row r="93" spans="1:32" s="2406" customFormat="1" ht="18.75" hidden="1" customHeight="1">
      <c r="A93" s="2727"/>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406" customFormat="1" ht="18.75" hidden="1" customHeight="1">
      <c r="A94" s="2727"/>
      <c r="C94" s="671"/>
      <c r="D94" s="669"/>
      <c r="E94" s="482" t="str">
        <f>FHD_NUM_P_56</f>
        <v/>
      </c>
      <c r="F94" s="1795" t="str">
        <f>FHD_P_56</f>
        <v/>
      </c>
      <c r="G94" s="1796" t="s">
        <v>574</v>
      </c>
      <c r="H94" s="902"/>
      <c r="I94" s="513"/>
      <c r="J94" s="226" t="str">
        <f>FHD_NOTE_P_56</f>
        <v/>
      </c>
      <c r="K94" s="670"/>
      <c r="L94" s="671"/>
      <c r="M94" s="671"/>
      <c r="R94" s="671"/>
      <c r="U94" s="672"/>
      <c r="AA94" s="673"/>
      <c r="AB94" s="673"/>
      <c r="AC94" s="673"/>
      <c r="AD94" s="673"/>
      <c r="AE94" s="673"/>
      <c r="AF94" s="835">
        <v>0</v>
      </c>
    </row>
    <row r="95" spans="1:32" s="2400" customFormat="1" ht="18.75" hidden="1" customHeight="1">
      <c r="A95" s="2727"/>
      <c r="B95" s="835"/>
      <c r="C95" s="671"/>
      <c r="D95" s="669"/>
      <c r="E95" s="482" t="str">
        <f>FHD_NUM_P_57</f>
        <v/>
      </c>
      <c r="F95" s="1795" t="str">
        <f>FHD_P_57</f>
        <v/>
      </c>
      <c r="G95" s="1796" t="s">
        <v>549</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727" t="s">
        <v>575</v>
      </c>
      <c r="D96" s="1556"/>
      <c r="E96" s="482" t="str">
        <f>FHD_NUM_P_58</f>
        <v/>
      </c>
      <c r="F96" s="1795" t="str">
        <f>FHD_P_58</f>
        <v/>
      </c>
      <c r="G96" s="1796" t="s">
        <v>572</v>
      </c>
      <c r="H96" s="902"/>
      <c r="I96" s="513"/>
      <c r="J96" s="226" t="str">
        <f>FHD_NOTE_P_58</f>
        <v/>
      </c>
      <c r="K96" s="479"/>
      <c r="AF96" s="1549">
        <v>0</v>
      </c>
    </row>
    <row r="97" spans="1:32" ht="18.75" hidden="1" customHeight="1">
      <c r="A97" s="2727"/>
      <c r="D97" s="1556"/>
      <c r="E97" s="482" t="str">
        <f>FHD_NUM_P_59</f>
        <v/>
      </c>
      <c r="F97" s="1795" t="str">
        <f>FHD_P_59</f>
        <v/>
      </c>
      <c r="G97" s="1796" t="s">
        <v>572</v>
      </c>
      <c r="H97" s="902"/>
      <c r="I97" s="513"/>
      <c r="J97" s="226" t="str">
        <f>FHD_NOTE_P_59</f>
        <v/>
      </c>
      <c r="K97" s="479"/>
      <c r="AF97" s="1549">
        <v>0</v>
      </c>
    </row>
    <row r="98" spans="1:32" ht="18.75" hidden="1" customHeight="1">
      <c r="A98" s="2727"/>
      <c r="D98" s="1556"/>
      <c r="E98" s="482" t="str">
        <f>FHD_NUM_P_60</f>
        <v/>
      </c>
      <c r="F98" s="1795" t="str">
        <f>FHD_P_60</f>
        <v/>
      </c>
      <c r="G98" s="1796" t="s">
        <v>572</v>
      </c>
      <c r="H98" s="902"/>
      <c r="I98" s="513"/>
      <c r="J98" s="226" t="str">
        <f>FHD_NOTE_P_60</f>
        <v/>
      </c>
      <c r="K98" s="479"/>
      <c r="AF98" s="1549">
        <v>0</v>
      </c>
    </row>
    <row r="99" spans="1:32" s="2406" customFormat="1" ht="18.75" customHeight="1">
      <c r="A99" s="2727" t="s">
        <v>576</v>
      </c>
      <c r="C99" s="1554"/>
      <c r="D99" s="1556"/>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547</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4"/>
      <c r="M99" s="1554"/>
      <c r="R99" s="1554"/>
      <c r="U99" s="480"/>
      <c r="AA99" s="1550"/>
      <c r="AB99" s="1550"/>
      <c r="AC99" s="1550"/>
      <c r="AD99" s="1550"/>
      <c r="AE99" s="1550"/>
      <c r="AF99" s="1078">
        <v>0</v>
      </c>
    </row>
    <row r="100" spans="1:32" s="2407" customFormat="1" ht="0.75" customHeight="1">
      <c r="A100" s="2727"/>
      <c r="D100" s="484"/>
      <c r="E100" s="936" t="str">
        <f>E99&amp;".0"</f>
        <v>7.0</v>
      </c>
      <c r="F100" s="918"/>
      <c r="G100" s="919"/>
      <c r="H100" s="916"/>
      <c r="I100" s="916"/>
      <c r="J100" s="920"/>
      <c r="AF100" s="1554">
        <v>0</v>
      </c>
    </row>
    <row r="101" spans="1:32" ht="15" customHeight="1">
      <c r="A101" s="2727"/>
      <c r="D101" s="1551"/>
      <c r="E101" s="896"/>
      <c r="F101" s="897" t="s">
        <v>577</v>
      </c>
      <c r="G101" s="508"/>
      <c r="H101" s="509"/>
      <c r="I101" s="509"/>
      <c r="J101" s="927" t="s">
        <v>578</v>
      </c>
      <c r="K101" s="479"/>
      <c r="AF101" s="1549">
        <v>0</v>
      </c>
    </row>
    <row r="102" spans="1:32" s="2406" customFormat="1" ht="18.75" customHeight="1">
      <c r="A102" s="2727"/>
      <c r="C102" s="1554"/>
      <c r="D102" s="1556"/>
      <c r="E102" s="482" t="str">
        <f>FHD_NUM_P_62</f>
        <v>8</v>
      </c>
      <c r="F102" s="1795" t="str">
        <f>FHD_P_62</f>
        <v>Тепловая нагрузка по договорам, заключенным в рамках осуществления регулируемых видов деятельности</v>
      </c>
      <c r="G102" s="1792" t="s">
        <v>547</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4"/>
      <c r="M102" s="1554"/>
      <c r="R102" s="1554"/>
      <c r="U102" s="480"/>
      <c r="AA102" s="1550"/>
      <c r="AB102" s="1550"/>
      <c r="AC102" s="1550"/>
      <c r="AD102" s="1550"/>
      <c r="AE102" s="1550"/>
      <c r="AF102" s="1078">
        <v>0</v>
      </c>
    </row>
    <row r="103" spans="1:32" s="2406" customFormat="1" ht="18.75" customHeight="1">
      <c r="A103" s="2727"/>
      <c r="C103" s="1554"/>
      <c r="D103" s="1556"/>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574</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4"/>
      <c r="M103" s="1554"/>
      <c r="R103" s="1554"/>
      <c r="U103" s="480"/>
      <c r="AA103" s="1550"/>
      <c r="AB103" s="1550"/>
      <c r="AC103" s="1550"/>
      <c r="AD103" s="1550"/>
      <c r="AE103" s="1550"/>
      <c r="AF103" s="1078">
        <v>0</v>
      </c>
    </row>
    <row r="104" spans="1:32" s="2406" customFormat="1" ht="18.75" customHeight="1">
      <c r="A104" s="2727"/>
      <c r="C104" s="1554" t="s">
        <v>579</v>
      </c>
      <c r="D104" s="1556"/>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574</v>
      </c>
      <c r="H104" s="481"/>
      <c r="I104" s="481"/>
      <c r="J104" s="226" t="str">
        <f>FHD_NOTE_P_64</f>
        <v>Информация указывается только едиными теплоснабжающими организациями.</v>
      </c>
      <c r="K104" s="479"/>
      <c r="L104" s="1554"/>
      <c r="M104" s="1554"/>
      <c r="R104" s="1554"/>
      <c r="U104" s="480"/>
      <c r="AA104" s="1550"/>
      <c r="AB104" s="1550"/>
      <c r="AC104" s="1550"/>
      <c r="AD104" s="1550"/>
      <c r="AE104" s="1550"/>
      <c r="AF104" s="1078">
        <v>0</v>
      </c>
    </row>
    <row r="105" spans="1:32" s="2406" customFormat="1" ht="18.75" customHeight="1">
      <c r="A105" s="2727"/>
      <c r="C105" s="1554"/>
      <c r="D105" s="1556"/>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574</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4"/>
      <c r="M105" s="1554"/>
      <c r="R105" s="1554"/>
      <c r="U105" s="480"/>
      <c r="AA105" s="1550"/>
      <c r="AB105" s="1550"/>
      <c r="AC105" s="1550"/>
      <c r="AD105" s="1550"/>
      <c r="AE105" s="1550"/>
      <c r="AF105" s="1078">
        <v>0</v>
      </c>
    </row>
    <row r="106" spans="1:32" s="2406" customFormat="1" ht="18.75" customHeight="1">
      <c r="A106" s="2727"/>
      <c r="C106" s="1554"/>
      <c r="D106" s="1556"/>
      <c r="E106" s="482" t="str">
        <f>FHD_NUM_P_66</f>
        <v>10.1</v>
      </c>
      <c r="F106" s="1442" t="str">
        <f>FHD_P_66</f>
        <v xml:space="preserve">По приборам учёта </v>
      </c>
      <c r="G106" s="1792" t="s">
        <v>574</v>
      </c>
      <c r="H106" s="513"/>
      <c r="I106" s="513"/>
      <c r="J106" s="226" t="str">
        <f>FHD_NOTE_P_66</f>
        <v/>
      </c>
      <c r="K106" s="479"/>
      <c r="L106" s="1554"/>
      <c r="M106" s="1554"/>
      <c r="R106" s="1554"/>
      <c r="U106" s="480"/>
      <c r="AA106" s="1550"/>
      <c r="AB106" s="1550"/>
      <c r="AC106" s="1550"/>
      <c r="AD106" s="1550"/>
      <c r="AE106" s="1550"/>
      <c r="AF106" s="1078">
        <v>0</v>
      </c>
    </row>
    <row r="107" spans="1:32" s="2406" customFormat="1" ht="18.75" customHeight="1">
      <c r="A107" s="2727"/>
      <c r="C107" s="1554"/>
      <c r="D107" s="1556"/>
      <c r="E107" s="482"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574</v>
      </c>
      <c r="H107" s="513"/>
      <c r="I107" s="513"/>
      <c r="J107" s="226" t="str">
        <f>FHD_NOTE_P_67</f>
        <v/>
      </c>
      <c r="K107" s="479"/>
      <c r="L107" s="1554"/>
      <c r="M107" s="1554"/>
      <c r="R107" s="1554"/>
      <c r="U107" s="480"/>
      <c r="AA107" s="1550"/>
      <c r="AB107" s="1550"/>
      <c r="AC107" s="1550"/>
      <c r="AD107" s="1550"/>
      <c r="AE107" s="1550"/>
      <c r="AF107" s="1078">
        <v>0</v>
      </c>
    </row>
    <row r="108" spans="1:32" s="2406" customFormat="1" ht="18.75" customHeight="1">
      <c r="A108" s="2727"/>
      <c r="C108" s="1554"/>
      <c r="D108" s="1556"/>
      <c r="E108" s="482" t="str">
        <f>FHD_NUM_P_68</f>
        <v>10.2</v>
      </c>
      <c r="F108" s="1442" t="str">
        <f>FHD_P_68</f>
        <v>Расчётным путём</v>
      </c>
      <c r="G108" s="1792" t="s">
        <v>574</v>
      </c>
      <c r="H108" s="513"/>
      <c r="I108" s="513"/>
      <c r="J108" s="226" t="str">
        <f>FHD_NOTE_P_68</f>
        <v/>
      </c>
      <c r="K108" s="479"/>
      <c r="L108" s="1554"/>
      <c r="M108" s="1554"/>
      <c r="R108" s="1554"/>
      <c r="U108" s="480"/>
      <c r="AA108" s="1550"/>
      <c r="AB108" s="1550"/>
      <c r="AC108" s="1550"/>
      <c r="AD108" s="1550"/>
      <c r="AE108" s="1550"/>
      <c r="AF108" s="1078">
        <v>0</v>
      </c>
    </row>
    <row r="109" spans="1:32" s="2406" customFormat="1" ht="18.75" customHeight="1">
      <c r="A109" s="2727"/>
      <c r="C109" s="1554"/>
      <c r="D109" s="1556"/>
      <c r="E109" s="482" t="str">
        <f>FHD_NUM_P_69</f>
        <v>10.3</v>
      </c>
      <c r="F109" s="1442" t="str">
        <f>FHD_P_69</f>
        <v>По нормативам потребления коммунальных услуг и нормативам потребления коммунальных ресурсов</v>
      </c>
      <c r="G109" s="1792" t="s">
        <v>574</v>
      </c>
      <c r="H109" s="513"/>
      <c r="I109" s="513"/>
      <c r="J109" s="226" t="str">
        <f>FHD_NOTE_P_69</f>
        <v/>
      </c>
      <c r="K109" s="479"/>
      <c r="L109" s="1554"/>
      <c r="M109" s="1554"/>
      <c r="R109" s="1554"/>
      <c r="U109" s="480"/>
      <c r="AA109" s="1550"/>
      <c r="AB109" s="1550"/>
      <c r="AC109" s="1550"/>
      <c r="AD109" s="1550"/>
      <c r="AE109" s="1550"/>
      <c r="AF109" s="1078">
        <v>0</v>
      </c>
    </row>
    <row r="110" spans="1:32" s="2406" customFormat="1" ht="22.5" customHeight="1">
      <c r="A110" s="2727"/>
      <c r="C110" s="1554"/>
      <c r="D110" s="1556"/>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580</v>
      </c>
      <c r="H110" s="493"/>
      <c r="I110" s="493"/>
      <c r="J110" s="226" t="str">
        <f>FHD_NOTE_P_70</f>
        <v/>
      </c>
      <c r="K110" s="479"/>
      <c r="L110" s="1554"/>
      <c r="M110" s="1554"/>
      <c r="R110" s="1554"/>
      <c r="U110" s="480"/>
      <c r="AA110" s="1550"/>
      <c r="AB110" s="1550"/>
      <c r="AC110" s="1550"/>
      <c r="AD110" s="1550"/>
      <c r="AE110" s="1550"/>
      <c r="AF110" s="1078">
        <v>0</v>
      </c>
    </row>
    <row r="111" spans="1:32" s="2406" customFormat="1" ht="22.5" customHeight="1">
      <c r="A111" s="2727"/>
      <c r="C111" s="1554"/>
      <c r="D111" s="1556"/>
      <c r="E111" s="482" t="str">
        <f>FHD_NUM_P_71</f>
        <v>12</v>
      </c>
      <c r="F111" s="1795" t="str">
        <f>FHD_P_71</f>
        <v>Фактический объем потерь при передаче тепловой энергии</v>
      </c>
      <c r="G111" s="1792" t="s">
        <v>580</v>
      </c>
      <c r="H111" s="493"/>
      <c r="I111" s="493"/>
      <c r="J111" s="226" t="str">
        <f>FHD_NOTE_P_71</f>
        <v/>
      </c>
      <c r="K111" s="479"/>
      <c r="L111" s="1554"/>
      <c r="M111" s="1554"/>
      <c r="R111" s="1554"/>
      <c r="U111" s="480"/>
      <c r="AA111" s="1550"/>
      <c r="AB111" s="1550"/>
      <c r="AC111" s="1550"/>
      <c r="AD111" s="1550"/>
      <c r="AE111" s="1550"/>
      <c r="AF111" s="1078">
        <v>0</v>
      </c>
    </row>
    <row r="112" spans="1:32" ht="19.899999999999999" customHeight="1">
      <c r="D112" s="1556"/>
      <c r="E112" s="482" t="str">
        <f>FHD_NUM_P_72</f>
        <v>13</v>
      </c>
      <c r="F112" s="1795" t="str">
        <f>FHD_P_72</f>
        <v>Среднесписочная численность основного производственного персонала</v>
      </c>
      <c r="G112" s="1791" t="s">
        <v>581</v>
      </c>
      <c r="H112" s="513"/>
      <c r="I112" s="513"/>
      <c r="J112" s="226" t="str">
        <f>FHD_NOTE_P_72</f>
        <v/>
      </c>
      <c r="K112" s="479"/>
      <c r="AF112" s="1549">
        <v>19</v>
      </c>
    </row>
    <row r="113" spans="1:32" ht="18.75" customHeight="1">
      <c r="A113" s="913" t="s">
        <v>582</v>
      </c>
      <c r="D113" s="1556"/>
      <c r="E113" s="482" t="str">
        <f>FHD_NUM_P_73</f>
        <v>14</v>
      </c>
      <c r="F113" s="1795" t="str">
        <f>FHD_P_73</f>
        <v>Среднесписочная численность административно-управленческого персонала</v>
      </c>
      <c r="G113" s="895" t="s">
        <v>581</v>
      </c>
      <c r="H113" s="893"/>
      <c r="I113" s="893"/>
      <c r="J113" s="226" t="str">
        <f>FHD_NOTE_P_73</f>
        <v/>
      </c>
      <c r="K113" s="479"/>
      <c r="AF113" s="1549">
        <v>0</v>
      </c>
    </row>
    <row r="114" spans="1:32" ht="33.75" hidden="1" customHeight="1">
      <c r="A114" s="913" t="s">
        <v>583</v>
      </c>
      <c r="D114" s="1556"/>
      <c r="E114" s="482" t="str">
        <f>FHD_NUM_P_74</f>
        <v/>
      </c>
      <c r="F114" s="1795" t="str">
        <f>FHD_P_74</f>
        <v/>
      </c>
      <c r="G114" s="1791" t="s">
        <v>584</v>
      </c>
      <c r="H114" s="513"/>
      <c r="I114" s="513"/>
      <c r="J114" s="226" t="str">
        <f>FHD_NOTE_P_74</f>
        <v/>
      </c>
      <c r="K114" s="479"/>
      <c r="AF114" s="1549">
        <v>0</v>
      </c>
    </row>
    <row r="115" spans="1:32" s="2400" customFormat="1" ht="18.75" hidden="1" customHeight="1">
      <c r="A115" s="2727" t="s">
        <v>585</v>
      </c>
      <c r="B115" s="835"/>
      <c r="C115" s="671"/>
      <c r="D115" s="669"/>
      <c r="E115" s="482" t="str">
        <f>FHD_NUM_P_75</f>
        <v/>
      </c>
      <c r="F115" s="1795" t="str">
        <f>FHD_P_75</f>
        <v/>
      </c>
      <c r="G115" s="1791" t="s">
        <v>549</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400" customFormat="1" ht="18.75" hidden="1" customHeight="1">
      <c r="A116" s="2727"/>
      <c r="B116" s="835"/>
      <c r="C116" s="671"/>
      <c r="D116" s="669"/>
      <c r="E116" s="482" t="str">
        <f>FHD_NUM_P_76</f>
        <v/>
      </c>
      <c r="F116" s="1795" t="str">
        <f>FHD_P_76</f>
        <v/>
      </c>
      <c r="G116" s="1791" t="s">
        <v>549</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400" customFormat="1" ht="18.75" hidden="1" customHeight="1">
      <c r="A117" s="2727"/>
      <c r="B117" s="835"/>
      <c r="C117" s="671"/>
      <c r="D117" s="669"/>
      <c r="E117" s="482" t="str">
        <f>FHD_NUM_P_77</f>
        <v/>
      </c>
      <c r="F117" s="1795" t="str">
        <f>FHD_P_77</f>
        <v/>
      </c>
      <c r="G117" s="1791" t="s">
        <v>549</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407" customFormat="1" ht="0.75" hidden="1" customHeight="1">
      <c r="A118" s="2727"/>
      <c r="D118" s="484"/>
      <c r="E118" s="936" t="str">
        <f>E117&amp;".0"</f>
        <v>.0</v>
      </c>
      <c r="F118" s="921"/>
      <c r="G118" s="1569"/>
      <c r="H118" s="916"/>
      <c r="I118" s="916"/>
      <c r="J118" s="920"/>
      <c r="AF118" s="1554">
        <v>0</v>
      </c>
    </row>
    <row r="119" spans="1:32" s="2400" customFormat="1" ht="15" hidden="1" customHeight="1">
      <c r="A119" s="2727"/>
      <c r="B119" s="835"/>
      <c r="C119" s="671"/>
      <c r="D119" s="682"/>
      <c r="E119" s="898"/>
      <c r="F119" s="899" t="s">
        <v>586</v>
      </c>
      <c r="G119" s="683"/>
      <c r="H119" s="684"/>
      <c r="I119" s="684"/>
      <c r="J119" s="926" t="s">
        <v>587</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727" t="s">
        <v>588</v>
      </c>
      <c r="D120" s="1556"/>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551</v>
      </c>
      <c r="H120" s="513"/>
      <c r="I120" s="513"/>
      <c r="J120" s="226" t="str">
        <f>FHD_NOTE_P_78</f>
        <v/>
      </c>
      <c r="K120" s="479"/>
      <c r="AF120" s="1549">
        <v>0</v>
      </c>
    </row>
    <row r="121" spans="1:32" s="2407" customFormat="1" ht="0.75" customHeight="1">
      <c r="A121" s="2727"/>
      <c r="D121" s="484"/>
      <c r="E121" s="936" t="str">
        <f>E120&amp;".0"</f>
        <v>15.0</v>
      </c>
      <c r="F121" s="921"/>
      <c r="G121" s="1569"/>
      <c r="H121" s="916"/>
      <c r="I121" s="916"/>
      <c r="J121" s="920"/>
      <c r="AF121" s="1554">
        <v>0</v>
      </c>
    </row>
    <row r="122" spans="1:32" ht="15" customHeight="1">
      <c r="A122" s="2727"/>
      <c r="D122" s="1551"/>
      <c r="E122" s="506"/>
      <c r="F122" s="1086" t="s">
        <v>577</v>
      </c>
      <c r="G122" s="508"/>
      <c r="H122" s="509"/>
      <c r="I122" s="509"/>
      <c r="J122" s="927" t="s">
        <v>589</v>
      </c>
      <c r="K122" s="479"/>
      <c r="AF122" s="1549">
        <v>0</v>
      </c>
    </row>
    <row r="123" spans="1:32" ht="22.5" customHeight="1">
      <c r="A123" s="2727"/>
      <c r="D123" s="1556"/>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553</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49">
        <v>0</v>
      </c>
    </row>
    <row r="124" spans="1:32" s="2407" customFormat="1" ht="0.75" customHeight="1">
      <c r="A124" s="2727"/>
      <c r="D124" s="484"/>
      <c r="E124" s="936" t="str">
        <f>E123&amp;".0"</f>
        <v>16.0</v>
      </c>
      <c r="F124" s="922"/>
      <c r="G124" s="1569"/>
      <c r="H124" s="916"/>
      <c r="I124" s="916"/>
      <c r="J124" s="920"/>
      <c r="AF124" s="1554">
        <v>0</v>
      </c>
    </row>
    <row r="125" spans="1:32" ht="15" customHeight="1">
      <c r="A125" s="2727"/>
      <c r="D125" s="1551"/>
      <c r="E125" s="506"/>
      <c r="F125" s="1086" t="s">
        <v>577</v>
      </c>
      <c r="G125" s="508"/>
      <c r="H125" s="509"/>
      <c r="I125" s="509"/>
      <c r="J125" s="927" t="s">
        <v>590</v>
      </c>
      <c r="K125" s="479"/>
      <c r="AF125" s="1549">
        <v>0</v>
      </c>
    </row>
    <row r="126" spans="1:32" ht="22.5" customHeight="1">
      <c r="A126" s="2727"/>
      <c r="D126" s="1556"/>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591</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49">
        <v>0</v>
      </c>
    </row>
    <row r="127" spans="1:32" ht="18.75" customHeight="1">
      <c r="A127" s="2727"/>
      <c r="D127" s="1556"/>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592</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49">
        <v>0</v>
      </c>
    </row>
    <row r="128" spans="1:32" ht="18.75" customHeight="1">
      <c r="A128" s="2727"/>
      <c r="C128" s="1554" t="s">
        <v>579</v>
      </c>
      <c r="D128" s="1556"/>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297</v>
      </c>
      <c r="H128" s="337"/>
      <c r="I128" s="337"/>
      <c r="J128" s="226" t="str">
        <f>FHD_NOTE_P_82</f>
        <v>Указывается ссылка на документ, предварительно загруженный в хранилище файлов ФГИС ЕИАС.</v>
      </c>
      <c r="K128" s="479"/>
      <c r="AF128" s="1549">
        <v>0</v>
      </c>
    </row>
    <row r="129" spans="1:32" ht="18.75" customHeight="1">
      <c r="A129" s="2727"/>
      <c r="C129" s="1554" t="s">
        <v>579</v>
      </c>
      <c r="D129" s="1556"/>
      <c r="E129" s="482" t="str">
        <f>FHD_NUM_P_83</f>
        <v>19.1</v>
      </c>
      <c r="F129" s="1442" t="str">
        <f>FHD_P_83</f>
        <v>Информация о показателях физического износа объектов теплоснабжения</v>
      </c>
      <c r="G129" s="1793" t="s">
        <v>297</v>
      </c>
      <c r="H129" s="337"/>
      <c r="I129" s="337"/>
      <c r="J129" s="226" t="str">
        <f>FHD_NOTE_P_83</f>
        <v>Указывается ссылка на документ, предварительно загруженный в хранилище файлов ФГИС ЕИАС.</v>
      </c>
      <c r="K129" s="479"/>
      <c r="AF129" s="1549">
        <v>0</v>
      </c>
    </row>
    <row r="130" spans="1:32" ht="18.75" customHeight="1">
      <c r="A130" s="2727"/>
      <c r="C130" s="1554" t="s">
        <v>579</v>
      </c>
      <c r="D130" s="1556"/>
      <c r="E130" s="482" t="str">
        <f>FHD_NUM_P_84</f>
        <v>19.2</v>
      </c>
      <c r="F130" s="1442" t="str">
        <f>FHD_P_84</f>
        <v>Информация о показателях энергетической эффективности объектов теплоснабжения</v>
      </c>
      <c r="G130" s="1793" t="s">
        <v>297</v>
      </c>
      <c r="H130" s="337"/>
      <c r="I130" s="337"/>
      <c r="J130" s="226" t="str">
        <f>FHD_NOTE_P_84</f>
        <v>Указывается ссылка на документ, предварительно загруженный в хранилище файлов ФГИС ЕИАС.</v>
      </c>
      <c r="K130" s="479"/>
      <c r="AF130" s="1549">
        <v>0</v>
      </c>
    </row>
    <row r="131" spans="1:32" ht="11.45" customHeight="1">
      <c r="D131" s="1556"/>
      <c r="AF131" s="1549">
        <v>11</v>
      </c>
    </row>
    <row r="132" spans="1:32" ht="13.5" customHeight="1">
      <c r="D132" s="1556"/>
      <c r="E132" s="273"/>
      <c r="F132" s="305"/>
      <c r="G132" s="305"/>
      <c r="H132" s="305"/>
      <c r="I132" s="1565"/>
      <c r="J132" s="517"/>
      <c r="AF132" s="1549">
        <v>13</v>
      </c>
    </row>
    <row r="133" spans="1:32" s="2431" customFormat="1" ht="11.45" customHeight="1">
      <c r="A133" s="911"/>
      <c r="B133" s="1554"/>
      <c r="C133" s="1554"/>
      <c r="D133" s="287"/>
      <c r="F133" s="1558"/>
      <c r="G133" s="1549"/>
      <c r="H133" s="1549"/>
      <c r="I133" s="1549"/>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431"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431"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431" customFormat="1" ht="11.45" customHeight="1">
      <c r="A136" s="911"/>
      <c r="B136" s="1554"/>
      <c r="C136" s="1554"/>
      <c r="D136" s="287"/>
      <c r="H136" s="502" t="str">
        <f>IF(H30-H31&lt;&gt;H72,"WARNING","")</f>
        <v/>
      </c>
      <c r="I136" s="502" t="str">
        <f>IF(I30-I31&lt;&gt;I72,"WARNING","")</f>
        <v/>
      </c>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431"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431"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431"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431"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431"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431"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431"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431"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431"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431"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431"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431"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431"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431"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431"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431"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431"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431"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431"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431"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431"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431"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431"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431"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431"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431"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431"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431"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431"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431"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431"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431"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431"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431"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431"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431"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431"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431"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431"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431"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431"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431"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431"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431"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431"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431"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431"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431"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431"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431"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431"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431"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431"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431"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431"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431"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431"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431"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431"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s="2431" customFormat="1" ht="11.45" customHeight="1">
      <c r="A196" s="911"/>
      <c r="B196" s="1554"/>
      <c r="C196" s="1554"/>
      <c r="D196" s="287"/>
      <c r="K196" s="1078"/>
      <c r="L196" s="1554"/>
      <c r="M196" s="1554"/>
      <c r="N196" s="1078"/>
      <c r="O196" s="1078"/>
      <c r="P196" s="1078"/>
      <c r="Q196" s="1078"/>
      <c r="R196" s="1554"/>
      <c r="S196" s="1078"/>
      <c r="T196" s="1078"/>
      <c r="U196" s="480"/>
      <c r="V196" s="1078"/>
      <c r="W196" s="1078"/>
      <c r="X196" s="1078"/>
      <c r="Y196" s="1078"/>
      <c r="Z196" s="1078"/>
      <c r="AA196" s="1550"/>
      <c r="AB196" s="502"/>
      <c r="AC196" s="502"/>
      <c r="AD196" s="502"/>
      <c r="AE196" s="502"/>
      <c r="AF196" s="1559">
        <v>11</v>
      </c>
    </row>
    <row r="197" spans="1:32" s="2431" customFormat="1" ht="11.45" customHeight="1">
      <c r="A197" s="911"/>
      <c r="B197" s="1554"/>
      <c r="C197" s="1554"/>
      <c r="D197" s="287"/>
      <c r="K197" s="1078"/>
      <c r="L197" s="1554"/>
      <c r="M197" s="1554"/>
      <c r="N197" s="1078"/>
      <c r="O197" s="1078"/>
      <c r="P197" s="1078"/>
      <c r="Q197" s="1078"/>
      <c r="R197" s="1554"/>
      <c r="S197" s="1078"/>
      <c r="T197" s="1078"/>
      <c r="U197" s="480"/>
      <c r="V197" s="1078"/>
      <c r="W197" s="1078"/>
      <c r="X197" s="1078"/>
      <c r="Y197" s="1078"/>
      <c r="Z197" s="1078"/>
      <c r="AA197" s="1550"/>
      <c r="AB197" s="502"/>
      <c r="AC197" s="502"/>
      <c r="AD197" s="502"/>
      <c r="AE197" s="502"/>
      <c r="AF197" s="1559">
        <v>11</v>
      </c>
    </row>
    <row r="198" spans="1:32" s="2431" customFormat="1" ht="11.45" customHeight="1">
      <c r="A198" s="911"/>
      <c r="B198" s="1554"/>
      <c r="C198" s="1554"/>
      <c r="D198" s="287"/>
      <c r="K198" s="1078"/>
      <c r="L198" s="1554"/>
      <c r="M198" s="1554"/>
      <c r="N198" s="1078"/>
      <c r="O198" s="1078"/>
      <c r="P198" s="1078"/>
      <c r="Q198" s="1078"/>
      <c r="R198" s="1554"/>
      <c r="S198" s="1078"/>
      <c r="T198" s="1078"/>
      <c r="U198" s="480"/>
      <c r="V198" s="1078"/>
      <c r="W198" s="1078"/>
      <c r="X198" s="1078"/>
      <c r="Y198" s="1078"/>
      <c r="Z198" s="1078"/>
      <c r="AA198" s="1550"/>
      <c r="AB198" s="502"/>
      <c r="AC198" s="502"/>
      <c r="AD198" s="502"/>
      <c r="AE198" s="502"/>
      <c r="AF198" s="1559">
        <v>11</v>
      </c>
    </row>
    <row r="199" spans="1:32" s="2431" customFormat="1" ht="11.45" customHeight="1">
      <c r="A199" s="911"/>
      <c r="B199" s="1554"/>
      <c r="C199" s="1554"/>
      <c r="D199" s="287"/>
      <c r="K199" s="1078"/>
      <c r="L199" s="1554"/>
      <c r="M199" s="1554"/>
      <c r="N199" s="1078"/>
      <c r="O199" s="1078"/>
      <c r="P199" s="1078"/>
      <c r="Q199" s="1078"/>
      <c r="R199" s="1554"/>
      <c r="S199" s="1078"/>
      <c r="T199" s="1078"/>
      <c r="U199" s="480"/>
      <c r="V199" s="1078"/>
      <c r="W199" s="1078"/>
      <c r="X199" s="1078"/>
      <c r="Y199" s="1078"/>
      <c r="Z199" s="1078"/>
      <c r="AA199" s="1550"/>
      <c r="AB199" s="502"/>
      <c r="AC199" s="502"/>
      <c r="AD199" s="502"/>
      <c r="AE199" s="502"/>
      <c r="AF199" s="1559">
        <v>11</v>
      </c>
    </row>
    <row r="200" spans="1:32" s="2431" customFormat="1" ht="11.45" customHeight="1">
      <c r="A200" s="911"/>
      <c r="B200" s="1554"/>
      <c r="C200" s="1554"/>
      <c r="D200" s="287"/>
      <c r="K200" s="1078"/>
      <c r="L200" s="1554"/>
      <c r="M200" s="1554"/>
      <c r="N200" s="1078"/>
      <c r="O200" s="1078"/>
      <c r="P200" s="1078"/>
      <c r="Q200" s="1078"/>
      <c r="R200" s="1554"/>
      <c r="S200" s="1078"/>
      <c r="T200" s="1078"/>
      <c r="U200" s="480"/>
      <c r="V200" s="1078"/>
      <c r="W200" s="1078"/>
      <c r="X200" s="1078"/>
      <c r="Y200" s="1078"/>
      <c r="Z200" s="1078"/>
      <c r="AA200" s="1550"/>
      <c r="AB200" s="502"/>
      <c r="AC200" s="502"/>
      <c r="AD200" s="502"/>
      <c r="AE200" s="502"/>
      <c r="AF200" s="1559">
        <v>11</v>
      </c>
    </row>
    <row r="201" spans="1:32" s="2431" customFormat="1" ht="11.45" customHeight="1">
      <c r="A201" s="911"/>
      <c r="B201" s="1554"/>
      <c r="C201" s="1554"/>
      <c r="D201" s="287"/>
      <c r="K201" s="1078"/>
      <c r="L201" s="1554"/>
      <c r="M201" s="1554"/>
      <c r="N201" s="1078"/>
      <c r="O201" s="1078"/>
      <c r="P201" s="1078"/>
      <c r="Q201" s="1078"/>
      <c r="R201" s="1554"/>
      <c r="S201" s="1078"/>
      <c r="T201" s="1078"/>
      <c r="U201" s="480"/>
      <c r="V201" s="1078"/>
      <c r="W201" s="1078"/>
      <c r="X201" s="1078"/>
      <c r="Y201" s="1078"/>
      <c r="Z201" s="1078"/>
      <c r="AA201" s="1550"/>
      <c r="AB201" s="502"/>
      <c r="AC201" s="502"/>
      <c r="AD201" s="502"/>
      <c r="AE201" s="502"/>
      <c r="AF201" s="1559">
        <v>11</v>
      </c>
    </row>
    <row r="202" spans="1:32" s="2431" customFormat="1" ht="11.45" customHeight="1">
      <c r="A202" s="911"/>
      <c r="B202" s="1554"/>
      <c r="C202" s="1554"/>
      <c r="D202" s="287"/>
      <c r="K202" s="1078"/>
      <c r="L202" s="1554"/>
      <c r="M202" s="1554"/>
      <c r="N202" s="1078"/>
      <c r="O202" s="1078"/>
      <c r="P202" s="1078"/>
      <c r="Q202" s="1078"/>
      <c r="R202" s="1554"/>
      <c r="S202" s="1078"/>
      <c r="T202" s="1078"/>
      <c r="U202" s="480"/>
      <c r="V202" s="1078"/>
      <c r="W202" s="1078"/>
      <c r="X202" s="1078"/>
      <c r="Y202" s="1078"/>
      <c r="Z202" s="1078"/>
      <c r="AA202" s="1550"/>
      <c r="AB202" s="502"/>
      <c r="AC202" s="502"/>
      <c r="AD202" s="502"/>
      <c r="AE202" s="502"/>
      <c r="AF202" s="1559">
        <v>11</v>
      </c>
    </row>
    <row r="203" spans="1:32" s="2431" customFormat="1" ht="11.45" customHeight="1">
      <c r="A203" s="911"/>
      <c r="B203" s="1554"/>
      <c r="C203" s="1554"/>
      <c r="D203" s="287"/>
      <c r="K203" s="1078"/>
      <c r="L203" s="1554"/>
      <c r="M203" s="1554"/>
      <c r="N203" s="1078"/>
      <c r="O203" s="1078"/>
      <c r="P203" s="1078"/>
      <c r="Q203" s="1078"/>
      <c r="R203" s="1554"/>
      <c r="S203" s="1078"/>
      <c r="T203" s="1078"/>
      <c r="U203" s="480"/>
      <c r="V203" s="1078"/>
      <c r="W203" s="1078"/>
      <c r="X203" s="1078"/>
      <c r="Y203" s="1078"/>
      <c r="Z203" s="1078"/>
      <c r="AA203" s="1550"/>
      <c r="AB203" s="502"/>
      <c r="AC203" s="502"/>
      <c r="AD203" s="502"/>
      <c r="AE203" s="502"/>
      <c r="AF203" s="1559">
        <v>11</v>
      </c>
    </row>
    <row r="204" spans="1:32" s="2431" customFormat="1" ht="11.45" customHeight="1">
      <c r="A204" s="911"/>
      <c r="B204" s="1554"/>
      <c r="C204" s="1554"/>
      <c r="D204" s="287"/>
      <c r="K204" s="1078"/>
      <c r="L204" s="1554"/>
      <c r="M204" s="1554"/>
      <c r="N204" s="1078"/>
      <c r="O204" s="1078"/>
      <c r="P204" s="1078"/>
      <c r="Q204" s="1078"/>
      <c r="R204" s="1554"/>
      <c r="S204" s="1078"/>
      <c r="T204" s="1078"/>
      <c r="U204" s="480"/>
      <c r="V204" s="1078"/>
      <c r="W204" s="1078"/>
      <c r="X204" s="1078"/>
      <c r="Y204" s="1078"/>
      <c r="Z204" s="1078"/>
      <c r="AA204" s="1550"/>
      <c r="AB204" s="502"/>
      <c r="AC204" s="502"/>
      <c r="AD204" s="502"/>
      <c r="AE204" s="502"/>
      <c r="AF204" s="1559">
        <v>11</v>
      </c>
    </row>
    <row r="205" spans="1:32" s="2431" customFormat="1" ht="11.45" customHeight="1">
      <c r="A205" s="911"/>
      <c r="B205" s="1554"/>
      <c r="C205" s="1554"/>
      <c r="D205" s="287"/>
      <c r="K205" s="1078"/>
      <c r="L205" s="1554"/>
      <c r="M205" s="1554"/>
      <c r="N205" s="1078"/>
      <c r="O205" s="1078"/>
      <c r="P205" s="1078"/>
      <c r="Q205" s="1078"/>
      <c r="R205" s="1554"/>
      <c r="S205" s="1078"/>
      <c r="T205" s="1078"/>
      <c r="U205" s="480"/>
      <c r="V205" s="1078"/>
      <c r="W205" s="1078"/>
      <c r="X205" s="1078"/>
      <c r="Y205" s="1078"/>
      <c r="Z205" s="1078"/>
      <c r="AA205" s="1550"/>
      <c r="AB205" s="502"/>
      <c r="AC205" s="502"/>
      <c r="AD205" s="502"/>
      <c r="AE205" s="502"/>
      <c r="AF205" s="1559">
        <v>11</v>
      </c>
    </row>
    <row r="206" spans="1:32" s="2431" customFormat="1" ht="11.45" customHeight="1">
      <c r="A206" s="911"/>
      <c r="B206" s="1554"/>
      <c r="C206" s="1554"/>
      <c r="D206" s="287"/>
      <c r="K206" s="1078"/>
      <c r="L206" s="1554"/>
      <c r="M206" s="1554"/>
      <c r="N206" s="1078"/>
      <c r="O206" s="1078"/>
      <c r="P206" s="1078"/>
      <c r="Q206" s="1078"/>
      <c r="R206" s="1554"/>
      <c r="S206" s="1078"/>
      <c r="T206" s="1078"/>
      <c r="U206" s="480"/>
      <c r="V206" s="1078"/>
      <c r="W206" s="1078"/>
      <c r="X206" s="1078"/>
      <c r="Y206" s="1078"/>
      <c r="Z206" s="1078"/>
      <c r="AA206" s="1550"/>
      <c r="AB206" s="502"/>
      <c r="AC206" s="502"/>
      <c r="AD206" s="502"/>
      <c r="AE206" s="502"/>
      <c r="AF206" s="1559">
        <v>11</v>
      </c>
    </row>
    <row r="207" spans="1:32" s="2431" customFormat="1" ht="11.45" customHeight="1">
      <c r="A207" s="911"/>
      <c r="B207" s="1554"/>
      <c r="C207" s="1554"/>
      <c r="D207" s="287"/>
      <c r="K207" s="1078"/>
      <c r="L207" s="1554"/>
      <c r="M207" s="1554"/>
      <c r="N207" s="1078"/>
      <c r="O207" s="1078"/>
      <c r="P207" s="1078"/>
      <c r="Q207" s="1078"/>
      <c r="R207" s="1554"/>
      <c r="S207" s="1078"/>
      <c r="T207" s="1078"/>
      <c r="U207" s="480"/>
      <c r="V207" s="1078"/>
      <c r="W207" s="1078"/>
      <c r="X207" s="1078"/>
      <c r="Y207" s="1078"/>
      <c r="Z207" s="1078"/>
      <c r="AA207" s="1550"/>
      <c r="AB207" s="502"/>
      <c r="AC207" s="502"/>
      <c r="AD207" s="502"/>
      <c r="AE207" s="502"/>
      <c r="AF207" s="1559">
        <v>11</v>
      </c>
    </row>
    <row r="208" spans="1:32" s="2431" customFormat="1" ht="11.45" customHeight="1">
      <c r="A208" s="911"/>
      <c r="B208" s="1554"/>
      <c r="C208" s="1554"/>
      <c r="D208" s="287"/>
      <c r="K208" s="1078"/>
      <c r="L208" s="1554"/>
      <c r="M208" s="1554"/>
      <c r="N208" s="1078"/>
      <c r="O208" s="1078"/>
      <c r="P208" s="1078"/>
      <c r="Q208" s="1078"/>
      <c r="R208" s="1554"/>
      <c r="S208" s="1078"/>
      <c r="T208" s="1078"/>
      <c r="U208" s="480"/>
      <c r="V208" s="1078"/>
      <c r="W208" s="1078"/>
      <c r="X208" s="1078"/>
      <c r="Y208" s="1078"/>
      <c r="Z208" s="1078"/>
      <c r="AA208" s="1550"/>
      <c r="AB208" s="502"/>
      <c r="AC208" s="502"/>
      <c r="AD208" s="502"/>
      <c r="AE208" s="502"/>
      <c r="AF208" s="1559">
        <v>11</v>
      </c>
    </row>
    <row r="209" spans="1:32" s="2431" customFormat="1" ht="11.45" customHeight="1">
      <c r="A209" s="911"/>
      <c r="B209" s="1554"/>
      <c r="C209" s="1554"/>
      <c r="D209" s="287"/>
      <c r="K209" s="1078"/>
      <c r="L209" s="1554"/>
      <c r="M209" s="1554"/>
      <c r="N209" s="1078"/>
      <c r="O209" s="1078"/>
      <c r="P209" s="1078"/>
      <c r="Q209" s="1078"/>
      <c r="R209" s="1554"/>
      <c r="S209" s="1078"/>
      <c r="T209" s="1078"/>
      <c r="U209" s="480"/>
      <c r="V209" s="1078"/>
      <c r="W209" s="1078"/>
      <c r="X209" s="1078"/>
      <c r="Y209" s="1078"/>
      <c r="Z209" s="1078"/>
      <c r="AA209" s="1550"/>
      <c r="AB209" s="502"/>
      <c r="AC209" s="502"/>
      <c r="AD209" s="502"/>
      <c r="AE209" s="502"/>
      <c r="AF209" s="1559">
        <v>11</v>
      </c>
    </row>
    <row r="210" spans="1:32" s="2431" customFormat="1" ht="11.45" customHeight="1">
      <c r="A210" s="911"/>
      <c r="B210" s="1554"/>
      <c r="C210" s="1554"/>
      <c r="D210" s="287"/>
      <c r="K210" s="1078"/>
      <c r="L210" s="1554"/>
      <c r="M210" s="1554"/>
      <c r="N210" s="1078"/>
      <c r="O210" s="1078"/>
      <c r="P210" s="1078"/>
      <c r="Q210" s="1078"/>
      <c r="R210" s="1554"/>
      <c r="S210" s="1078"/>
      <c r="T210" s="1078"/>
      <c r="U210" s="480"/>
      <c r="V210" s="1078"/>
      <c r="W210" s="1078"/>
      <c r="X210" s="1078"/>
      <c r="Y210" s="1078"/>
      <c r="Z210" s="1078"/>
      <c r="AA210" s="1550"/>
      <c r="AB210" s="502"/>
      <c r="AC210" s="502"/>
      <c r="AD210" s="502"/>
      <c r="AE210" s="502"/>
      <c r="AF210" s="1559">
        <v>11</v>
      </c>
    </row>
    <row r="211" spans="1:32" s="2431" customFormat="1" ht="11.45" customHeight="1">
      <c r="A211" s="911"/>
      <c r="B211" s="1554"/>
      <c r="C211" s="1554"/>
      <c r="D211" s="287"/>
      <c r="K211" s="1078"/>
      <c r="L211" s="1554"/>
      <c r="M211" s="1554"/>
      <c r="N211" s="1078"/>
      <c r="O211" s="1078"/>
      <c r="P211" s="1078"/>
      <c r="Q211" s="1078"/>
      <c r="R211" s="1554"/>
      <c r="S211" s="1078"/>
      <c r="T211" s="1078"/>
      <c r="U211" s="480"/>
      <c r="V211" s="1078"/>
      <c r="W211" s="1078"/>
      <c r="X211" s="1078"/>
      <c r="Y211" s="1078"/>
      <c r="Z211" s="1078"/>
      <c r="AA211" s="1550"/>
      <c r="AB211" s="502"/>
      <c r="AC211" s="502"/>
      <c r="AD211" s="502"/>
      <c r="AE211" s="502"/>
      <c r="AF211" s="1559">
        <v>11</v>
      </c>
    </row>
    <row r="212" spans="1:32" s="2431" customFormat="1" ht="11.45" customHeight="1">
      <c r="A212" s="911"/>
      <c r="B212" s="1554"/>
      <c r="C212" s="1554"/>
      <c r="D212" s="287"/>
      <c r="K212" s="1078"/>
      <c r="L212" s="1554"/>
      <c r="M212" s="1554"/>
      <c r="N212" s="1078"/>
      <c r="O212" s="1078"/>
      <c r="P212" s="1078"/>
      <c r="Q212" s="1078"/>
      <c r="R212" s="1554"/>
      <c r="S212" s="1078"/>
      <c r="T212" s="1078"/>
      <c r="U212" s="480"/>
      <c r="V212" s="1078"/>
      <c r="W212" s="1078"/>
      <c r="X212" s="1078"/>
      <c r="Y212" s="1078"/>
      <c r="Z212" s="1078"/>
      <c r="AA212" s="1550"/>
      <c r="AB212" s="502"/>
      <c r="AC212" s="502"/>
      <c r="AD212" s="502"/>
      <c r="AE212" s="502"/>
      <c r="AF212" s="1559">
        <v>11</v>
      </c>
    </row>
    <row r="213" spans="1:32" s="2431" customFormat="1" ht="11.45" customHeight="1">
      <c r="A213" s="911"/>
      <c r="B213" s="1554"/>
      <c r="C213" s="1554"/>
      <c r="D213" s="287"/>
      <c r="K213" s="1078"/>
      <c r="L213" s="1554"/>
      <c r="M213" s="1554"/>
      <c r="N213" s="1078"/>
      <c r="O213" s="1078"/>
      <c r="P213" s="1078"/>
      <c r="Q213" s="1078"/>
      <c r="R213" s="1554"/>
      <c r="S213" s="1078"/>
      <c r="T213" s="1078"/>
      <c r="U213" s="480"/>
      <c r="V213" s="1078"/>
      <c r="W213" s="1078"/>
      <c r="X213" s="1078"/>
      <c r="Y213" s="1078"/>
      <c r="Z213" s="1078"/>
      <c r="AA213" s="1550"/>
      <c r="AB213" s="502"/>
      <c r="AC213" s="502"/>
      <c r="AD213" s="502"/>
      <c r="AE213" s="502"/>
      <c r="AF213" s="1559">
        <v>11</v>
      </c>
    </row>
    <row r="214" spans="1:32" s="2431" customFormat="1" ht="11.45" customHeight="1">
      <c r="A214" s="911"/>
      <c r="B214" s="1554"/>
      <c r="C214" s="1554"/>
      <c r="D214" s="287"/>
      <c r="K214" s="1078"/>
      <c r="L214" s="1554"/>
      <c r="M214" s="1554"/>
      <c r="N214" s="1078"/>
      <c r="O214" s="1078"/>
      <c r="P214" s="1078"/>
      <c r="Q214" s="1078"/>
      <c r="R214" s="1554"/>
      <c r="S214" s="1078"/>
      <c r="T214" s="1078"/>
      <c r="U214" s="480"/>
      <c r="V214" s="1078"/>
      <c r="W214" s="1078"/>
      <c r="X214" s="1078"/>
      <c r="Y214" s="1078"/>
      <c r="Z214" s="1078"/>
      <c r="AA214" s="1550"/>
      <c r="AB214" s="502"/>
      <c r="AC214" s="502"/>
      <c r="AD214" s="502"/>
      <c r="AE214" s="502"/>
      <c r="AF214" s="1559">
        <v>11</v>
      </c>
    </row>
    <row r="215" spans="1:32" s="2431" customFormat="1" ht="11.45" customHeight="1">
      <c r="A215" s="911"/>
      <c r="B215" s="1554"/>
      <c r="C215" s="1554"/>
      <c r="D215" s="287"/>
      <c r="K215" s="1078"/>
      <c r="L215" s="1554"/>
      <c r="M215" s="1554"/>
      <c r="N215" s="1078"/>
      <c r="O215" s="1078"/>
      <c r="P215" s="1078"/>
      <c r="Q215" s="1078"/>
      <c r="R215" s="1554"/>
      <c r="S215" s="1078"/>
      <c r="T215" s="1078"/>
      <c r="U215" s="480"/>
      <c r="V215" s="1078"/>
      <c r="W215" s="1078"/>
      <c r="X215" s="1078"/>
      <c r="Y215" s="1078"/>
      <c r="Z215" s="1078"/>
      <c r="AA215" s="1550"/>
      <c r="AB215" s="502"/>
      <c r="AC215" s="502"/>
      <c r="AD215" s="502"/>
      <c r="AE215" s="502"/>
      <c r="AF215" s="1559">
        <v>11</v>
      </c>
    </row>
    <row r="216" spans="1:32" s="2431" customFormat="1" ht="11.45" customHeight="1">
      <c r="A216" s="911"/>
      <c r="B216" s="1554"/>
      <c r="C216" s="1554"/>
      <c r="D216" s="287"/>
      <c r="K216" s="1078"/>
      <c r="L216" s="1554"/>
      <c r="M216" s="1554"/>
      <c r="N216" s="1078"/>
      <c r="O216" s="1078"/>
      <c r="P216" s="1078"/>
      <c r="Q216" s="1078"/>
      <c r="R216" s="1554"/>
      <c r="S216" s="1078"/>
      <c r="T216" s="1078"/>
      <c r="U216" s="480"/>
      <c r="V216" s="1078"/>
      <c r="W216" s="1078"/>
      <c r="X216" s="1078"/>
      <c r="Y216" s="1078"/>
      <c r="Z216" s="1078"/>
      <c r="AA216" s="1550"/>
      <c r="AB216" s="502"/>
      <c r="AC216" s="502"/>
      <c r="AD216" s="502"/>
      <c r="AE216" s="502"/>
      <c r="AF216" s="1559">
        <v>11</v>
      </c>
    </row>
    <row r="217" spans="1:32" s="2431" customFormat="1" ht="11.45" customHeight="1">
      <c r="A217" s="911"/>
      <c r="B217" s="1554"/>
      <c r="C217" s="1554"/>
      <c r="D217" s="287"/>
      <c r="K217" s="1078"/>
      <c r="L217" s="1554"/>
      <c r="M217" s="1554"/>
      <c r="N217" s="1078"/>
      <c r="O217" s="1078"/>
      <c r="P217" s="1078"/>
      <c r="Q217" s="1078"/>
      <c r="R217" s="1554"/>
      <c r="S217" s="1078"/>
      <c r="T217" s="1078"/>
      <c r="U217" s="480"/>
      <c r="V217" s="1078"/>
      <c r="W217" s="1078"/>
      <c r="X217" s="1078"/>
      <c r="Y217" s="1078"/>
      <c r="Z217" s="1078"/>
      <c r="AA217" s="1550"/>
      <c r="AB217" s="502"/>
      <c r="AC217" s="502"/>
      <c r="AD217" s="502"/>
      <c r="AE217" s="502"/>
      <c r="AF217" s="1559">
        <v>11</v>
      </c>
    </row>
    <row r="218" spans="1:32" s="2431" customFormat="1" ht="11.45" customHeight="1">
      <c r="A218" s="911"/>
      <c r="B218" s="1554"/>
      <c r="C218" s="1554"/>
      <c r="D218" s="287"/>
      <c r="K218" s="1078"/>
      <c r="L218" s="1554"/>
      <c r="M218" s="1554"/>
      <c r="N218" s="1078"/>
      <c r="O218" s="1078"/>
      <c r="P218" s="1078"/>
      <c r="Q218" s="1078"/>
      <c r="R218" s="1554"/>
      <c r="S218" s="1078"/>
      <c r="T218" s="1078"/>
      <c r="U218" s="480"/>
      <c r="V218" s="1078"/>
      <c r="W218" s="1078"/>
      <c r="X218" s="1078"/>
      <c r="Y218" s="1078"/>
      <c r="Z218" s="1078"/>
      <c r="AA218" s="1550"/>
      <c r="AB218" s="502"/>
      <c r="AC218" s="502"/>
      <c r="AD218" s="502"/>
      <c r="AE218" s="502"/>
      <c r="AF218" s="1559">
        <v>11</v>
      </c>
    </row>
    <row r="219" spans="1:32" s="2431" customFormat="1" ht="11.45" customHeight="1">
      <c r="A219" s="911"/>
      <c r="B219" s="1554"/>
      <c r="C219" s="1554"/>
      <c r="D219" s="287"/>
      <c r="K219" s="1078"/>
      <c r="L219" s="1554"/>
      <c r="M219" s="1554"/>
      <c r="N219" s="1078"/>
      <c r="O219" s="1078"/>
      <c r="P219" s="1078"/>
      <c r="Q219" s="1078"/>
      <c r="R219" s="1554"/>
      <c r="S219" s="1078"/>
      <c r="T219" s="1078"/>
      <c r="U219" s="480"/>
      <c r="V219" s="1078"/>
      <c r="W219" s="1078"/>
      <c r="X219" s="1078"/>
      <c r="Y219" s="1078"/>
      <c r="Z219" s="1078"/>
      <c r="AA219" s="1550"/>
      <c r="AB219" s="502"/>
      <c r="AC219" s="502"/>
      <c r="AD219" s="502"/>
      <c r="AE219" s="502"/>
      <c r="AF219" s="1559">
        <v>11</v>
      </c>
    </row>
    <row r="220" spans="1:32" s="2431" customFormat="1" ht="11.45" customHeight="1">
      <c r="A220" s="911"/>
      <c r="B220" s="1554"/>
      <c r="C220" s="1554"/>
      <c r="D220" s="287"/>
      <c r="K220" s="1078"/>
      <c r="L220" s="1554"/>
      <c r="M220" s="1554"/>
      <c r="N220" s="1078"/>
      <c r="O220" s="1078"/>
      <c r="P220" s="1078"/>
      <c r="Q220" s="1078"/>
      <c r="R220" s="1554"/>
      <c r="S220" s="1078"/>
      <c r="T220" s="1078"/>
      <c r="U220" s="480"/>
      <c r="V220" s="1078"/>
      <c r="W220" s="1078"/>
      <c r="X220" s="1078"/>
      <c r="Y220" s="1078"/>
      <c r="Z220" s="1078"/>
      <c r="AA220" s="1550"/>
      <c r="AB220" s="502"/>
      <c r="AC220" s="502"/>
      <c r="AD220" s="502"/>
      <c r="AE220" s="502"/>
      <c r="AF220" s="1559">
        <v>11</v>
      </c>
    </row>
    <row r="221" spans="1:32" s="2431" customFormat="1" ht="11.45" customHeight="1">
      <c r="A221" s="911"/>
      <c r="B221" s="1554"/>
      <c r="C221" s="1554"/>
      <c r="D221" s="287"/>
      <c r="K221" s="1078"/>
      <c r="L221" s="1554"/>
      <c r="M221" s="1554"/>
      <c r="N221" s="1078"/>
      <c r="O221" s="1078"/>
      <c r="P221" s="1078"/>
      <c r="Q221" s="1078"/>
      <c r="R221" s="1554"/>
      <c r="S221" s="1078"/>
      <c r="T221" s="1078"/>
      <c r="U221" s="480"/>
      <c r="V221" s="1078"/>
      <c r="W221" s="1078"/>
      <c r="X221" s="1078"/>
      <c r="Y221" s="1078"/>
      <c r="Z221" s="1078"/>
      <c r="AA221" s="1550"/>
      <c r="AB221" s="502"/>
      <c r="AC221" s="502"/>
      <c r="AD221" s="502"/>
      <c r="AE221" s="502"/>
      <c r="AF221" s="1559">
        <v>11</v>
      </c>
    </row>
    <row r="222" spans="1:32" s="2431" customFormat="1" ht="11.45" customHeight="1">
      <c r="A222" s="911"/>
      <c r="B222" s="1554"/>
      <c r="C222" s="1554"/>
      <c r="D222" s="287"/>
      <c r="K222" s="1078"/>
      <c r="L222" s="1554"/>
      <c r="M222" s="1554"/>
      <c r="N222" s="1078"/>
      <c r="O222" s="1078"/>
      <c r="P222" s="1078"/>
      <c r="Q222" s="1078"/>
      <c r="R222" s="1554"/>
      <c r="S222" s="1078"/>
      <c r="T222" s="1078"/>
      <c r="U222" s="480"/>
      <c r="V222" s="1078"/>
      <c r="W222" s="1078"/>
      <c r="X222" s="1078"/>
      <c r="Y222" s="1078"/>
      <c r="Z222" s="1078"/>
      <c r="AA222" s="1550"/>
      <c r="AB222" s="502"/>
      <c r="AC222" s="502"/>
      <c r="AD222" s="502"/>
      <c r="AE222" s="502"/>
      <c r="AF222" s="1559">
        <v>11</v>
      </c>
    </row>
    <row r="223" spans="1:32" s="2431" customFormat="1" ht="11.45" customHeight="1">
      <c r="A223" s="911"/>
      <c r="B223" s="1554"/>
      <c r="C223" s="1554"/>
      <c r="D223" s="287"/>
      <c r="K223" s="1078"/>
      <c r="L223" s="1554"/>
      <c r="M223" s="1554"/>
      <c r="N223" s="1078"/>
      <c r="O223" s="1078"/>
      <c r="P223" s="1078"/>
      <c r="Q223" s="1078"/>
      <c r="R223" s="1554"/>
      <c r="S223" s="1078"/>
      <c r="T223" s="1078"/>
      <c r="U223" s="480"/>
      <c r="V223" s="1078"/>
      <c r="W223" s="1078"/>
      <c r="X223" s="1078"/>
      <c r="Y223" s="1078"/>
      <c r="Z223" s="1078"/>
      <c r="AA223" s="1550"/>
      <c r="AB223" s="502"/>
      <c r="AC223" s="502"/>
      <c r="AD223" s="502"/>
      <c r="AE223" s="502"/>
      <c r="AF223" s="1559">
        <v>11</v>
      </c>
    </row>
    <row r="224" spans="1:32" s="2431" customFormat="1" ht="11.45" customHeight="1">
      <c r="A224" s="911"/>
      <c r="B224" s="1554"/>
      <c r="C224" s="1554"/>
      <c r="D224" s="287"/>
      <c r="K224" s="1078"/>
      <c r="L224" s="1554"/>
      <c r="M224" s="1554"/>
      <c r="N224" s="1078"/>
      <c r="O224" s="1078"/>
      <c r="P224" s="1078"/>
      <c r="Q224" s="1078"/>
      <c r="R224" s="1554"/>
      <c r="S224" s="1078"/>
      <c r="T224" s="1078"/>
      <c r="U224" s="480"/>
      <c r="V224" s="1078"/>
      <c r="W224" s="1078"/>
      <c r="X224" s="1078"/>
      <c r="Y224" s="1078"/>
      <c r="Z224" s="1078"/>
      <c r="AA224" s="1550"/>
      <c r="AB224" s="502"/>
      <c r="AC224" s="502"/>
      <c r="AD224" s="502"/>
      <c r="AE224" s="502"/>
      <c r="AF224" s="1559">
        <v>11</v>
      </c>
    </row>
    <row r="225" spans="1:32" s="2431" customFormat="1" ht="11.45" customHeight="1">
      <c r="A225" s="911"/>
      <c r="B225" s="1554"/>
      <c r="C225" s="1554"/>
      <c r="D225" s="287"/>
      <c r="K225" s="1078"/>
      <c r="L225" s="1554"/>
      <c r="M225" s="1554"/>
      <c r="N225" s="1078"/>
      <c r="O225" s="1078"/>
      <c r="P225" s="1078"/>
      <c r="Q225" s="1078"/>
      <c r="R225" s="1554"/>
      <c r="S225" s="1078"/>
      <c r="T225" s="1078"/>
      <c r="U225" s="480"/>
      <c r="V225" s="1078"/>
      <c r="W225" s="1078"/>
      <c r="X225" s="1078"/>
      <c r="Y225" s="1078"/>
      <c r="Z225" s="1078"/>
      <c r="AA225" s="1550"/>
      <c r="AB225" s="502"/>
      <c r="AC225" s="502"/>
      <c r="AD225" s="502"/>
      <c r="AE225" s="502"/>
      <c r="AF225" s="1559">
        <v>11</v>
      </c>
    </row>
    <row r="226" spans="1:32" s="2431" customFormat="1" ht="11.45" customHeight="1">
      <c r="A226" s="911"/>
      <c r="B226" s="1554"/>
      <c r="C226" s="1554"/>
      <c r="D226" s="287"/>
      <c r="K226" s="1078"/>
      <c r="L226" s="1554"/>
      <c r="M226" s="1554"/>
      <c r="N226" s="1078"/>
      <c r="O226" s="1078"/>
      <c r="P226" s="1078"/>
      <c r="Q226" s="1078"/>
      <c r="R226" s="1554"/>
      <c r="S226" s="1078"/>
      <c r="T226" s="1078"/>
      <c r="U226" s="480"/>
      <c r="V226" s="1078"/>
      <c r="W226" s="1078"/>
      <c r="X226" s="1078"/>
      <c r="Y226" s="1078"/>
      <c r="Z226" s="1078"/>
      <c r="AA226" s="1550"/>
      <c r="AB226" s="502"/>
      <c r="AC226" s="502"/>
      <c r="AD226" s="502"/>
      <c r="AE226" s="502"/>
      <c r="AF226" s="1559">
        <v>11</v>
      </c>
    </row>
    <row r="227" spans="1:32" s="2431" customFormat="1" ht="11.45" customHeight="1">
      <c r="A227" s="911"/>
      <c r="B227" s="1554"/>
      <c r="C227" s="1554"/>
      <c r="D227" s="287"/>
      <c r="K227" s="1078"/>
      <c r="L227" s="1554"/>
      <c r="M227" s="1554"/>
      <c r="N227" s="1078"/>
      <c r="O227" s="1078"/>
      <c r="P227" s="1078"/>
      <c r="Q227" s="1078"/>
      <c r="R227" s="1554"/>
      <c r="S227" s="1078"/>
      <c r="T227" s="1078"/>
      <c r="U227" s="480"/>
      <c r="V227" s="1078"/>
      <c r="W227" s="1078"/>
      <c r="X227" s="1078"/>
      <c r="Y227" s="1078"/>
      <c r="Z227" s="1078"/>
      <c r="AA227" s="1550"/>
      <c r="AB227" s="502"/>
      <c r="AC227" s="502"/>
      <c r="AD227" s="502"/>
      <c r="AE227" s="502"/>
      <c r="AF227" s="1559">
        <v>11</v>
      </c>
    </row>
    <row r="228" spans="1:32" s="2431" customFormat="1" ht="11.45" customHeight="1">
      <c r="A228" s="911"/>
      <c r="B228" s="1554"/>
      <c r="C228" s="1554"/>
      <c r="D228" s="287"/>
      <c r="K228" s="1078"/>
      <c r="L228" s="1554"/>
      <c r="M228" s="1554"/>
      <c r="N228" s="1078"/>
      <c r="O228" s="1078"/>
      <c r="P228" s="1078"/>
      <c r="Q228" s="1078"/>
      <c r="R228" s="1554"/>
      <c r="S228" s="1078"/>
      <c r="T228" s="1078"/>
      <c r="U228" s="480"/>
      <c r="V228" s="1078"/>
      <c r="W228" s="1078"/>
      <c r="X228" s="1078"/>
      <c r="Y228" s="1078"/>
      <c r="Z228" s="1078"/>
      <c r="AA228" s="1550"/>
      <c r="AB228" s="502"/>
      <c r="AC228" s="502"/>
      <c r="AD228" s="502"/>
      <c r="AE228" s="502"/>
      <c r="AF228" s="1559">
        <v>11</v>
      </c>
    </row>
    <row r="229" spans="1:32" s="2431" customFormat="1" ht="11.45" customHeight="1">
      <c r="A229" s="911"/>
      <c r="B229" s="1554"/>
      <c r="C229" s="1554"/>
      <c r="D229" s="287"/>
      <c r="K229" s="1078"/>
      <c r="L229" s="1554"/>
      <c r="M229" s="1554"/>
      <c r="N229" s="1078"/>
      <c r="O229" s="1078"/>
      <c r="P229" s="1078"/>
      <c r="Q229" s="1078"/>
      <c r="R229" s="1554"/>
      <c r="S229" s="1078"/>
      <c r="T229" s="1078"/>
      <c r="U229" s="480"/>
      <c r="V229" s="1078"/>
      <c r="W229" s="1078"/>
      <c r="X229" s="1078"/>
      <c r="Y229" s="1078"/>
      <c r="Z229" s="1078"/>
      <c r="AA229" s="1550"/>
      <c r="AB229" s="502"/>
      <c r="AC229" s="502"/>
      <c r="AD229" s="502"/>
      <c r="AE229" s="502"/>
      <c r="AF229" s="1559">
        <v>11</v>
      </c>
    </row>
    <row r="230" spans="1:32" s="2431" customFormat="1" ht="11.45" customHeight="1">
      <c r="A230" s="911"/>
      <c r="B230" s="1554"/>
      <c r="C230" s="1554"/>
      <c r="D230" s="287"/>
      <c r="K230" s="1078"/>
      <c r="L230" s="1554"/>
      <c r="M230" s="1554"/>
      <c r="N230" s="1078"/>
      <c r="O230" s="1078"/>
      <c r="P230" s="1078"/>
      <c r="Q230" s="1078"/>
      <c r="R230" s="1554"/>
      <c r="S230" s="1078"/>
      <c r="T230" s="1078"/>
      <c r="U230" s="480"/>
      <c r="V230" s="1078"/>
      <c r="W230" s="1078"/>
      <c r="X230" s="1078"/>
      <c r="Y230" s="1078"/>
      <c r="Z230" s="1078"/>
      <c r="AA230" s="1550"/>
      <c r="AB230" s="502"/>
      <c r="AC230" s="502"/>
      <c r="AD230" s="502"/>
      <c r="AE230" s="502"/>
      <c r="AF230" s="1559">
        <v>11</v>
      </c>
    </row>
    <row r="231" spans="1:32" s="2431" customFormat="1" ht="11.45" customHeight="1">
      <c r="A231" s="911"/>
      <c r="B231" s="1554"/>
      <c r="C231" s="1554"/>
      <c r="D231" s="287"/>
      <c r="K231" s="1078"/>
      <c r="L231" s="1554"/>
      <c r="M231" s="1554"/>
      <c r="N231" s="1078"/>
      <c r="O231" s="1078"/>
      <c r="P231" s="1078"/>
      <c r="Q231" s="1078"/>
      <c r="R231" s="1554"/>
      <c r="S231" s="1078"/>
      <c r="T231" s="1078"/>
      <c r="U231" s="480"/>
      <c r="V231" s="1078"/>
      <c r="W231" s="1078"/>
      <c r="X231" s="1078"/>
      <c r="Y231" s="1078"/>
      <c r="Z231" s="1078"/>
      <c r="AA231" s="1550"/>
      <c r="AB231" s="502"/>
      <c r="AC231" s="502"/>
      <c r="AD231" s="502"/>
      <c r="AE231" s="502"/>
      <c r="AF231" s="1559">
        <v>11</v>
      </c>
    </row>
    <row r="232" spans="1:32" s="2431" customFormat="1" ht="11.45" customHeight="1">
      <c r="A232" s="911"/>
      <c r="B232" s="1554"/>
      <c r="C232" s="1554"/>
      <c r="D232" s="287"/>
      <c r="K232" s="1078"/>
      <c r="L232" s="1554"/>
      <c r="M232" s="1554"/>
      <c r="N232" s="1078"/>
      <c r="O232" s="1078"/>
      <c r="P232" s="1078"/>
      <c r="Q232" s="1078"/>
      <c r="R232" s="1554"/>
      <c r="S232" s="1078"/>
      <c r="T232" s="1078"/>
      <c r="U232" s="480"/>
      <c r="V232" s="1078"/>
      <c r="W232" s="1078"/>
      <c r="X232" s="1078"/>
      <c r="Y232" s="1078"/>
      <c r="Z232" s="1078"/>
      <c r="AA232" s="1550"/>
      <c r="AB232" s="502"/>
      <c r="AC232" s="502"/>
      <c r="AD232" s="502"/>
      <c r="AE232" s="502"/>
      <c r="AF232" s="1559">
        <v>11</v>
      </c>
    </row>
    <row r="233" spans="1:32" s="2431" customFormat="1" ht="11.45" customHeight="1">
      <c r="A233" s="911"/>
      <c r="B233" s="1554"/>
      <c r="C233" s="1554"/>
      <c r="D233" s="287"/>
      <c r="K233" s="1078"/>
      <c r="L233" s="1554"/>
      <c r="M233" s="1554"/>
      <c r="N233" s="1078"/>
      <c r="O233" s="1078"/>
      <c r="P233" s="1078"/>
      <c r="Q233" s="1078"/>
      <c r="R233" s="1554"/>
      <c r="S233" s="1078"/>
      <c r="T233" s="1078"/>
      <c r="U233" s="480"/>
      <c r="V233" s="1078"/>
      <c r="W233" s="1078"/>
      <c r="X233" s="1078"/>
      <c r="Y233" s="1078"/>
      <c r="Z233" s="1078"/>
      <c r="AA233" s="1550"/>
      <c r="AB233" s="502"/>
      <c r="AC233" s="502"/>
      <c r="AD233" s="502"/>
      <c r="AE233" s="502"/>
      <c r="AF233" s="1559">
        <v>11</v>
      </c>
    </row>
    <row r="234" spans="1:32" s="2431" customFormat="1" ht="11.45" customHeight="1">
      <c r="A234" s="911"/>
      <c r="B234" s="1554"/>
      <c r="C234" s="1554"/>
      <c r="D234" s="287"/>
      <c r="K234" s="1078"/>
      <c r="L234" s="1554"/>
      <c r="M234" s="1554"/>
      <c r="N234" s="1078"/>
      <c r="O234" s="1078"/>
      <c r="P234" s="1078"/>
      <c r="Q234" s="1078"/>
      <c r="R234" s="1554"/>
      <c r="S234" s="1078"/>
      <c r="T234" s="1078"/>
      <c r="U234" s="480"/>
      <c r="V234" s="1078"/>
      <c r="W234" s="1078"/>
      <c r="X234" s="1078"/>
      <c r="Y234" s="1078"/>
      <c r="Z234" s="1078"/>
      <c r="AA234" s="1550"/>
      <c r="AB234" s="502"/>
      <c r="AC234" s="502"/>
      <c r="AD234" s="502"/>
      <c r="AE234" s="502"/>
      <c r="AF234" s="1559">
        <v>11</v>
      </c>
    </row>
    <row r="235" spans="1:32" s="2431" customFormat="1" ht="11.45" customHeight="1">
      <c r="A235" s="911"/>
      <c r="B235" s="1554"/>
      <c r="C235" s="1554"/>
      <c r="D235" s="287"/>
      <c r="K235" s="1078"/>
      <c r="L235" s="1554"/>
      <c r="M235" s="1554"/>
      <c r="N235" s="1078"/>
      <c r="O235" s="1078"/>
      <c r="P235" s="1078"/>
      <c r="Q235" s="1078"/>
      <c r="R235" s="1554"/>
      <c r="S235" s="1078"/>
      <c r="T235" s="1078"/>
      <c r="U235" s="480"/>
      <c r="V235" s="1078"/>
      <c r="W235" s="1078"/>
      <c r="X235" s="1078"/>
      <c r="Y235" s="1078"/>
      <c r="Z235" s="1078"/>
      <c r="AA235" s="1550"/>
      <c r="AB235" s="502"/>
      <c r="AC235" s="502"/>
      <c r="AD235" s="502"/>
      <c r="AE235" s="502"/>
      <c r="AF235" s="1559">
        <v>11</v>
      </c>
    </row>
    <row r="236" spans="1:32" s="2431" customFormat="1" ht="11.45" customHeight="1">
      <c r="A236" s="911"/>
      <c r="B236" s="1554"/>
      <c r="C236" s="1554"/>
      <c r="D236" s="287"/>
      <c r="K236" s="1078"/>
      <c r="L236" s="1554"/>
      <c r="M236" s="1554"/>
      <c r="N236" s="1078"/>
      <c r="O236" s="1078"/>
      <c r="P236" s="1078"/>
      <c r="Q236" s="1078"/>
      <c r="R236" s="1554"/>
      <c r="S236" s="1078"/>
      <c r="T236" s="1078"/>
      <c r="U236" s="480"/>
      <c r="V236" s="1078"/>
      <c r="W236" s="1078"/>
      <c r="X236" s="1078"/>
      <c r="Y236" s="1078"/>
      <c r="Z236" s="1078"/>
      <c r="AA236" s="1550"/>
      <c r="AB236" s="502"/>
      <c r="AC236" s="502"/>
      <c r="AD236" s="502"/>
      <c r="AE236" s="502"/>
      <c r="AF236" s="1559">
        <v>11</v>
      </c>
    </row>
    <row r="237" spans="1:32" s="2431" customFormat="1" ht="11.45" customHeight="1">
      <c r="A237" s="911"/>
      <c r="B237" s="1554"/>
      <c r="C237" s="1554"/>
      <c r="D237" s="287"/>
      <c r="K237" s="1078"/>
      <c r="L237" s="1554"/>
      <c r="M237" s="1554"/>
      <c r="N237" s="1078"/>
      <c r="O237" s="1078"/>
      <c r="P237" s="1078"/>
      <c r="Q237" s="1078"/>
      <c r="R237" s="1554"/>
      <c r="S237" s="1078"/>
      <c r="T237" s="1078"/>
      <c r="U237" s="480"/>
      <c r="V237" s="1078"/>
      <c r="W237" s="1078"/>
      <c r="X237" s="1078"/>
      <c r="Y237" s="1078"/>
      <c r="Z237" s="1078"/>
      <c r="AA237" s="1550"/>
      <c r="AB237" s="502"/>
      <c r="AC237" s="502"/>
      <c r="AD237" s="502"/>
      <c r="AE237" s="502"/>
      <c r="AF237" s="1559">
        <v>11</v>
      </c>
    </row>
    <row r="238" spans="1:32" s="2431" customFormat="1" ht="11.45" customHeight="1">
      <c r="A238" s="911"/>
      <c r="B238" s="1554"/>
      <c r="C238" s="1554"/>
      <c r="D238" s="287"/>
      <c r="K238" s="1078"/>
      <c r="L238" s="1554"/>
      <c r="M238" s="1554"/>
      <c r="N238" s="1078"/>
      <c r="O238" s="1078"/>
      <c r="P238" s="1078"/>
      <c r="Q238" s="1078"/>
      <c r="R238" s="1554"/>
      <c r="S238" s="1078"/>
      <c r="T238" s="1078"/>
      <c r="U238" s="480"/>
      <c r="V238" s="1078"/>
      <c r="W238" s="1078"/>
      <c r="X238" s="1078"/>
      <c r="Y238" s="1078"/>
      <c r="Z238" s="1078"/>
      <c r="AA238" s="1550"/>
      <c r="AB238" s="502"/>
      <c r="AC238" s="502"/>
      <c r="AD238" s="502"/>
      <c r="AE238" s="502"/>
      <c r="AF238" s="1559">
        <v>11</v>
      </c>
    </row>
    <row r="239" spans="1:32" s="2431" customFormat="1" ht="11.45" customHeight="1">
      <c r="A239" s="911"/>
      <c r="B239" s="1554"/>
      <c r="C239" s="1554"/>
      <c r="D239" s="287"/>
      <c r="K239" s="1078"/>
      <c r="L239" s="1554"/>
      <c r="M239" s="1554"/>
      <c r="N239" s="1078"/>
      <c r="O239" s="1078"/>
      <c r="P239" s="1078"/>
      <c r="Q239" s="1078"/>
      <c r="R239" s="1554"/>
      <c r="S239" s="1078"/>
      <c r="T239" s="1078"/>
      <c r="U239" s="480"/>
      <c r="V239" s="1078"/>
      <c r="W239" s="1078"/>
      <c r="X239" s="1078"/>
      <c r="Y239" s="1078"/>
      <c r="Z239" s="1078"/>
      <c r="AA239" s="1550"/>
      <c r="AB239" s="502"/>
      <c r="AC239" s="502"/>
      <c r="AD239" s="502"/>
      <c r="AE239" s="502"/>
      <c r="AF239" s="1559">
        <v>11</v>
      </c>
    </row>
    <row r="240" spans="1:32" s="2431" customFormat="1" ht="11.45" customHeight="1">
      <c r="A240" s="911"/>
      <c r="B240" s="1554"/>
      <c r="C240" s="1554"/>
      <c r="D240" s="287"/>
      <c r="K240" s="1078"/>
      <c r="L240" s="1554"/>
      <c r="M240" s="1554"/>
      <c r="N240" s="1078"/>
      <c r="O240" s="1078"/>
      <c r="P240" s="1078"/>
      <c r="Q240" s="1078"/>
      <c r="R240" s="1554"/>
      <c r="S240" s="1078"/>
      <c r="T240" s="1078"/>
      <c r="U240" s="480"/>
      <c r="V240" s="1078"/>
      <c r="W240" s="1078"/>
      <c r="X240" s="1078"/>
      <c r="Y240" s="1078"/>
      <c r="Z240" s="1078"/>
      <c r="AA240" s="1550"/>
      <c r="AB240" s="502"/>
      <c r="AC240" s="502"/>
      <c r="AD240" s="502"/>
      <c r="AE240" s="502"/>
      <c r="AF240" s="1559">
        <v>11</v>
      </c>
    </row>
    <row r="241" spans="1:32" s="2431" customFormat="1" ht="11.45" customHeight="1">
      <c r="A241" s="911"/>
      <c r="B241" s="1554"/>
      <c r="C241" s="1554"/>
      <c r="D241" s="287"/>
      <c r="K241" s="1078"/>
      <c r="L241" s="1554"/>
      <c r="M241" s="1554"/>
      <c r="N241" s="1078"/>
      <c r="O241" s="1078"/>
      <c r="P241" s="1078"/>
      <c r="Q241" s="1078"/>
      <c r="R241" s="1554"/>
      <c r="S241" s="1078"/>
      <c r="T241" s="1078"/>
      <c r="U241" s="480"/>
      <c r="V241" s="1078"/>
      <c r="W241" s="1078"/>
      <c r="X241" s="1078"/>
      <c r="Y241" s="1078"/>
      <c r="Z241" s="1078"/>
      <c r="AA241" s="1550"/>
      <c r="AB241" s="502"/>
      <c r="AC241" s="502"/>
      <c r="AD241" s="502"/>
      <c r="AE241" s="502"/>
      <c r="AF241" s="1559">
        <v>11</v>
      </c>
    </row>
    <row r="242" spans="1:32" s="2431" customFormat="1" ht="11.45" customHeight="1">
      <c r="A242" s="911"/>
      <c r="B242" s="1554"/>
      <c r="C242" s="1554"/>
      <c r="D242" s="287"/>
      <c r="K242" s="1078"/>
      <c r="L242" s="1554"/>
      <c r="M242" s="1554"/>
      <c r="N242" s="1078"/>
      <c r="O242" s="1078"/>
      <c r="P242" s="1078"/>
      <c r="Q242" s="1078"/>
      <c r="R242" s="1554"/>
      <c r="S242" s="1078"/>
      <c r="T242" s="1078"/>
      <c r="U242" s="480"/>
      <c r="V242" s="1078"/>
      <c r="W242" s="1078"/>
      <c r="X242" s="1078"/>
      <c r="Y242" s="1078"/>
      <c r="Z242" s="1078"/>
      <c r="AA242" s="1550"/>
      <c r="AB242" s="502"/>
      <c r="AC242" s="502"/>
      <c r="AD242" s="502"/>
      <c r="AE242" s="502"/>
      <c r="AF242" s="1559">
        <v>11</v>
      </c>
    </row>
    <row r="243" spans="1:32" s="2431" customFormat="1" ht="11.45" customHeight="1">
      <c r="A243" s="911"/>
      <c r="B243" s="1554"/>
      <c r="C243" s="1554"/>
      <c r="D243" s="287"/>
      <c r="K243" s="1078"/>
      <c r="L243" s="1554"/>
      <c r="M243" s="1554"/>
      <c r="N243" s="1078"/>
      <c r="O243" s="1078"/>
      <c r="P243" s="1078"/>
      <c r="Q243" s="1078"/>
      <c r="R243" s="1554"/>
      <c r="S243" s="1078"/>
      <c r="T243" s="1078"/>
      <c r="U243" s="480"/>
      <c r="V243" s="1078"/>
      <c r="W243" s="1078"/>
      <c r="X243" s="1078"/>
      <c r="Y243" s="1078"/>
      <c r="Z243" s="1078"/>
      <c r="AA243" s="1550"/>
      <c r="AB243" s="502"/>
      <c r="AC243" s="502"/>
      <c r="AD243" s="502"/>
      <c r="AE243" s="502"/>
      <c r="AF243" s="1559">
        <v>11</v>
      </c>
    </row>
    <row r="244" spans="1:32" s="2431" customFormat="1" ht="11.45" customHeight="1">
      <c r="A244" s="911"/>
      <c r="B244" s="1554"/>
      <c r="C244" s="1554"/>
      <c r="D244" s="287"/>
      <c r="K244" s="1078"/>
      <c r="L244" s="1554"/>
      <c r="M244" s="1554"/>
      <c r="N244" s="1078"/>
      <c r="O244" s="1078"/>
      <c r="P244" s="1078"/>
      <c r="Q244" s="1078"/>
      <c r="R244" s="1554"/>
      <c r="S244" s="1078"/>
      <c r="T244" s="1078"/>
      <c r="U244" s="480"/>
      <c r="V244" s="1078"/>
      <c r="W244" s="1078"/>
      <c r="X244" s="1078"/>
      <c r="Y244" s="1078"/>
      <c r="Z244" s="1078"/>
      <c r="AA244" s="1550"/>
      <c r="AB244" s="502"/>
      <c r="AC244" s="502"/>
      <c r="AD244" s="502"/>
      <c r="AE244" s="502"/>
      <c r="AF244" s="1559">
        <v>11</v>
      </c>
    </row>
    <row r="245" spans="1:32" s="2431" customFormat="1" ht="11.45" customHeight="1">
      <c r="A245" s="911"/>
      <c r="B245" s="1554"/>
      <c r="C245" s="1554"/>
      <c r="D245" s="287"/>
      <c r="K245" s="1078"/>
      <c r="L245" s="1554"/>
      <c r="M245" s="1554"/>
      <c r="N245" s="1078"/>
      <c r="O245" s="1078"/>
      <c r="P245" s="1078"/>
      <c r="Q245" s="1078"/>
      <c r="R245" s="1554"/>
      <c r="S245" s="1078"/>
      <c r="T245" s="1078"/>
      <c r="U245" s="480"/>
      <c r="V245" s="1078"/>
      <c r="W245" s="1078"/>
      <c r="X245" s="1078"/>
      <c r="Y245" s="1078"/>
      <c r="Z245" s="1078"/>
      <c r="AA245" s="1550"/>
      <c r="AB245" s="502"/>
      <c r="AC245" s="502"/>
      <c r="AD245" s="502"/>
      <c r="AE245" s="502"/>
      <c r="AF245" s="1559">
        <v>11</v>
      </c>
    </row>
    <row r="246" spans="1:32" s="2431" customFormat="1" ht="11.45" customHeight="1">
      <c r="A246" s="911"/>
      <c r="B246" s="1554"/>
      <c r="C246" s="1554"/>
      <c r="D246" s="287"/>
      <c r="K246" s="1078"/>
      <c r="L246" s="1554"/>
      <c r="M246" s="1554"/>
      <c r="N246" s="1078"/>
      <c r="O246" s="1078"/>
      <c r="P246" s="1078"/>
      <c r="Q246" s="1078"/>
      <c r="R246" s="1554"/>
      <c r="S246" s="1078"/>
      <c r="T246" s="1078"/>
      <c r="U246" s="480"/>
      <c r="V246" s="1078"/>
      <c r="W246" s="1078"/>
      <c r="X246" s="1078"/>
      <c r="Y246" s="1078"/>
      <c r="Z246" s="1078"/>
      <c r="AA246" s="1550"/>
      <c r="AB246" s="502"/>
      <c r="AC246" s="502"/>
      <c r="AD246" s="502"/>
      <c r="AE246" s="502"/>
      <c r="AF246" s="1559">
        <v>11</v>
      </c>
    </row>
    <row r="247" spans="1:32" s="2431" customFormat="1" ht="11.45" customHeight="1">
      <c r="A247" s="911"/>
      <c r="B247" s="1554"/>
      <c r="C247" s="1554"/>
      <c r="D247" s="287"/>
      <c r="K247" s="1078"/>
      <c r="L247" s="1554"/>
      <c r="M247" s="1554"/>
      <c r="N247" s="1078"/>
      <c r="O247" s="1078"/>
      <c r="P247" s="1078"/>
      <c r="Q247" s="1078"/>
      <c r="R247" s="1554"/>
      <c r="S247" s="1078"/>
      <c r="T247" s="1078"/>
      <c r="U247" s="480"/>
      <c r="V247" s="1078"/>
      <c r="W247" s="1078"/>
      <c r="X247" s="1078"/>
      <c r="Y247" s="1078"/>
      <c r="Z247" s="1078"/>
      <c r="AA247" s="1550"/>
      <c r="AB247" s="502"/>
      <c r="AC247" s="502"/>
      <c r="AD247" s="502"/>
      <c r="AE247" s="502"/>
      <c r="AF247" s="1559">
        <v>11</v>
      </c>
    </row>
    <row r="248" spans="1:32" s="2431" customFormat="1" ht="11.45" customHeight="1">
      <c r="A248" s="911"/>
      <c r="B248" s="1554"/>
      <c r="C248" s="1554"/>
      <c r="D248" s="287"/>
      <c r="K248" s="1078"/>
      <c r="L248" s="1554"/>
      <c r="M248" s="1554"/>
      <c r="N248" s="1078"/>
      <c r="O248" s="1078"/>
      <c r="P248" s="1078"/>
      <c r="Q248" s="1078"/>
      <c r="R248" s="1554"/>
      <c r="S248" s="1078"/>
      <c r="T248" s="1078"/>
      <c r="U248" s="480"/>
      <c r="V248" s="1078"/>
      <c r="W248" s="1078"/>
      <c r="X248" s="1078"/>
      <c r="Y248" s="1078"/>
      <c r="Z248" s="1078"/>
      <c r="AA248" s="1550"/>
      <c r="AB248" s="502"/>
      <c r="AC248" s="502"/>
      <c r="AD248" s="502"/>
      <c r="AE248" s="502"/>
      <c r="AF248" s="1559">
        <v>11</v>
      </c>
    </row>
    <row r="249" spans="1:32" s="2431" customFormat="1" ht="11.45" customHeight="1">
      <c r="A249" s="911"/>
      <c r="B249" s="1554"/>
      <c r="C249" s="1554"/>
      <c r="D249" s="287"/>
      <c r="K249" s="1078"/>
      <c r="L249" s="1554"/>
      <c r="M249" s="1554"/>
      <c r="N249" s="1078"/>
      <c r="O249" s="1078"/>
      <c r="P249" s="1078"/>
      <c r="Q249" s="1078"/>
      <c r="R249" s="1554"/>
      <c r="S249" s="1078"/>
      <c r="T249" s="1078"/>
      <c r="U249" s="480"/>
      <c r="V249" s="1078"/>
      <c r="W249" s="1078"/>
      <c r="X249" s="1078"/>
      <c r="Y249" s="1078"/>
      <c r="Z249" s="1078"/>
      <c r="AA249" s="1550"/>
      <c r="AB249" s="502"/>
      <c r="AC249" s="502"/>
      <c r="AD249" s="502"/>
      <c r="AE249" s="502"/>
      <c r="AF249" s="1559">
        <v>11</v>
      </c>
    </row>
    <row r="250" spans="1:32" s="2431" customFormat="1" ht="11.45" customHeight="1">
      <c r="A250" s="911"/>
      <c r="B250" s="1554"/>
      <c r="C250" s="1554"/>
      <c r="D250" s="287"/>
      <c r="K250" s="1078"/>
      <c r="L250" s="1554"/>
      <c r="M250" s="1554"/>
      <c r="N250" s="1078"/>
      <c r="O250" s="1078"/>
      <c r="P250" s="1078"/>
      <c r="Q250" s="1078"/>
      <c r="R250" s="1554"/>
      <c r="S250" s="1078"/>
      <c r="T250" s="1078"/>
      <c r="U250" s="480"/>
      <c r="V250" s="1078"/>
      <c r="W250" s="1078"/>
      <c r="X250" s="1078"/>
      <c r="Y250" s="1078"/>
      <c r="Z250" s="1078"/>
      <c r="AA250" s="1550"/>
      <c r="AB250" s="502"/>
      <c r="AC250" s="502"/>
      <c r="AD250" s="502"/>
      <c r="AE250" s="502"/>
      <c r="AF250" s="1559">
        <v>11</v>
      </c>
    </row>
    <row r="251" spans="1:32" s="2431" customFormat="1" ht="11.45" customHeight="1">
      <c r="A251" s="911"/>
      <c r="B251" s="1554"/>
      <c r="C251" s="1554"/>
      <c r="D251" s="287"/>
      <c r="K251" s="1078"/>
      <c r="L251" s="1554"/>
      <c r="M251" s="1554"/>
      <c r="N251" s="1078"/>
      <c r="O251" s="1078"/>
      <c r="P251" s="1078"/>
      <c r="Q251" s="1078"/>
      <c r="R251" s="1554"/>
      <c r="S251" s="1078"/>
      <c r="T251" s="1078"/>
      <c r="U251" s="480"/>
      <c r="V251" s="1078"/>
      <c r="W251" s="1078"/>
      <c r="X251" s="1078"/>
      <c r="Y251" s="1078"/>
      <c r="Z251" s="1078"/>
      <c r="AA251" s="1550"/>
      <c r="AB251" s="502"/>
      <c r="AC251" s="502"/>
      <c r="AD251" s="502"/>
      <c r="AE251" s="502"/>
      <c r="AF251" s="1559">
        <v>11</v>
      </c>
    </row>
    <row r="252" spans="1:32" s="2431" customFormat="1" ht="11.45" customHeight="1">
      <c r="A252" s="911"/>
      <c r="B252" s="1554"/>
      <c r="C252" s="1554"/>
      <c r="D252" s="287"/>
      <c r="K252" s="1078"/>
      <c r="L252" s="1554"/>
      <c r="M252" s="1554"/>
      <c r="N252" s="1078"/>
      <c r="O252" s="1078"/>
      <c r="P252" s="1078"/>
      <c r="Q252" s="1078"/>
      <c r="R252" s="1554"/>
      <c r="S252" s="1078"/>
      <c r="T252" s="1078"/>
      <c r="U252" s="480"/>
      <c r="V252" s="1078"/>
      <c r="W252" s="1078"/>
      <c r="X252" s="1078"/>
      <c r="Y252" s="1078"/>
      <c r="Z252" s="1078"/>
      <c r="AA252" s="1550"/>
      <c r="AB252" s="502"/>
      <c r="AC252" s="502"/>
      <c r="AD252" s="502"/>
      <c r="AE252" s="502"/>
      <c r="AF252" s="1559">
        <v>11</v>
      </c>
    </row>
    <row r="253" spans="1:32" s="2431" customFormat="1" ht="11.45" customHeight="1">
      <c r="A253" s="911"/>
      <c r="B253" s="1554"/>
      <c r="C253" s="1554"/>
      <c r="D253" s="287"/>
      <c r="K253" s="1078"/>
      <c r="L253" s="1554"/>
      <c r="M253" s="1554"/>
      <c r="N253" s="1078"/>
      <c r="O253" s="1078"/>
      <c r="P253" s="1078"/>
      <c r="Q253" s="1078"/>
      <c r="R253" s="1554"/>
      <c r="S253" s="1078"/>
      <c r="T253" s="1078"/>
      <c r="U253" s="480"/>
      <c r="V253" s="1078"/>
      <c r="W253" s="1078"/>
      <c r="X253" s="1078"/>
      <c r="Y253" s="1078"/>
      <c r="Z253" s="1078"/>
      <c r="AA253" s="1550"/>
      <c r="AB253" s="502"/>
      <c r="AC253" s="502"/>
      <c r="AD253" s="502"/>
      <c r="AE253" s="502"/>
      <c r="AF253" s="1559">
        <v>11</v>
      </c>
    </row>
    <row r="254" spans="1:32" s="2431" customFormat="1" ht="11.45" customHeight="1">
      <c r="A254" s="911"/>
      <c r="B254" s="1554"/>
      <c r="C254" s="1554"/>
      <c r="D254" s="287"/>
      <c r="K254" s="1078"/>
      <c r="L254" s="1554"/>
      <c r="M254" s="1554"/>
      <c r="N254" s="1078"/>
      <c r="O254" s="1078"/>
      <c r="P254" s="1078"/>
      <c r="Q254" s="1078"/>
      <c r="R254" s="1554"/>
      <c r="S254" s="1078"/>
      <c r="T254" s="1078"/>
      <c r="U254" s="480"/>
      <c r="V254" s="1078"/>
      <c r="W254" s="1078"/>
      <c r="X254" s="1078"/>
      <c r="Y254" s="1078"/>
      <c r="Z254" s="1078"/>
      <c r="AA254" s="1550"/>
      <c r="AB254" s="502"/>
      <c r="AC254" s="502"/>
      <c r="AD254" s="502"/>
      <c r="AE254" s="502"/>
      <c r="AF254" s="1559">
        <v>11</v>
      </c>
    </row>
    <row r="255" spans="1:32" s="2431" customFormat="1" ht="11.45" customHeight="1">
      <c r="A255" s="911"/>
      <c r="B255" s="1554"/>
      <c r="C255" s="1554"/>
      <c r="D255" s="287"/>
      <c r="K255" s="1078"/>
      <c r="L255" s="1554"/>
      <c r="M255" s="1554"/>
      <c r="N255" s="1078"/>
      <c r="O255" s="1078"/>
      <c r="P255" s="1078"/>
      <c r="Q255" s="1078"/>
      <c r="R255" s="1554"/>
      <c r="S255" s="1078"/>
      <c r="T255" s="1078"/>
      <c r="U255" s="480"/>
      <c r="V255" s="1078"/>
      <c r="W255" s="1078"/>
      <c r="X255" s="1078"/>
      <c r="Y255" s="1078"/>
      <c r="Z255" s="1078"/>
      <c r="AA255" s="1550"/>
      <c r="AB255" s="502"/>
      <c r="AC255" s="502"/>
      <c r="AD255" s="502"/>
      <c r="AE255" s="502"/>
      <c r="AF255" s="1559">
        <v>11</v>
      </c>
    </row>
    <row r="256" spans="1:32" s="2431" customFormat="1" ht="11.45" customHeight="1">
      <c r="A256" s="911"/>
      <c r="B256" s="1554"/>
      <c r="C256" s="1554"/>
      <c r="D256" s="287"/>
      <c r="K256" s="1078"/>
      <c r="L256" s="1554"/>
      <c r="M256" s="1554"/>
      <c r="N256" s="1078"/>
      <c r="O256" s="1078"/>
      <c r="P256" s="1078"/>
      <c r="Q256" s="1078"/>
      <c r="R256" s="1554"/>
      <c r="S256" s="1078"/>
      <c r="T256" s="1078"/>
      <c r="U256" s="480"/>
      <c r="V256" s="1078"/>
      <c r="W256" s="1078"/>
      <c r="X256" s="1078"/>
      <c r="Y256" s="1078"/>
      <c r="Z256" s="1078"/>
      <c r="AA256" s="1550"/>
      <c r="AB256" s="502"/>
      <c r="AC256" s="502"/>
      <c r="AD256" s="502"/>
      <c r="AE256" s="502"/>
      <c r="AF256" s="1559">
        <v>11</v>
      </c>
    </row>
    <row r="257" spans="1:32" s="2431" customFormat="1" ht="11.45" customHeight="1">
      <c r="A257" s="911"/>
      <c r="B257" s="1554"/>
      <c r="C257" s="1554"/>
      <c r="D257" s="287"/>
      <c r="K257" s="1078"/>
      <c r="L257" s="1554"/>
      <c r="M257" s="1554"/>
      <c r="N257" s="1078"/>
      <c r="O257" s="1078"/>
      <c r="P257" s="1078"/>
      <c r="Q257" s="1078"/>
      <c r="R257" s="1554"/>
      <c r="S257" s="1078"/>
      <c r="T257" s="1078"/>
      <c r="U257" s="480"/>
      <c r="V257" s="1078"/>
      <c r="W257" s="1078"/>
      <c r="X257" s="1078"/>
      <c r="Y257" s="1078"/>
      <c r="Z257" s="1078"/>
      <c r="AA257" s="1550"/>
      <c r="AB257" s="502"/>
      <c r="AC257" s="502"/>
      <c r="AD257" s="502"/>
      <c r="AE257" s="502"/>
      <c r="AF257" s="1559">
        <v>11</v>
      </c>
    </row>
    <row r="258" spans="1:32" s="2431" customFormat="1" ht="11.45" customHeight="1">
      <c r="A258" s="911"/>
      <c r="B258" s="1554"/>
      <c r="C258" s="1554"/>
      <c r="D258" s="287"/>
      <c r="K258" s="1078"/>
      <c r="L258" s="1554"/>
      <c r="M258" s="1554"/>
      <c r="N258" s="1078"/>
      <c r="O258" s="1078"/>
      <c r="P258" s="1078"/>
      <c r="Q258" s="1078"/>
      <c r="R258" s="1554"/>
      <c r="S258" s="1078"/>
      <c r="T258" s="1078"/>
      <c r="U258" s="480"/>
      <c r="V258" s="1078"/>
      <c r="W258" s="1078"/>
      <c r="X258" s="1078"/>
      <c r="Y258" s="1078"/>
      <c r="Z258" s="1078"/>
      <c r="AA258" s="1550"/>
      <c r="AB258" s="502"/>
      <c r="AC258" s="502"/>
      <c r="AD258" s="502"/>
      <c r="AE258" s="502"/>
      <c r="AF258" s="1559">
        <v>11</v>
      </c>
    </row>
    <row r="259" spans="1:32" s="2431" customFormat="1" ht="11.45" customHeight="1">
      <c r="A259" s="911"/>
      <c r="B259" s="1554"/>
      <c r="C259" s="1554"/>
      <c r="D259" s="287"/>
      <c r="K259" s="1078"/>
      <c r="L259" s="1554"/>
      <c r="M259" s="1554"/>
      <c r="N259" s="1078"/>
      <c r="O259" s="1078"/>
      <c r="P259" s="1078"/>
      <c r="Q259" s="1078"/>
      <c r="R259" s="1554"/>
      <c r="S259" s="1078"/>
      <c r="T259" s="1078"/>
      <c r="U259" s="480"/>
      <c r="V259" s="1078"/>
      <c r="W259" s="1078"/>
      <c r="X259" s="1078"/>
      <c r="Y259" s="1078"/>
      <c r="Z259" s="1078"/>
      <c r="AA259" s="1550"/>
      <c r="AB259" s="502"/>
      <c r="AC259" s="502"/>
      <c r="AD259" s="502"/>
      <c r="AE259" s="502"/>
      <c r="AF259" s="1559">
        <v>11</v>
      </c>
    </row>
    <row r="260" spans="1:32" s="2431" customFormat="1" ht="11.45" customHeight="1">
      <c r="A260" s="911"/>
      <c r="B260" s="1554"/>
      <c r="C260" s="1554"/>
      <c r="D260" s="287"/>
      <c r="K260" s="1078"/>
      <c r="L260" s="1554"/>
      <c r="M260" s="1554"/>
      <c r="N260" s="1078"/>
      <c r="O260" s="1078"/>
      <c r="P260" s="1078"/>
      <c r="Q260" s="1078"/>
      <c r="R260" s="1554"/>
      <c r="S260" s="1078"/>
      <c r="T260" s="1078"/>
      <c r="U260" s="480"/>
      <c r="V260" s="1078"/>
      <c r="W260" s="1078"/>
      <c r="X260" s="1078"/>
      <c r="Y260" s="1078"/>
      <c r="Z260" s="1078"/>
      <c r="AA260" s="1550"/>
      <c r="AB260" s="502"/>
      <c r="AC260" s="502"/>
      <c r="AD260" s="502"/>
      <c r="AE260" s="502"/>
      <c r="AF260" s="1559">
        <v>11</v>
      </c>
    </row>
    <row r="261" spans="1:32" s="2431" customFormat="1" ht="11.45" customHeight="1">
      <c r="A261" s="911"/>
      <c r="B261" s="1554"/>
      <c r="C261" s="1554"/>
      <c r="D261" s="287"/>
      <c r="K261" s="1078"/>
      <c r="L261" s="1554"/>
      <c r="M261" s="1554"/>
      <c r="N261" s="1078"/>
      <c r="O261" s="1078"/>
      <c r="P261" s="1078"/>
      <c r="Q261" s="1078"/>
      <c r="R261" s="1554"/>
      <c r="S261" s="1078"/>
      <c r="T261" s="1078"/>
      <c r="U261" s="480"/>
      <c r="V261" s="1078"/>
      <c r="W261" s="1078"/>
      <c r="X261" s="1078"/>
      <c r="Y261" s="1078"/>
      <c r="Z261" s="1078"/>
      <c r="AA261" s="1550"/>
      <c r="AB261" s="502"/>
      <c r="AC261" s="502"/>
      <c r="AD261" s="502"/>
      <c r="AE261" s="502"/>
      <c r="AF261" s="1559">
        <v>11</v>
      </c>
    </row>
    <row r="262" spans="1:32" s="2431" customFormat="1" ht="11.45" customHeight="1">
      <c r="A262" s="911"/>
      <c r="B262" s="1554"/>
      <c r="C262" s="1554"/>
      <c r="D262" s="287"/>
      <c r="K262" s="1078"/>
      <c r="L262" s="1554"/>
      <c r="M262" s="1554"/>
      <c r="N262" s="1078"/>
      <c r="O262" s="1078"/>
      <c r="P262" s="1078"/>
      <c r="Q262" s="1078"/>
      <c r="R262" s="1554"/>
      <c r="S262" s="1078"/>
      <c r="T262" s="1078"/>
      <c r="U262" s="480"/>
      <c r="V262" s="1078"/>
      <c r="W262" s="1078"/>
      <c r="X262" s="1078"/>
      <c r="Y262" s="1078"/>
      <c r="Z262" s="1078"/>
      <c r="AA262" s="1550"/>
      <c r="AB262" s="502"/>
      <c r="AC262" s="502"/>
      <c r="AD262" s="502"/>
      <c r="AE262" s="502"/>
      <c r="AF262" s="1559">
        <v>11</v>
      </c>
    </row>
    <row r="263" spans="1:32" s="2431" customFormat="1" ht="11.45" customHeight="1">
      <c r="A263" s="911"/>
      <c r="B263" s="1554"/>
      <c r="C263" s="1554"/>
      <c r="D263" s="287"/>
      <c r="K263" s="1078"/>
      <c r="L263" s="1554"/>
      <c r="M263" s="1554"/>
      <c r="N263" s="1078"/>
      <c r="O263" s="1078"/>
      <c r="P263" s="1078"/>
      <c r="Q263" s="1078"/>
      <c r="R263" s="1554"/>
      <c r="S263" s="1078"/>
      <c r="T263" s="1078"/>
      <c r="U263" s="480"/>
      <c r="V263" s="1078"/>
      <c r="W263" s="1078"/>
      <c r="X263" s="1078"/>
      <c r="Y263" s="1078"/>
      <c r="Z263" s="1078"/>
      <c r="AA263" s="1550"/>
      <c r="AB263" s="502"/>
      <c r="AC263" s="502"/>
      <c r="AD263" s="502"/>
      <c r="AE263" s="502"/>
      <c r="AF263" s="1559">
        <v>11</v>
      </c>
    </row>
    <row r="264" spans="1:32" s="2431" customFormat="1" ht="11.45" customHeight="1">
      <c r="A264" s="911"/>
      <c r="B264" s="1554"/>
      <c r="C264" s="1554"/>
      <c r="D264" s="287"/>
      <c r="K264" s="1078"/>
      <c r="L264" s="1554"/>
      <c r="M264" s="1554"/>
      <c r="N264" s="1078"/>
      <c r="O264" s="1078"/>
      <c r="P264" s="1078"/>
      <c r="Q264" s="1078"/>
      <c r="R264" s="1554"/>
      <c r="S264" s="1078"/>
      <c r="T264" s="1078"/>
      <c r="U264" s="480"/>
      <c r="V264" s="1078"/>
      <c r="W264" s="1078"/>
      <c r="X264" s="1078"/>
      <c r="Y264" s="1078"/>
      <c r="Z264" s="1078"/>
      <c r="AA264" s="1550"/>
      <c r="AB264" s="502"/>
      <c r="AC264" s="502"/>
      <c r="AD264" s="502"/>
      <c r="AE264" s="502"/>
      <c r="AF264" s="1559">
        <v>11</v>
      </c>
    </row>
    <row r="265" spans="1:32" s="2431" customFormat="1" ht="11.45" customHeight="1">
      <c r="A265" s="911"/>
      <c r="B265" s="1554"/>
      <c r="C265" s="1554"/>
      <c r="D265" s="287"/>
      <c r="K265" s="1078"/>
      <c r="L265" s="1554"/>
      <c r="M265" s="1554"/>
      <c r="N265" s="1078"/>
      <c r="O265" s="1078"/>
      <c r="P265" s="1078"/>
      <c r="Q265" s="1078"/>
      <c r="R265" s="1554"/>
      <c r="S265" s="1078"/>
      <c r="T265" s="1078"/>
      <c r="U265" s="480"/>
      <c r="V265" s="1078"/>
      <c r="W265" s="1078"/>
      <c r="X265" s="1078"/>
      <c r="Y265" s="1078"/>
      <c r="Z265" s="1078"/>
      <c r="AA265" s="1550"/>
      <c r="AB265" s="502"/>
      <c r="AC265" s="502"/>
      <c r="AD265" s="502"/>
      <c r="AE265" s="502"/>
      <c r="AF265" s="1559">
        <v>11</v>
      </c>
    </row>
    <row r="266" spans="1:32" s="2431" customFormat="1" ht="11.45" customHeight="1">
      <c r="A266" s="911"/>
      <c r="B266" s="1554"/>
      <c r="C266" s="1554"/>
      <c r="D266" s="287"/>
      <c r="K266" s="1078"/>
      <c r="L266" s="1554"/>
      <c r="M266" s="1554"/>
      <c r="N266" s="1078"/>
      <c r="O266" s="1078"/>
      <c r="P266" s="1078"/>
      <c r="Q266" s="1078"/>
      <c r="R266" s="1554"/>
      <c r="S266" s="1078"/>
      <c r="T266" s="1078"/>
      <c r="U266" s="480"/>
      <c r="V266" s="1078"/>
      <c r="W266" s="1078"/>
      <c r="X266" s="1078"/>
      <c r="Y266" s="1078"/>
      <c r="Z266" s="1078"/>
      <c r="AA266" s="1550"/>
      <c r="AB266" s="502"/>
      <c r="AC266" s="502"/>
      <c r="AD266" s="502"/>
      <c r="AE266" s="502"/>
      <c r="AF266" s="1559">
        <v>11</v>
      </c>
    </row>
    <row r="267" spans="1:32" s="2431" customFormat="1" ht="11.45" customHeight="1">
      <c r="A267" s="911"/>
      <c r="B267" s="1554"/>
      <c r="C267" s="1554"/>
      <c r="D267" s="287"/>
      <c r="K267" s="1078"/>
      <c r="L267" s="1554"/>
      <c r="M267" s="1554"/>
      <c r="N267" s="1078"/>
      <c r="O267" s="1078"/>
      <c r="P267" s="1078"/>
      <c r="Q267" s="1078"/>
      <c r="R267" s="1554"/>
      <c r="S267" s="1078"/>
      <c r="T267" s="1078"/>
      <c r="U267" s="480"/>
      <c r="V267" s="1078"/>
      <c r="W267" s="1078"/>
      <c r="X267" s="1078"/>
      <c r="Y267" s="1078"/>
      <c r="Z267" s="1078"/>
      <c r="AA267" s="1550"/>
      <c r="AB267" s="502"/>
      <c r="AC267" s="502"/>
      <c r="AD267" s="502"/>
      <c r="AE267" s="502"/>
      <c r="AF267" s="1559">
        <v>11</v>
      </c>
    </row>
    <row r="268" spans="1:32" s="2431" customFormat="1" ht="11.45" customHeight="1">
      <c r="A268" s="911"/>
      <c r="B268" s="1554"/>
      <c r="C268" s="1554"/>
      <c r="D268" s="287"/>
      <c r="K268" s="1078"/>
      <c r="L268" s="1554"/>
      <c r="M268" s="1554"/>
      <c r="N268" s="1078"/>
      <c r="O268" s="1078"/>
      <c r="P268" s="1078"/>
      <c r="Q268" s="1078"/>
      <c r="R268" s="1554"/>
      <c r="S268" s="1078"/>
      <c r="T268" s="1078"/>
      <c r="U268" s="480"/>
      <c r="V268" s="1078"/>
      <c r="W268" s="1078"/>
      <c r="X268" s="1078"/>
      <c r="Y268" s="1078"/>
      <c r="Z268" s="1078"/>
      <c r="AA268" s="1550"/>
      <c r="AB268" s="502"/>
      <c r="AC268" s="502"/>
      <c r="AD268" s="502"/>
      <c r="AE268" s="502"/>
      <c r="AF268" s="1559">
        <v>11</v>
      </c>
    </row>
    <row r="269" spans="1:32" s="2431" customFormat="1" ht="11.45" customHeight="1">
      <c r="A269" s="911"/>
      <c r="B269" s="1554"/>
      <c r="C269" s="1554"/>
      <c r="D269" s="287"/>
      <c r="K269" s="1078"/>
      <c r="L269" s="1554"/>
      <c r="M269" s="1554"/>
      <c r="N269" s="1078"/>
      <c r="O269" s="1078"/>
      <c r="P269" s="1078"/>
      <c r="Q269" s="1078"/>
      <c r="R269" s="1554"/>
      <c r="S269" s="1078"/>
      <c r="T269" s="1078"/>
      <c r="U269" s="480"/>
      <c r="V269" s="1078"/>
      <c r="W269" s="1078"/>
      <c r="X269" s="1078"/>
      <c r="Y269" s="1078"/>
      <c r="Z269" s="1078"/>
      <c r="AA269" s="1550"/>
      <c r="AB269" s="502"/>
      <c r="AC269" s="502"/>
      <c r="AD269" s="502"/>
      <c r="AE269" s="502"/>
      <c r="AF269" s="1559">
        <v>11</v>
      </c>
    </row>
    <row r="270" spans="1:32" s="2431" customFormat="1" ht="11.45" customHeight="1">
      <c r="A270" s="911"/>
      <c r="B270" s="1554"/>
      <c r="C270" s="1554"/>
      <c r="D270" s="287"/>
      <c r="K270" s="1078"/>
      <c r="L270" s="1554"/>
      <c r="M270" s="1554"/>
      <c r="N270" s="1078"/>
      <c r="O270" s="1078"/>
      <c r="P270" s="1078"/>
      <c r="Q270" s="1078"/>
      <c r="R270" s="1554"/>
      <c r="S270" s="1078"/>
      <c r="T270" s="1078"/>
      <c r="U270" s="480"/>
      <c r="V270" s="1078"/>
      <c r="W270" s="1078"/>
      <c r="X270" s="1078"/>
      <c r="Y270" s="1078"/>
      <c r="Z270" s="1078"/>
      <c r="AA270" s="1550"/>
      <c r="AB270" s="502"/>
      <c r="AC270" s="502"/>
      <c r="AD270" s="502"/>
      <c r="AE270" s="502"/>
      <c r="AF270" s="1559">
        <v>11</v>
      </c>
    </row>
    <row r="271" spans="1:32" s="2431" customFormat="1" ht="11.45" customHeight="1">
      <c r="A271" s="911"/>
      <c r="B271" s="1554"/>
      <c r="C271" s="1554"/>
      <c r="D271" s="287"/>
      <c r="K271" s="1078"/>
      <c r="L271" s="1554"/>
      <c r="M271" s="1554"/>
      <c r="N271" s="1078"/>
      <c r="O271" s="1078"/>
      <c r="P271" s="1078"/>
      <c r="Q271" s="1078"/>
      <c r="R271" s="1554"/>
      <c r="S271" s="1078"/>
      <c r="T271" s="1078"/>
      <c r="U271" s="480"/>
      <c r="V271" s="1078"/>
      <c r="W271" s="1078"/>
      <c r="X271" s="1078"/>
      <c r="Y271" s="1078"/>
      <c r="Z271" s="1078"/>
      <c r="AA271" s="1550"/>
      <c r="AB271" s="502"/>
      <c r="AC271" s="502"/>
      <c r="AD271" s="502"/>
      <c r="AE271" s="502"/>
      <c r="AF271" s="1559">
        <v>11</v>
      </c>
    </row>
    <row r="272" spans="1:32" s="2431" customFormat="1" ht="11.45" customHeight="1">
      <c r="A272" s="911"/>
      <c r="B272" s="1554"/>
      <c r="C272" s="1554"/>
      <c r="D272" s="287"/>
      <c r="K272" s="1078"/>
      <c r="L272" s="1554"/>
      <c r="M272" s="1554"/>
      <c r="N272" s="1078"/>
      <c r="O272" s="1078"/>
      <c r="P272" s="1078"/>
      <c r="Q272" s="1078"/>
      <c r="R272" s="1554"/>
      <c r="S272" s="1078"/>
      <c r="T272" s="1078"/>
      <c r="U272" s="480"/>
      <c r="V272" s="1078"/>
      <c r="W272" s="1078"/>
      <c r="X272" s="1078"/>
      <c r="Y272" s="1078"/>
      <c r="Z272" s="1078"/>
      <c r="AA272" s="1550"/>
      <c r="AB272" s="502"/>
      <c r="AC272" s="502"/>
      <c r="AD272" s="502"/>
      <c r="AE272" s="502"/>
      <c r="AF272" s="1559">
        <v>11</v>
      </c>
    </row>
    <row r="273" spans="1:32" s="2431" customFormat="1" ht="11.45" customHeight="1">
      <c r="A273" s="911"/>
      <c r="B273" s="1554"/>
      <c r="C273" s="1554"/>
      <c r="D273" s="287"/>
      <c r="K273" s="1078"/>
      <c r="L273" s="1554"/>
      <c r="M273" s="1554"/>
      <c r="N273" s="1078"/>
      <c r="O273" s="1078"/>
      <c r="P273" s="1078"/>
      <c r="Q273" s="1078"/>
      <c r="R273" s="1554"/>
      <c r="S273" s="1078"/>
      <c r="T273" s="1078"/>
      <c r="U273" s="480"/>
      <c r="V273" s="1078"/>
      <c r="W273" s="1078"/>
      <c r="X273" s="1078"/>
      <c r="Y273" s="1078"/>
      <c r="Z273" s="1078"/>
      <c r="AA273" s="1550"/>
      <c r="AB273" s="502"/>
      <c r="AC273" s="502"/>
      <c r="AD273" s="502"/>
      <c r="AE273" s="502"/>
      <c r="AF273" s="1559">
        <v>11</v>
      </c>
    </row>
    <row r="274" spans="1:32" s="2431" customFormat="1" ht="11.45" customHeight="1">
      <c r="A274" s="911"/>
      <c r="B274" s="1554"/>
      <c r="C274" s="1554"/>
      <c r="D274" s="287"/>
      <c r="K274" s="1078"/>
      <c r="L274" s="1554"/>
      <c r="M274" s="1554"/>
      <c r="N274" s="1078"/>
      <c r="O274" s="1078"/>
      <c r="P274" s="1078"/>
      <c r="Q274" s="1078"/>
      <c r="R274" s="1554"/>
      <c r="S274" s="1078"/>
      <c r="T274" s="1078"/>
      <c r="U274" s="480"/>
      <c r="V274" s="1078"/>
      <c r="W274" s="1078"/>
      <c r="X274" s="1078"/>
      <c r="Y274" s="1078"/>
      <c r="Z274" s="1078"/>
      <c r="AA274" s="1550"/>
      <c r="AB274" s="502"/>
      <c r="AC274" s="502"/>
      <c r="AD274" s="502"/>
      <c r="AE274" s="502"/>
      <c r="AF274" s="1559">
        <v>11</v>
      </c>
    </row>
    <row r="275" spans="1:32" s="2431" customFormat="1" ht="11.45" customHeight="1">
      <c r="A275" s="911"/>
      <c r="B275" s="1554"/>
      <c r="C275" s="1554"/>
      <c r="D275" s="287"/>
      <c r="K275" s="1078"/>
      <c r="L275" s="1554"/>
      <c r="M275" s="1554"/>
      <c r="N275" s="1078"/>
      <c r="O275" s="1078"/>
      <c r="P275" s="1078"/>
      <c r="Q275" s="1078"/>
      <c r="R275" s="1554"/>
      <c r="S275" s="1078"/>
      <c r="T275" s="1078"/>
      <c r="U275" s="480"/>
      <c r="V275" s="1078"/>
      <c r="W275" s="1078"/>
      <c r="X275" s="1078"/>
      <c r="Y275" s="1078"/>
      <c r="Z275" s="1078"/>
      <c r="AA275" s="1550"/>
      <c r="AB275" s="502"/>
      <c r="AC275" s="502"/>
      <c r="AD275" s="502"/>
      <c r="AE275" s="502"/>
      <c r="AF275" s="1559">
        <v>11</v>
      </c>
    </row>
    <row r="276" spans="1:32" s="2431" customFormat="1" ht="11.45" customHeight="1">
      <c r="A276" s="911"/>
      <c r="B276" s="1554"/>
      <c r="C276" s="1554"/>
      <c r="D276" s="287"/>
      <c r="K276" s="1078"/>
      <c r="L276" s="1554"/>
      <c r="M276" s="1554"/>
      <c r="N276" s="1078"/>
      <c r="O276" s="1078"/>
      <c r="P276" s="1078"/>
      <c r="Q276" s="1078"/>
      <c r="R276" s="1554"/>
      <c r="S276" s="1078"/>
      <c r="T276" s="1078"/>
      <c r="U276" s="480"/>
      <c r="V276" s="1078"/>
      <c r="W276" s="1078"/>
      <c r="X276" s="1078"/>
      <c r="Y276" s="1078"/>
      <c r="Z276" s="1078"/>
      <c r="AA276" s="1550"/>
      <c r="AB276" s="502"/>
      <c r="AC276" s="502"/>
      <c r="AD276" s="502"/>
      <c r="AE276" s="502"/>
      <c r="AF276" s="1559">
        <v>11</v>
      </c>
    </row>
    <row r="277" spans="1:32" s="2431" customFormat="1" ht="11.45" customHeight="1">
      <c r="A277" s="911"/>
      <c r="B277" s="1554"/>
      <c r="C277" s="1554"/>
      <c r="D277" s="287"/>
      <c r="K277" s="1078"/>
      <c r="L277" s="1554"/>
      <c r="M277" s="1554"/>
      <c r="N277" s="1078"/>
      <c r="O277" s="1078"/>
      <c r="P277" s="1078"/>
      <c r="Q277" s="1078"/>
      <c r="R277" s="1554"/>
      <c r="S277" s="1078"/>
      <c r="T277" s="1078"/>
      <c r="U277" s="480"/>
      <c r="V277" s="1078"/>
      <c r="W277" s="1078"/>
      <c r="X277" s="1078"/>
      <c r="Y277" s="1078"/>
      <c r="Z277" s="1078"/>
      <c r="AA277" s="1550"/>
      <c r="AB277" s="502"/>
      <c r="AC277" s="502"/>
      <c r="AD277" s="502"/>
      <c r="AE277" s="502"/>
      <c r="AF277" s="1559">
        <v>11</v>
      </c>
    </row>
    <row r="278" spans="1:32" s="2431" customFormat="1" ht="11.45" customHeight="1">
      <c r="A278" s="911"/>
      <c r="B278" s="1554"/>
      <c r="C278" s="1554"/>
      <c r="D278" s="287"/>
      <c r="K278" s="1078"/>
      <c r="L278" s="1554"/>
      <c r="M278" s="1554"/>
      <c r="N278" s="1078"/>
      <c r="O278" s="1078"/>
      <c r="P278" s="1078"/>
      <c r="Q278" s="1078"/>
      <c r="R278" s="1554"/>
      <c r="S278" s="1078"/>
      <c r="T278" s="1078"/>
      <c r="U278" s="480"/>
      <c r="V278" s="1078"/>
      <c r="W278" s="1078"/>
      <c r="X278" s="1078"/>
      <c r="Y278" s="1078"/>
      <c r="Z278" s="1078"/>
      <c r="AA278" s="1550"/>
      <c r="AB278" s="502"/>
      <c r="AC278" s="502"/>
      <c r="AD278" s="502"/>
      <c r="AE278" s="502"/>
      <c r="AF278" s="1559">
        <v>11</v>
      </c>
    </row>
    <row r="279" spans="1:32" s="2431" customFormat="1" ht="11.45" customHeight="1">
      <c r="A279" s="911"/>
      <c r="B279" s="1554"/>
      <c r="C279" s="1554"/>
      <c r="D279" s="287"/>
      <c r="K279" s="1078"/>
      <c r="L279" s="1554"/>
      <c r="M279" s="1554"/>
      <c r="N279" s="1078"/>
      <c r="O279" s="1078"/>
      <c r="P279" s="1078"/>
      <c r="Q279" s="1078"/>
      <c r="R279" s="1554"/>
      <c r="S279" s="1078"/>
      <c r="T279" s="1078"/>
      <c r="U279" s="480"/>
      <c r="V279" s="1078"/>
      <c r="W279" s="1078"/>
      <c r="X279" s="1078"/>
      <c r="Y279" s="1078"/>
      <c r="Z279" s="1078"/>
      <c r="AA279" s="1550"/>
      <c r="AB279" s="502"/>
      <c r="AC279" s="502"/>
      <c r="AD279" s="502"/>
      <c r="AE279" s="502"/>
      <c r="AF279" s="1559">
        <v>11</v>
      </c>
    </row>
    <row r="280" spans="1:32" s="2431" customFormat="1" ht="11.45" customHeight="1">
      <c r="A280" s="911"/>
      <c r="B280" s="1554"/>
      <c r="C280" s="1554"/>
      <c r="D280" s="287"/>
      <c r="K280" s="1078"/>
      <c r="L280" s="1554"/>
      <c r="M280" s="1554"/>
      <c r="N280" s="1078"/>
      <c r="O280" s="1078"/>
      <c r="P280" s="1078"/>
      <c r="Q280" s="1078"/>
      <c r="R280" s="1554"/>
      <c r="S280" s="1078"/>
      <c r="T280" s="1078"/>
      <c r="U280" s="480"/>
      <c r="V280" s="1078"/>
      <c r="W280" s="1078"/>
      <c r="X280" s="1078"/>
      <c r="Y280" s="1078"/>
      <c r="Z280" s="1078"/>
      <c r="AA280" s="1550"/>
      <c r="AB280" s="502"/>
      <c r="AC280" s="502"/>
      <c r="AD280" s="502"/>
      <c r="AE280" s="502"/>
      <c r="AF280" s="1559">
        <v>11</v>
      </c>
    </row>
    <row r="281" spans="1:32" s="2431" customFormat="1" ht="11.45" customHeight="1">
      <c r="A281" s="911"/>
      <c r="B281" s="1554"/>
      <c r="C281" s="1554"/>
      <c r="D281" s="287"/>
      <c r="K281" s="1078"/>
      <c r="L281" s="1554"/>
      <c r="M281" s="1554"/>
      <c r="N281" s="1078"/>
      <c r="O281" s="1078"/>
      <c r="P281" s="1078"/>
      <c r="Q281" s="1078"/>
      <c r="R281" s="1554"/>
      <c r="S281" s="1078"/>
      <c r="T281" s="1078"/>
      <c r="U281" s="480"/>
      <c r="V281" s="1078"/>
      <c r="W281" s="1078"/>
      <c r="X281" s="1078"/>
      <c r="Y281" s="1078"/>
      <c r="Z281" s="1078"/>
      <c r="AA281" s="1550"/>
      <c r="AB281" s="502"/>
      <c r="AC281" s="502"/>
      <c r="AD281" s="502"/>
      <c r="AE281" s="502"/>
      <c r="AF281" s="1559">
        <v>11</v>
      </c>
    </row>
    <row r="282" spans="1:32" s="2431" customFormat="1" ht="11.45" customHeight="1">
      <c r="A282" s="911"/>
      <c r="B282" s="1554"/>
      <c r="C282" s="1554"/>
      <c r="D282" s="287"/>
      <c r="K282" s="1078"/>
      <c r="L282" s="1554"/>
      <c r="M282" s="1554"/>
      <c r="N282" s="1078"/>
      <c r="O282" s="1078"/>
      <c r="P282" s="1078"/>
      <c r="Q282" s="1078"/>
      <c r="R282" s="1554"/>
      <c r="S282" s="1078"/>
      <c r="T282" s="1078"/>
      <c r="U282" s="480"/>
      <c r="V282" s="1078"/>
      <c r="W282" s="1078"/>
      <c r="X282" s="1078"/>
      <c r="Y282" s="1078"/>
      <c r="Z282" s="1078"/>
      <c r="AA282" s="1550"/>
      <c r="AB282" s="502"/>
      <c r="AC282" s="502"/>
      <c r="AD282" s="502"/>
      <c r="AE282" s="502"/>
      <c r="AF282" s="1559">
        <v>11</v>
      </c>
    </row>
    <row r="283" spans="1:32" s="2431" customFormat="1" ht="11.45" customHeight="1">
      <c r="A283" s="911"/>
      <c r="B283" s="1554"/>
      <c r="C283" s="1554"/>
      <c r="D283" s="287"/>
      <c r="K283" s="1078"/>
      <c r="L283" s="1554"/>
      <c r="M283" s="1554"/>
      <c r="N283" s="1078"/>
      <c r="O283" s="1078"/>
      <c r="P283" s="1078"/>
      <c r="Q283" s="1078"/>
      <c r="R283" s="1554"/>
      <c r="S283" s="1078"/>
      <c r="T283" s="1078"/>
      <c r="U283" s="480"/>
      <c r="V283" s="1078"/>
      <c r="W283" s="1078"/>
      <c r="X283" s="1078"/>
      <c r="Y283" s="1078"/>
      <c r="Z283" s="1078"/>
      <c r="AA283" s="1550"/>
      <c r="AB283" s="502"/>
      <c r="AC283" s="502"/>
      <c r="AD283" s="502"/>
      <c r="AE283" s="502"/>
      <c r="AF283" s="1559">
        <v>11</v>
      </c>
    </row>
    <row r="284" spans="1:32" s="2431" customFormat="1" ht="11.45" customHeight="1">
      <c r="A284" s="911"/>
      <c r="B284" s="1554"/>
      <c r="C284" s="1554"/>
      <c r="D284" s="287"/>
      <c r="K284" s="1078"/>
      <c r="L284" s="1554"/>
      <c r="M284" s="1554"/>
      <c r="N284" s="1078"/>
      <c r="O284" s="1078"/>
      <c r="P284" s="1078"/>
      <c r="Q284" s="1078"/>
      <c r="R284" s="1554"/>
      <c r="S284" s="1078"/>
      <c r="T284" s="1078"/>
      <c r="U284" s="480"/>
      <c r="V284" s="1078"/>
      <c r="W284" s="1078"/>
      <c r="X284" s="1078"/>
      <c r="Y284" s="1078"/>
      <c r="Z284" s="1078"/>
      <c r="AA284" s="1550"/>
      <c r="AB284" s="502"/>
      <c r="AC284" s="502"/>
      <c r="AD284" s="502"/>
      <c r="AE284" s="502"/>
      <c r="AF284" s="1559">
        <v>11</v>
      </c>
    </row>
    <row r="285" spans="1:32" s="2431" customFormat="1" ht="11.45" customHeight="1">
      <c r="A285" s="911"/>
      <c r="B285" s="1554"/>
      <c r="C285" s="1554"/>
      <c r="D285" s="287"/>
      <c r="K285" s="1078"/>
      <c r="L285" s="1554"/>
      <c r="M285" s="1554"/>
      <c r="N285" s="1078"/>
      <c r="O285" s="1078"/>
      <c r="P285" s="1078"/>
      <c r="Q285" s="1078"/>
      <c r="R285" s="1554"/>
      <c r="S285" s="1078"/>
      <c r="T285" s="1078"/>
      <c r="U285" s="480"/>
      <c r="V285" s="1078"/>
      <c r="W285" s="1078"/>
      <c r="X285" s="1078"/>
      <c r="Y285" s="1078"/>
      <c r="Z285" s="1078"/>
      <c r="AA285" s="1550"/>
      <c r="AB285" s="502"/>
      <c r="AC285" s="502"/>
      <c r="AD285" s="502"/>
      <c r="AE285" s="502"/>
      <c r="AF285" s="1559">
        <v>11</v>
      </c>
    </row>
    <row r="286" spans="1:32" s="2431" customFormat="1" ht="11.45" customHeight="1">
      <c r="A286" s="911"/>
      <c r="B286" s="1554"/>
      <c r="C286" s="1554"/>
      <c r="D286" s="287"/>
      <c r="K286" s="1078"/>
      <c r="L286" s="1554"/>
      <c r="M286" s="1554"/>
      <c r="N286" s="1078"/>
      <c r="O286" s="1078"/>
      <c r="P286" s="1078"/>
      <c r="Q286" s="1078"/>
      <c r="R286" s="1554"/>
      <c r="S286" s="1078"/>
      <c r="T286" s="1078"/>
      <c r="U286" s="480"/>
      <c r="V286" s="1078"/>
      <c r="W286" s="1078"/>
      <c r="X286" s="1078"/>
      <c r="Y286" s="1078"/>
      <c r="Z286" s="1078"/>
      <c r="AA286" s="1550"/>
      <c r="AB286" s="502"/>
      <c r="AC286" s="502"/>
      <c r="AD286" s="502"/>
      <c r="AE286" s="502"/>
      <c r="AF286" s="1559">
        <v>11</v>
      </c>
    </row>
    <row r="287" spans="1:32" s="2431" customFormat="1" ht="11.45" customHeight="1">
      <c r="A287" s="911"/>
      <c r="B287" s="1554"/>
      <c r="C287" s="1554"/>
      <c r="D287" s="287"/>
      <c r="K287" s="1078"/>
      <c r="L287" s="1554"/>
      <c r="M287" s="1554"/>
      <c r="N287" s="1078"/>
      <c r="O287" s="1078"/>
      <c r="P287" s="1078"/>
      <c r="Q287" s="1078"/>
      <c r="R287" s="1554"/>
      <c r="S287" s="1078"/>
      <c r="T287" s="1078"/>
      <c r="U287" s="480"/>
      <c r="V287" s="1078"/>
      <c r="W287" s="1078"/>
      <c r="X287" s="1078"/>
      <c r="Y287" s="1078"/>
      <c r="Z287" s="1078"/>
      <c r="AA287" s="1550"/>
      <c r="AB287" s="502"/>
      <c r="AC287" s="502"/>
      <c r="AD287" s="502"/>
      <c r="AE287" s="502"/>
      <c r="AF287" s="1559">
        <v>11</v>
      </c>
    </row>
    <row r="288" spans="1:32" s="2431" customFormat="1" ht="11.45" customHeight="1">
      <c r="A288" s="911"/>
      <c r="B288" s="1554"/>
      <c r="C288" s="1554"/>
      <c r="D288" s="287"/>
      <c r="K288" s="1078"/>
      <c r="L288" s="1554"/>
      <c r="M288" s="1554"/>
      <c r="N288" s="1078"/>
      <c r="O288" s="1078"/>
      <c r="P288" s="1078"/>
      <c r="Q288" s="1078"/>
      <c r="R288" s="1554"/>
      <c r="S288" s="1078"/>
      <c r="T288" s="1078"/>
      <c r="U288" s="480"/>
      <c r="V288" s="1078"/>
      <c r="W288" s="1078"/>
      <c r="X288" s="1078"/>
      <c r="Y288" s="1078"/>
      <c r="Z288" s="1078"/>
      <c r="AA288" s="1550"/>
      <c r="AB288" s="502"/>
      <c r="AC288" s="502"/>
      <c r="AD288" s="502"/>
      <c r="AE288" s="502"/>
      <c r="AF288" s="1559">
        <v>11</v>
      </c>
    </row>
    <row r="289" spans="1:32" ht="11.45" customHeight="1">
      <c r="AF289" s="1549">
        <v>11</v>
      </c>
    </row>
    <row r="290" spans="1:32" ht="11.45" customHeight="1">
      <c r="AF290" s="1549">
        <v>11</v>
      </c>
    </row>
    <row r="291" spans="1:32" ht="11.45" customHeight="1">
      <c r="AF291" s="1549">
        <v>11</v>
      </c>
    </row>
    <row r="292" spans="1:32" ht="11.45" customHeight="1">
      <c r="A292" s="914"/>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4"/>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4"/>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4"/>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4"/>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4"/>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4"/>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4"/>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4"/>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4"/>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4"/>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1" t="s">
        <v>78</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80">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442" hidden="1" customWidth="1"/>
    <col min="2" max="2" width="17" style="2398" hidden="1" customWidth="1"/>
    <col min="3" max="3" width="3" style="2400" customWidth="1"/>
    <col min="4" max="4" width="1.85546875" style="2400" hidden="1" customWidth="1"/>
    <col min="5" max="6" width="7" style="2400" customWidth="1"/>
    <col min="7" max="7" width="29" style="2400" customWidth="1"/>
    <col min="8" max="8" width="3.7109375" style="2400" customWidth="1"/>
    <col min="9" max="9" width="5" style="2400" customWidth="1"/>
    <col min="10" max="11" width="24" style="2400" customWidth="1"/>
    <col min="12" max="12" width="3" style="2400" customWidth="1"/>
    <col min="13" max="13" width="6" style="2400" customWidth="1"/>
    <col min="14" max="14" width="25" style="2400" customWidth="1"/>
    <col min="15" max="18" width="18" style="2400" customWidth="1"/>
    <col min="19" max="19" width="93" style="2400" customWidth="1"/>
    <col min="20" max="20" width="10" style="2400" customWidth="1"/>
    <col min="21" max="21" width="10" style="2407" customWidth="1"/>
    <col min="22" max="22" width="11" style="2407" customWidth="1"/>
    <col min="23" max="27" width="10" style="2398" customWidth="1"/>
    <col min="28" max="83" width="8" style="2400" customWidth="1"/>
    <col min="84" max="84" width="9.140625" style="240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623" t="str">
        <f>FHD20_NAME_FORM</f>
        <v>Форма 11. Информация о расходах на капитальный и текущий ремонт основных средств</v>
      </c>
      <c r="F5" s="2623"/>
      <c r="G5" s="2623"/>
      <c r="H5" s="2623"/>
      <c r="I5" s="2623"/>
      <c r="J5" s="2623"/>
      <c r="K5" s="2623"/>
      <c r="L5" s="549"/>
      <c r="M5" s="549"/>
      <c r="CF5" s="441">
        <v>28</v>
      </c>
    </row>
    <row r="6" spans="1:84" s="2400" customFormat="1" ht="16.899999999999999" customHeight="1">
      <c r="A6" s="546"/>
      <c r="B6" s="693"/>
      <c r="C6" s="445"/>
      <c r="D6" s="981"/>
      <c r="E6" s="2595" t="str">
        <f>IF(org=0,"Не определено",org)</f>
        <v>ПАО "ТГК-1" (филиал "Кольский")</v>
      </c>
      <c r="F6" s="2595"/>
      <c r="G6" s="2595"/>
      <c r="H6" s="2595"/>
      <c r="I6" s="2595"/>
      <c r="J6" s="2595"/>
      <c r="K6" s="2595"/>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431"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496" t="s">
        <v>291</v>
      </c>
      <c r="F9" s="2501"/>
      <c r="G9" s="2501"/>
      <c r="H9" s="2501"/>
      <c r="I9" s="2501"/>
      <c r="J9" s="2501"/>
      <c r="K9" s="2501"/>
      <c r="L9" s="2501"/>
      <c r="M9" s="2501"/>
      <c r="N9" s="2501"/>
      <c r="O9" s="2501"/>
      <c r="P9" s="2501"/>
      <c r="Q9" s="2501"/>
      <c r="R9" s="2495"/>
      <c r="S9" s="2514" t="s">
        <v>292</v>
      </c>
      <c r="T9" s="271"/>
      <c r="CF9" s="441">
        <v>19</v>
      </c>
    </row>
    <row r="10" spans="1:84" ht="48.2" customHeight="1">
      <c r="D10" s="487" t="s">
        <v>84</v>
      </c>
      <c r="E10" s="2514" t="s">
        <v>84</v>
      </c>
      <c r="F10" s="2514"/>
      <c r="G10" s="457" t="s">
        <v>293</v>
      </c>
      <c r="H10" s="2514" t="s">
        <v>84</v>
      </c>
      <c r="I10" s="2514"/>
      <c r="J10" s="457" t="s">
        <v>593</v>
      </c>
      <c r="K10" s="457" t="s">
        <v>594</v>
      </c>
      <c r="L10" s="2514" t="s">
        <v>84</v>
      </c>
      <c r="M10" s="2514"/>
      <c r="N10" s="457" t="s">
        <v>595</v>
      </c>
      <c r="O10" s="457" t="s">
        <v>596</v>
      </c>
      <c r="P10" s="457" t="s">
        <v>597</v>
      </c>
      <c r="Q10" s="457" t="s">
        <v>598</v>
      </c>
      <c r="R10" s="457" t="s">
        <v>599</v>
      </c>
      <c r="S10" s="2514"/>
      <c r="T10" s="271"/>
      <c r="CF10" s="441">
        <v>46</v>
      </c>
    </row>
    <row r="11" spans="1:84" s="2407" customFormat="1" ht="15" hidden="1" customHeight="1">
      <c r="A11" s="975"/>
      <c r="D11" s="948" t="s">
        <v>102</v>
      </c>
      <c r="E11" s="948"/>
      <c r="F11" s="948" t="s">
        <v>103</v>
      </c>
      <c r="G11" s="948" t="s">
        <v>86</v>
      </c>
      <c r="H11" s="948"/>
      <c r="I11" s="948" t="s">
        <v>87</v>
      </c>
      <c r="J11" s="948" t="s">
        <v>104</v>
      </c>
      <c r="K11" s="948" t="s">
        <v>88</v>
      </c>
      <c r="L11" s="948"/>
      <c r="M11" s="948" t="s">
        <v>89</v>
      </c>
      <c r="N11" s="948" t="s">
        <v>105</v>
      </c>
      <c r="O11" s="948" t="s">
        <v>141</v>
      </c>
      <c r="P11" s="948" t="s">
        <v>142</v>
      </c>
      <c r="Q11" s="948" t="s">
        <v>143</v>
      </c>
      <c r="R11" s="948" t="s">
        <v>144</v>
      </c>
      <c r="S11" s="948" t="s">
        <v>145</v>
      </c>
      <c r="U11" s="547"/>
      <c r="V11" s="547"/>
      <c r="W11" s="547"/>
      <c r="CF11" s="447">
        <v>0</v>
      </c>
    </row>
    <row r="12" spans="1:84" s="2400" customFormat="1" ht="1.1499999999999999" customHeight="1">
      <c r="A12" s="551"/>
      <c r="B12" s="298"/>
      <c r="D12" s="484"/>
      <c r="E12" s="283"/>
      <c r="F12" s="283"/>
      <c r="Q12" s="552"/>
      <c r="R12" s="553"/>
      <c r="T12" s="554"/>
      <c r="U12" s="555"/>
      <c r="V12" s="555"/>
      <c r="W12" s="556"/>
      <c r="X12" s="298"/>
      <c r="Y12" s="298"/>
      <c r="Z12" s="298"/>
      <c r="AA12" s="298"/>
      <c r="CF12" s="445">
        <v>1</v>
      </c>
    </row>
    <row r="13" spans="1:84" s="2431" customFormat="1" ht="1.1499999999999999" customHeight="1">
      <c r="A13" s="557"/>
      <c r="B13" s="502"/>
      <c r="D13" s="484" t="s">
        <v>367</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410" customFormat="1" ht="15" hidden="1" customHeight="1">
      <c r="A14" s="559" t="s">
        <v>110</v>
      </c>
      <c r="B14" s="560"/>
      <c r="C14" s="560"/>
      <c r="D14" s="2733" t="s">
        <v>102</v>
      </c>
      <c r="E14" s="2740" t="s">
        <v>98</v>
      </c>
      <c r="F14" s="2741"/>
      <c r="G14" s="2742"/>
      <c r="H14" s="2736">
        <f>IF(A14="","",INDEX(DIFFERENTIATION_UNMERGE_VD,MATCH(A14,DIFFERENTIATION_ID_DIFF,0)))</f>
        <v>0</v>
      </c>
      <c r="I14" s="2736"/>
      <c r="J14" s="2736"/>
      <c r="K14" s="2736"/>
      <c r="L14" s="2736"/>
      <c r="M14" s="2736"/>
      <c r="N14" s="2736"/>
      <c r="O14" s="2736"/>
      <c r="P14" s="2736"/>
      <c r="Q14" s="2736"/>
      <c r="R14" s="2736"/>
      <c r="S14" s="655"/>
      <c r="T14" s="652"/>
      <c r="U14" s="561"/>
      <c r="V14" s="561"/>
      <c r="W14" s="562"/>
      <c r="X14" s="562"/>
      <c r="Y14" s="562"/>
      <c r="Z14" s="562"/>
      <c r="AA14" s="563"/>
      <c r="AB14" s="564"/>
      <c r="AC14" s="2739"/>
      <c r="AD14" s="565"/>
      <c r="AE14" s="566" t="s">
        <v>22</v>
      </c>
      <c r="AF14" s="566"/>
      <c r="AG14" s="567" t="s">
        <v>600</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410" customFormat="1" ht="15" hidden="1" customHeight="1">
      <c r="A15" s="559"/>
      <c r="B15" s="560"/>
      <c r="C15" s="560"/>
      <c r="D15" s="2734"/>
      <c r="E15" s="2740" t="s">
        <v>555</v>
      </c>
      <c r="F15" s="2741"/>
      <c r="G15" s="2742"/>
      <c r="H15" s="2736" t="str">
        <f>IF(A14="","",INDEX(DIFFERENTIATION_UNMERGE_AREA,MATCH(A14,DIFFERENTIATION_ID_DIFF,0)))</f>
        <v/>
      </c>
      <c r="I15" s="2736"/>
      <c r="J15" s="2736"/>
      <c r="K15" s="2736"/>
      <c r="L15" s="2736"/>
      <c r="M15" s="2736"/>
      <c r="N15" s="2736"/>
      <c r="O15" s="2736"/>
      <c r="P15" s="2736"/>
      <c r="Q15" s="2736"/>
      <c r="R15" s="2736"/>
      <c r="S15" s="655"/>
      <c r="T15" s="652"/>
      <c r="U15" s="561"/>
      <c r="V15" s="561"/>
      <c r="W15" s="562"/>
      <c r="X15" s="562"/>
      <c r="Y15" s="562"/>
      <c r="Z15" s="562"/>
      <c r="AA15" s="563"/>
      <c r="AB15" s="564"/>
      <c r="AC15" s="273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410" customFormat="1" ht="15" hidden="1" customHeight="1">
      <c r="A16" s="559"/>
      <c r="B16" s="560"/>
      <c r="C16" s="560"/>
      <c r="D16" s="2734"/>
      <c r="E16" s="2740" t="s">
        <v>556</v>
      </c>
      <c r="F16" s="2741"/>
      <c r="G16" s="2742"/>
      <c r="H16" s="2736" t="str">
        <f>IF(A14="","",INDEX(DIFFERENTIATION_UNMERGE_SYSTEM,MATCH(A14,DIFFERENTIATION_ID_DIFF,0)))</f>
        <v>без дифференциации</v>
      </c>
      <c r="I16" s="2736"/>
      <c r="J16" s="2736"/>
      <c r="K16" s="2736"/>
      <c r="L16" s="2736"/>
      <c r="M16" s="2736"/>
      <c r="N16" s="2736"/>
      <c r="O16" s="2736"/>
      <c r="P16" s="2736"/>
      <c r="Q16" s="2736"/>
      <c r="R16" s="2736"/>
      <c r="S16" s="655"/>
      <c r="T16" s="652"/>
      <c r="U16" s="561"/>
      <c r="V16" s="561"/>
      <c r="W16" s="562"/>
      <c r="X16" s="562"/>
      <c r="Y16" s="562"/>
      <c r="Z16" s="562"/>
      <c r="AA16" s="563"/>
      <c r="AB16" s="564"/>
      <c r="AC16" s="273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410" customFormat="1" ht="22.5" hidden="1" customHeight="1">
      <c r="A17" s="569"/>
      <c r="B17" s="353"/>
      <c r="C17" s="348"/>
      <c r="D17" s="2734"/>
      <c r="E17" s="2738" t="s">
        <v>601</v>
      </c>
      <c r="F17" s="2738"/>
      <c r="G17" s="2738"/>
      <c r="H17" s="2738"/>
      <c r="I17" s="2738"/>
      <c r="J17" s="2738"/>
      <c r="K17" s="2738"/>
      <c r="L17" s="2738"/>
      <c r="M17" s="2738"/>
      <c r="N17" s="2738"/>
      <c r="O17" s="2738"/>
      <c r="P17" s="2738"/>
      <c r="Q17" s="494">
        <f>SUMIF(T18:T19,"i",Q18:Q19)</f>
        <v>0</v>
      </c>
      <c r="R17" s="940"/>
      <c r="S17" s="822" t="s">
        <v>602</v>
      </c>
      <c r="T17" s="653" t="s">
        <v>603</v>
      </c>
      <c r="U17" s="2646">
        <v>1</v>
      </c>
      <c r="V17" s="2646" t="str">
        <f>INDEX(B_FHD_FLAG_INDEX_1,1,MATCH(A14,B_FHD_FLAG_DIFFERENTIATION,0))</f>
        <v>отсутствует</v>
      </c>
      <c r="W17" s="353"/>
      <c r="X17" s="353"/>
      <c r="Y17" s="353"/>
      <c r="Z17" s="353"/>
      <c r="AA17" s="447"/>
      <c r="AB17" s="353"/>
      <c r="AC17" s="273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410" customFormat="1" ht="11.25" hidden="1" customHeight="1">
      <c r="A18" s="570"/>
      <c r="B18" s="447"/>
      <c r="C18" s="447"/>
      <c r="D18" s="2734"/>
      <c r="E18" s="571"/>
      <c r="F18" s="571">
        <v>0</v>
      </c>
      <c r="G18" s="571"/>
      <c r="H18" s="571"/>
      <c r="I18" s="571"/>
      <c r="J18" s="571"/>
      <c r="K18" s="571"/>
      <c r="L18" s="571"/>
      <c r="M18" s="571"/>
      <c r="N18" s="571"/>
      <c r="O18" s="571"/>
      <c r="P18" s="571"/>
      <c r="Q18" s="571"/>
      <c r="R18" s="571"/>
      <c r="S18" s="572"/>
      <c r="T18" s="654"/>
      <c r="U18" s="2646"/>
      <c r="V18" s="2646"/>
      <c r="W18" s="447"/>
      <c r="X18" s="447"/>
      <c r="Y18" s="447"/>
      <c r="Z18" s="447"/>
      <c r="AA18" s="447"/>
      <c r="AB18" s="353"/>
      <c r="AC18" s="273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410" customFormat="1" ht="11.25" hidden="1" customHeight="1">
      <c r="A19" s="569"/>
      <c r="B19" s="353"/>
      <c r="C19" s="348"/>
      <c r="D19" s="2734"/>
      <c r="E19" s="585" t="s">
        <v>22</v>
      </c>
      <c r="F19" s="586" t="s">
        <v>22</v>
      </c>
      <c r="G19" s="586" t="s">
        <v>22</v>
      </c>
      <c r="H19" s="587" t="s">
        <v>22</v>
      </c>
      <c r="I19" s="587"/>
      <c r="J19" s="587"/>
      <c r="K19" s="587"/>
      <c r="L19" s="587"/>
      <c r="M19" s="587"/>
      <c r="N19" s="587"/>
      <c r="O19" s="587"/>
      <c r="P19" s="587"/>
      <c r="Q19" s="587"/>
      <c r="R19" s="588"/>
      <c r="S19" s="943"/>
      <c r="T19" s="654"/>
      <c r="U19" s="2646"/>
      <c r="V19" s="2646"/>
      <c r="W19" s="353"/>
      <c r="X19" s="353"/>
      <c r="Y19" s="353"/>
      <c r="Z19" s="353"/>
      <c r="AA19" s="447"/>
      <c r="AB19" s="353"/>
      <c r="AC19" s="273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410" customFormat="1" ht="22.5" hidden="1" customHeight="1">
      <c r="A20" s="569"/>
      <c r="B20" s="353"/>
      <c r="C20" s="348"/>
      <c r="D20" s="2734"/>
      <c r="E20" s="2738" t="s">
        <v>604</v>
      </c>
      <c r="F20" s="2738"/>
      <c r="G20" s="2738"/>
      <c r="H20" s="2738"/>
      <c r="I20" s="2738"/>
      <c r="J20" s="2738"/>
      <c r="K20" s="2738"/>
      <c r="L20" s="2738"/>
      <c r="M20" s="2738"/>
      <c r="N20" s="2738"/>
      <c r="O20" s="2738"/>
      <c r="P20" s="2738"/>
      <c r="Q20" s="494">
        <f>SUMIF(T21:T22,"i",Q21:Q22)</f>
        <v>0</v>
      </c>
      <c r="R20" s="940"/>
      <c r="S20" s="645" t="s">
        <v>605</v>
      </c>
      <c r="T20" s="653" t="s">
        <v>603</v>
      </c>
      <c r="U20" s="2646">
        <v>2</v>
      </c>
      <c r="V20" s="264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410" customFormat="1" ht="11.25" hidden="1" customHeight="1">
      <c r="A21" s="644"/>
      <c r="B21" s="447"/>
      <c r="C21" s="447"/>
      <c r="D21" s="2734"/>
      <c r="E21" s="571"/>
      <c r="F21" s="571">
        <v>0</v>
      </c>
      <c r="G21" s="571"/>
      <c r="H21" s="571"/>
      <c r="I21" s="571"/>
      <c r="J21" s="571"/>
      <c r="K21" s="571"/>
      <c r="L21" s="571"/>
      <c r="M21" s="571"/>
      <c r="N21" s="571"/>
      <c r="O21" s="571"/>
      <c r="P21" s="571"/>
      <c r="Q21" s="571"/>
      <c r="R21" s="571"/>
      <c r="S21" s="572"/>
      <c r="T21" s="654"/>
      <c r="U21" s="2646"/>
      <c r="V21" s="264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410" customFormat="1" ht="11.25" hidden="1" customHeight="1">
      <c r="A22" s="569"/>
      <c r="B22" s="353"/>
      <c r="C22" s="348"/>
      <c r="D22" s="2735"/>
      <c r="E22" s="585" t="s">
        <v>22</v>
      </c>
      <c r="F22" s="586" t="s">
        <v>22</v>
      </c>
      <c r="G22" s="586" t="s">
        <v>22</v>
      </c>
      <c r="H22" s="587" t="s">
        <v>22</v>
      </c>
      <c r="I22" s="587"/>
      <c r="J22" s="587"/>
      <c r="K22" s="587"/>
      <c r="L22" s="587"/>
      <c r="M22" s="587"/>
      <c r="N22" s="587"/>
      <c r="O22" s="587"/>
      <c r="P22" s="587"/>
      <c r="Q22" s="587"/>
      <c r="R22" s="588"/>
      <c r="S22" s="943"/>
      <c r="T22" s="654"/>
      <c r="U22" s="2646"/>
      <c r="V22" s="264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737"/>
      <c r="F27" s="2737"/>
      <c r="G27" s="2737"/>
      <c r="H27" s="2737"/>
      <c r="I27" s="2737"/>
      <c r="J27" s="2737"/>
      <c r="K27" s="2737"/>
      <c r="L27" s="2737"/>
      <c r="M27" s="2737"/>
      <c r="N27" s="2737"/>
      <c r="O27" s="2737"/>
      <c r="P27" s="2737"/>
      <c r="Q27" s="2737"/>
      <c r="R27" s="2737"/>
      <c r="CF27" s="441">
        <v>11</v>
      </c>
    </row>
    <row r="28" spans="1:84" ht="11.45" customHeight="1">
      <c r="F28" s="692"/>
      <c r="G28" s="692"/>
      <c r="CF28" s="441">
        <v>11</v>
      </c>
    </row>
    <row r="29" spans="1:84" ht="11.25" hidden="1" customHeight="1">
      <c r="A29" s="546" t="s">
        <v>78</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440" hidden="1" customWidth="1"/>
    <col min="6" max="6" width="16.85546875" style="2406" hidden="1" customWidth="1"/>
    <col min="7" max="7" width="5.5703125" style="2407" hidden="1" customWidth="1"/>
    <col min="8" max="8" width="3" style="2400" customWidth="1"/>
    <col min="9" max="9" width="7" style="2400" customWidth="1"/>
    <col min="10" max="10" width="56" style="2400" customWidth="1"/>
    <col min="11" max="11" width="10" style="2400" customWidth="1"/>
    <col min="12" max="12" width="40.5703125" style="2400" hidden="1" customWidth="1"/>
    <col min="13" max="13" width="40.7109375" style="2400" customWidth="1"/>
    <col min="14" max="14" width="9.7109375" style="2406" hidden="1" customWidth="1"/>
    <col min="15" max="15" width="102" style="2400" customWidth="1"/>
    <col min="16" max="16" width="9" style="2406" customWidth="1"/>
    <col min="17" max="17" width="5" style="2407" customWidth="1"/>
    <col min="18" max="18" width="3" style="2407" customWidth="1"/>
    <col min="19" max="22" width="3" style="2406" customWidth="1"/>
    <col min="23" max="23" width="10" style="2407" customWidth="1"/>
    <col min="24" max="24" width="34" style="2406" customWidth="1"/>
    <col min="25" max="25" width="9" style="2406" customWidth="1"/>
    <col min="26" max="26" width="8" style="2441" customWidth="1"/>
    <col min="27" max="31" width="8" style="2406" customWidth="1"/>
    <col min="32" max="36" width="8" style="2398" customWidth="1"/>
    <col min="37" max="37" width="5.42578125" style="2400" hidden="1" customWidth="1"/>
  </cols>
  <sheetData>
    <row r="1" spans="1:37" s="2406" customFormat="1" ht="33.75" hidden="1" customHeight="1">
      <c r="A1" s="911"/>
      <c r="B1" s="911"/>
      <c r="C1" s="911"/>
      <c r="D1" s="911"/>
      <c r="E1" s="911"/>
      <c r="G1" s="1554"/>
      <c r="H1" s="804"/>
      <c r="L1" s="1284">
        <v>4</v>
      </c>
      <c r="M1" s="1284">
        <v>4</v>
      </c>
      <c r="Q1" s="1554"/>
      <c r="R1" s="1554"/>
      <c r="W1" s="1554"/>
      <c r="AK1" s="1284" t="s">
        <v>14</v>
      </c>
    </row>
    <row r="2" spans="1:37" s="2406" customFormat="1" ht="78.75" hidden="1" customHeight="1">
      <c r="A2" s="911"/>
      <c r="B2" s="1965" t="s">
        <v>606</v>
      </c>
      <c r="C2" s="1965" t="s">
        <v>607</v>
      </c>
      <c r="D2" s="1964" t="s">
        <v>608</v>
      </c>
      <c r="E2" s="1968" t="e">
        <f>RIGHT(I2,LEN(I2)-SEARCH("#",SUBSTITUTE(I2,".","#",LEN(I2)-LEN(SUBSTITUTE(I2,".","")))))</f>
        <v>#VALUE!</v>
      </c>
      <c r="F2" s="1970">
        <f>J2</f>
        <v>0</v>
      </c>
      <c r="G2" s="1554"/>
      <c r="H2" s="1971"/>
      <c r="I2" s="1961"/>
      <c r="J2" s="476"/>
      <c r="K2" s="1931" t="s">
        <v>547</v>
      </c>
      <c r="L2" s="687"/>
      <c r="M2" s="687"/>
      <c r="N2" s="479"/>
      <c r="O2" s="1443" t="s">
        <v>548</v>
      </c>
      <c r="P2" s="479"/>
      <c r="Q2" s="1554"/>
      <c r="R2" s="1554"/>
      <c r="W2" s="1554"/>
      <c r="Z2" s="480"/>
      <c r="AF2" s="1550"/>
      <c r="AG2" s="1550"/>
      <c r="AH2" s="1550"/>
      <c r="AI2" s="1550"/>
      <c r="AJ2" s="1550"/>
      <c r="AK2" s="1284">
        <v>0</v>
      </c>
    </row>
    <row r="3" spans="1:37" ht="11.25" hidden="1" customHeight="1">
      <c r="E3" s="1963" t="s">
        <v>609</v>
      </c>
      <c r="L3" s="1549">
        <f>0</f>
        <v>0</v>
      </c>
      <c r="M3" s="1549">
        <v>1</v>
      </c>
      <c r="AK3" s="1549">
        <v>0</v>
      </c>
    </row>
    <row r="4" spans="1:37" s="2398" customFormat="1" ht="11.25" hidden="1" customHeight="1">
      <c r="A4" s="911"/>
      <c r="B4" s="911"/>
      <c r="C4" s="911"/>
      <c r="E4" s="911"/>
      <c r="F4" s="1284"/>
      <c r="G4" s="1554"/>
      <c r="H4" s="556"/>
      <c r="N4" s="1284"/>
      <c r="O4" s="1550">
        <v>4</v>
      </c>
      <c r="P4" s="1284"/>
      <c r="Q4" s="1554"/>
      <c r="R4" s="1554"/>
      <c r="S4" s="1284"/>
      <c r="T4" s="1284"/>
      <c r="U4" s="1284"/>
      <c r="V4" s="1284"/>
      <c r="W4" s="1554"/>
      <c r="X4" s="1284"/>
      <c r="Y4" s="1284"/>
      <c r="Z4" s="480"/>
      <c r="AA4" s="1284"/>
      <c r="AB4" s="1284"/>
      <c r="AC4" s="1284"/>
      <c r="AD4" s="1284"/>
      <c r="AE4" s="1284"/>
      <c r="AK4" s="1550">
        <v>0</v>
      </c>
    </row>
    <row r="5" spans="1:37" ht="11.45" customHeight="1">
      <c r="AK5" s="1549">
        <v>11</v>
      </c>
    </row>
    <row r="6" spans="1:37" ht="57.75" customHeight="1">
      <c r="I6" s="2572" t="s">
        <v>610</v>
      </c>
      <c r="J6" s="2572"/>
      <c r="K6" s="2572"/>
      <c r="L6" s="2572"/>
      <c r="M6" s="2572"/>
      <c r="O6" s="492"/>
      <c r="AK6" s="1549">
        <v>55</v>
      </c>
    </row>
    <row r="7" spans="1:37" ht="25.15" customHeight="1">
      <c r="I7" s="2595" t="str">
        <f>IF(org=0,"Не определено",org)</f>
        <v>ПАО "ТГК-1" (филиал "Кольский")</v>
      </c>
      <c r="J7" s="2595"/>
      <c r="K7" s="2595"/>
      <c r="L7" s="2595"/>
      <c r="M7" s="2595"/>
      <c r="AK7" s="1549">
        <v>24</v>
      </c>
    </row>
    <row r="8" spans="1:37" ht="11.45" customHeight="1">
      <c r="I8" s="1054"/>
      <c r="J8" s="1054"/>
      <c r="K8" s="1054"/>
      <c r="L8" s="1054"/>
      <c r="M8" s="1054"/>
      <c r="AK8" s="1549">
        <v>11</v>
      </c>
    </row>
    <row r="9" spans="1:37" s="2407" customFormat="1" ht="30" hidden="1" customHeight="1">
      <c r="A9" s="1085"/>
      <c r="B9" s="1085"/>
      <c r="C9" s="1085"/>
      <c r="E9" s="1085"/>
      <c r="H9" s="1560"/>
      <c r="L9" s="814"/>
      <c r="M9" s="814" t="s">
        <v>110</v>
      </c>
      <c r="AK9" s="1554">
        <v>1</v>
      </c>
    </row>
    <row r="10" spans="1:37" ht="11.45" customHeight="1">
      <c r="E10" s="1962" t="s">
        <v>611</v>
      </c>
      <c r="I10" s="647"/>
      <c r="J10" s="2729" t="s">
        <v>98</v>
      </c>
      <c r="K10" s="2730"/>
      <c r="L10" s="1941" t="str">
        <f>IF(L9="","",INDEX(DIFFERENTIATION_UNMERGE_VD,MATCH(L9,DIFFERENTIATION_ID_DIFF,0)))</f>
        <v/>
      </c>
      <c r="M10" s="1941">
        <f>IF(M9="","",INDEX(DIFFERENTIATION_UNMERGE_VD,MATCH(M9,DIFFERENTIATION_ID_DIFF,0)))</f>
        <v>0</v>
      </c>
      <c r="O10" s="2514" t="s">
        <v>292</v>
      </c>
      <c r="AK10" s="1549">
        <v>11</v>
      </c>
    </row>
    <row r="11" spans="1:37" ht="11.45" customHeight="1">
      <c r="E11" s="1962" t="s">
        <v>612</v>
      </c>
      <c r="I11" s="647"/>
      <c r="J11" s="2729" t="s">
        <v>555</v>
      </c>
      <c r="K11" s="2730"/>
      <c r="L11" s="1941" t="str">
        <f>IF(L9="","",INDEX(DIFFERENTIATION_UNMERGE_AREA,MATCH(L9,DIFFERENTIATION_ID_DIFF,0)))</f>
        <v/>
      </c>
      <c r="M11" s="1941" t="str">
        <f>IF(M9="","",INDEX(DIFFERENTIATION_UNMERGE_AREA,MATCH(M9,DIFFERENTIATION_ID_DIFF,0)))</f>
        <v/>
      </c>
      <c r="O11" s="2514"/>
      <c r="AK11" s="1549">
        <v>11</v>
      </c>
    </row>
    <row r="12" spans="1:37" ht="11.45" customHeight="1">
      <c r="E12" s="1962" t="s">
        <v>613</v>
      </c>
      <c r="I12" s="1580"/>
      <c r="J12" s="2729" t="s">
        <v>556</v>
      </c>
      <c r="K12" s="2730"/>
      <c r="L12" s="1941" t="str">
        <f>IF(L9="","",INDEX(DIFFERENTIATION_UNMERGE_SYSTEM,MATCH(L9,DIFFERENTIATION_ID_DIFF,0)))</f>
        <v/>
      </c>
      <c r="M12" s="1941" t="str">
        <f>IF(M9="","",INDEX(DIFFERENTIATION_UNMERGE_SYSTEM,MATCH(M9,DIFFERENTIATION_ID_DIFF,0)))</f>
        <v>без дифференциации</v>
      </c>
      <c r="O12" s="2514"/>
      <c r="AK12" s="1549">
        <v>11</v>
      </c>
    </row>
    <row r="13" spans="1:37" ht="11.45" customHeight="1">
      <c r="E13" s="1962" t="s">
        <v>614</v>
      </c>
      <c r="F13" s="1962" t="s">
        <v>615</v>
      </c>
      <c r="I13" s="2731" t="s">
        <v>291</v>
      </c>
      <c r="J13" s="2732"/>
      <c r="K13" s="2732"/>
      <c r="L13" s="1939"/>
      <c r="M13" s="1979"/>
      <c r="O13" s="2514"/>
      <c r="AK13" s="1549">
        <v>11</v>
      </c>
    </row>
    <row r="14" spans="1:37" ht="24" customHeight="1">
      <c r="I14" s="1932" t="s">
        <v>84</v>
      </c>
      <c r="J14" s="1932" t="s">
        <v>293</v>
      </c>
      <c r="K14" s="1932" t="s">
        <v>557</v>
      </c>
      <c r="L14" s="1972" t="s">
        <v>294</v>
      </c>
      <c r="M14" s="1973" t="s">
        <v>294</v>
      </c>
      <c r="O14" s="2514"/>
      <c r="AK14" s="1549">
        <v>23</v>
      </c>
    </row>
    <row r="15" spans="1:37" ht="24" customHeight="1">
      <c r="A15" s="1966"/>
      <c r="B15" s="1965" t="s">
        <v>616</v>
      </c>
      <c r="C15" s="1965" t="s">
        <v>617</v>
      </c>
      <c r="D15" s="1964" t="s">
        <v>618</v>
      </c>
      <c r="E15" s="1968" t="s">
        <v>619</v>
      </c>
      <c r="F15" s="1968" t="s">
        <v>619</v>
      </c>
      <c r="G15" s="1554" t="s">
        <v>579</v>
      </c>
      <c r="H15" s="1933"/>
      <c r="I15" s="1548">
        <v>1</v>
      </c>
      <c r="J15" s="1934" t="s">
        <v>620</v>
      </c>
      <c r="K15" s="1932" t="s">
        <v>297</v>
      </c>
      <c r="L15" s="598"/>
      <c r="M15" s="748"/>
      <c r="N15" s="479" t="s">
        <v>621</v>
      </c>
      <c r="O15" s="1443" t="s">
        <v>622</v>
      </c>
      <c r="P15" s="479" t="s">
        <v>621</v>
      </c>
      <c r="AK15" s="1549">
        <v>23</v>
      </c>
    </row>
    <row r="16" spans="1:37" ht="35.65" customHeight="1">
      <c r="A16" s="1966"/>
      <c r="B16" s="1965" t="s">
        <v>623</v>
      </c>
      <c r="C16" s="1965" t="s">
        <v>624</v>
      </c>
      <c r="D16" s="1964" t="s">
        <v>608</v>
      </c>
      <c r="E16" s="1968" t="s">
        <v>619</v>
      </c>
      <c r="F16" s="1968" t="s">
        <v>619</v>
      </c>
      <c r="H16" s="1933"/>
      <c r="I16" s="1547">
        <v>2</v>
      </c>
      <c r="J16" s="1975" t="s">
        <v>625</v>
      </c>
      <c r="K16" s="1974" t="s">
        <v>547</v>
      </c>
      <c r="L16" s="1980"/>
      <c r="M16" s="1594"/>
      <c r="N16" s="479" t="s">
        <v>621</v>
      </c>
      <c r="O16" s="1443" t="s">
        <v>626</v>
      </c>
      <c r="P16" s="479" t="s">
        <v>621</v>
      </c>
      <c r="AK16" s="1549">
        <v>34</v>
      </c>
    </row>
    <row r="17" spans="1:37" s="2407" customFormat="1" ht="17.25" hidden="1" customHeight="1">
      <c r="A17" s="1085"/>
      <c r="B17" s="1085"/>
      <c r="C17" s="1085"/>
      <c r="D17" s="1085"/>
      <c r="E17" s="1085"/>
      <c r="H17" s="1242"/>
      <c r="I17" s="936" t="s">
        <v>627</v>
      </c>
      <c r="J17" s="915"/>
      <c r="K17" s="936"/>
      <c r="L17" s="916"/>
      <c r="M17" s="916"/>
      <c r="O17" s="1303"/>
      <c r="AK17" s="1554">
        <v>1</v>
      </c>
    </row>
    <row r="18" spans="1:37" s="2406" customFormat="1" ht="24" customHeight="1">
      <c r="A18" s="911"/>
      <c r="B18" s="911"/>
      <c r="C18" s="911"/>
      <c r="D18" s="911"/>
      <c r="E18" s="911"/>
      <c r="G18" s="1554"/>
      <c r="H18" s="1551"/>
      <c r="I18" s="506"/>
      <c r="J18" s="507" t="s">
        <v>577</v>
      </c>
      <c r="K18" s="508"/>
      <c r="L18" s="1982"/>
      <c r="M18" s="509"/>
      <c r="N18" s="479"/>
      <c r="O18" s="1443" t="s">
        <v>578</v>
      </c>
      <c r="P18" s="479"/>
      <c r="Q18" s="1554"/>
      <c r="R18" s="1554"/>
      <c r="W18" s="1554"/>
      <c r="Z18" s="480"/>
      <c r="AF18" s="1550"/>
      <c r="AG18" s="1550"/>
      <c r="AH18" s="1550"/>
      <c r="AI18" s="1550"/>
      <c r="AJ18" s="1550"/>
      <c r="AK18" s="1284">
        <v>23</v>
      </c>
    </row>
    <row r="19" spans="1:37" ht="19.899999999999999" customHeight="1">
      <c r="A19" s="1966"/>
      <c r="B19" s="1965" t="s">
        <v>628</v>
      </c>
      <c r="C19" s="1965" t="s">
        <v>629</v>
      </c>
      <c r="D19" s="1964" t="s">
        <v>608</v>
      </c>
      <c r="E19" s="1968" t="s">
        <v>619</v>
      </c>
      <c r="F19" s="1968" t="s">
        <v>619</v>
      </c>
      <c r="H19" s="1933"/>
      <c r="I19" s="1582">
        <v>3</v>
      </c>
      <c r="J19" s="1934" t="s">
        <v>629</v>
      </c>
      <c r="K19" s="1930" t="s">
        <v>547</v>
      </c>
      <c r="L19" s="663"/>
      <c r="M19" s="493"/>
      <c r="N19" s="479"/>
      <c r="O19" s="1443" t="s">
        <v>630</v>
      </c>
      <c r="P19" s="479"/>
      <c r="AK19" s="1549">
        <v>19</v>
      </c>
    </row>
    <row r="20" spans="1:37" ht="77.650000000000006" customHeight="1">
      <c r="A20" s="1966"/>
      <c r="B20" s="1965" t="s">
        <v>631</v>
      </c>
      <c r="C20" s="1965" t="s">
        <v>632</v>
      </c>
      <c r="D20" s="1964" t="s">
        <v>608</v>
      </c>
      <c r="E20" s="1968" t="s">
        <v>619</v>
      </c>
      <c r="F20" s="1968" t="s">
        <v>619</v>
      </c>
      <c r="H20" s="1933"/>
      <c r="I20" s="1582">
        <v>4</v>
      </c>
      <c r="J20" s="1934" t="s">
        <v>633</v>
      </c>
      <c r="K20" s="1930" t="s">
        <v>574</v>
      </c>
      <c r="L20" s="663"/>
      <c r="M20" s="493"/>
      <c r="N20" s="479"/>
      <c r="O20" s="1443"/>
      <c r="P20" s="479"/>
      <c r="AK20" s="1549">
        <v>74</v>
      </c>
    </row>
    <row r="21" spans="1:37" ht="35.65" customHeight="1">
      <c r="A21" s="1966"/>
      <c r="B21" s="1965" t="s">
        <v>634</v>
      </c>
      <c r="C21" s="1965" t="s">
        <v>635</v>
      </c>
      <c r="D21" s="1964" t="s">
        <v>608</v>
      </c>
      <c r="E21" s="1968" t="s">
        <v>619</v>
      </c>
      <c r="F21" s="1968" t="s">
        <v>619</v>
      </c>
      <c r="H21" s="1933"/>
      <c r="I21" s="1582">
        <v>5</v>
      </c>
      <c r="J21" s="1934" t="s">
        <v>636</v>
      </c>
      <c r="K21" s="1930" t="s">
        <v>574</v>
      </c>
      <c r="L21" s="663"/>
      <c r="M21" s="493"/>
      <c r="N21" s="479"/>
      <c r="O21" s="1443" t="s">
        <v>630</v>
      </c>
      <c r="P21" s="479"/>
      <c r="AK21" s="1549">
        <v>34</v>
      </c>
    </row>
    <row r="22" spans="1:37" ht="48.2" customHeight="1">
      <c r="A22" s="1966"/>
      <c r="B22" s="1965" t="s">
        <v>637</v>
      </c>
      <c r="C22" s="1965" t="s">
        <v>638</v>
      </c>
      <c r="D22" s="1964" t="s">
        <v>608</v>
      </c>
      <c r="E22" s="1968" t="s">
        <v>619</v>
      </c>
      <c r="F22" s="1968" t="s">
        <v>619</v>
      </c>
      <c r="H22" s="1933"/>
      <c r="I22" s="1582">
        <v>6</v>
      </c>
      <c r="J22" s="1934" t="s">
        <v>639</v>
      </c>
      <c r="K22" s="1930" t="s">
        <v>574</v>
      </c>
      <c r="L22" s="663"/>
      <c r="M22" s="493"/>
      <c r="N22" s="479"/>
      <c r="O22" s="1443" t="s">
        <v>640</v>
      </c>
      <c r="P22" s="479"/>
      <c r="AK22" s="1549">
        <v>46</v>
      </c>
    </row>
    <row r="23" spans="1:37" ht="19.899999999999999" customHeight="1">
      <c r="A23" s="1966"/>
      <c r="B23" s="1965" t="s">
        <v>641</v>
      </c>
      <c r="C23" s="1965" t="s">
        <v>642</v>
      </c>
      <c r="D23" s="1964" t="s">
        <v>608</v>
      </c>
      <c r="E23" s="1968" t="s">
        <v>619</v>
      </c>
      <c r="F23" s="1968" t="s">
        <v>619</v>
      </c>
      <c r="H23" s="1933"/>
      <c r="I23" s="1582" t="s">
        <v>643</v>
      </c>
      <c r="J23" s="1442" t="s">
        <v>644</v>
      </c>
      <c r="K23" s="1930" t="s">
        <v>574</v>
      </c>
      <c r="L23" s="663"/>
      <c r="M23" s="493"/>
      <c r="N23" s="479"/>
      <c r="O23" s="1443" t="s">
        <v>630</v>
      </c>
      <c r="P23" s="479"/>
      <c r="AK23" s="1549">
        <v>19</v>
      </c>
    </row>
    <row r="24" spans="1:37" ht="19.899999999999999" customHeight="1">
      <c r="A24" s="1966"/>
      <c r="B24" s="1965" t="s">
        <v>645</v>
      </c>
      <c r="C24" s="1965" t="s">
        <v>646</v>
      </c>
      <c r="D24" s="1964" t="s">
        <v>608</v>
      </c>
      <c r="E24" s="1968" t="s">
        <v>619</v>
      </c>
      <c r="F24" s="1968" t="s">
        <v>619</v>
      </c>
      <c r="H24" s="1933"/>
      <c r="I24" s="1582" t="s">
        <v>647</v>
      </c>
      <c r="J24" s="1442" t="s">
        <v>648</v>
      </c>
      <c r="K24" s="1930" t="s">
        <v>574</v>
      </c>
      <c r="L24" s="663"/>
      <c r="M24" s="493"/>
      <c r="N24" s="479"/>
      <c r="O24" s="1443"/>
      <c r="P24" s="479"/>
      <c r="AK24" s="1549">
        <v>19</v>
      </c>
    </row>
    <row r="25" spans="1:37" ht="24" customHeight="1">
      <c r="A25" s="1966"/>
      <c r="B25" s="1965" t="s">
        <v>649</v>
      </c>
      <c r="C25" s="1965" t="s">
        <v>650</v>
      </c>
      <c r="D25" s="1964" t="s">
        <v>608</v>
      </c>
      <c r="E25" s="1968" t="s">
        <v>619</v>
      </c>
      <c r="F25" s="1968" t="s">
        <v>619</v>
      </c>
      <c r="H25" s="1933"/>
      <c r="I25" s="1582" t="s">
        <v>651</v>
      </c>
      <c r="J25" s="1442" t="s">
        <v>652</v>
      </c>
      <c r="K25" s="1930" t="s">
        <v>574</v>
      </c>
      <c r="L25" s="663"/>
      <c r="M25" s="493"/>
      <c r="N25" s="479"/>
      <c r="O25" s="1443"/>
      <c r="P25" s="479"/>
      <c r="AK25" s="1549">
        <v>23</v>
      </c>
    </row>
    <row r="26" spans="1:37" ht="24" customHeight="1">
      <c r="A26" s="1966"/>
      <c r="B26" s="1965" t="s">
        <v>653</v>
      </c>
      <c r="C26" s="1965" t="s">
        <v>654</v>
      </c>
      <c r="D26" s="1964" t="s">
        <v>608</v>
      </c>
      <c r="E26" s="1968" t="s">
        <v>619</v>
      </c>
      <c r="F26" s="1968" t="s">
        <v>619</v>
      </c>
      <c r="H26" s="1933"/>
      <c r="I26" s="1582">
        <v>7</v>
      </c>
      <c r="J26" s="1934" t="s">
        <v>654</v>
      </c>
      <c r="K26" s="1930" t="s">
        <v>655</v>
      </c>
      <c r="L26" s="663"/>
      <c r="M26" s="493"/>
      <c r="N26" s="479"/>
      <c r="O26" s="1443"/>
      <c r="P26" s="479"/>
      <c r="AK26" s="1549">
        <v>23</v>
      </c>
    </row>
    <row r="27" spans="1:37" ht="24" customHeight="1">
      <c r="A27" s="1966"/>
      <c r="B27" s="1965" t="s">
        <v>656</v>
      </c>
      <c r="C27" s="1965" t="s">
        <v>657</v>
      </c>
      <c r="D27" s="1964" t="s">
        <v>608</v>
      </c>
      <c r="E27" s="1968" t="s">
        <v>619</v>
      </c>
      <c r="F27" s="1968" t="s">
        <v>619</v>
      </c>
      <c r="H27" s="1933"/>
      <c r="I27" s="1582">
        <v>8</v>
      </c>
      <c r="J27" s="1934" t="s">
        <v>657</v>
      </c>
      <c r="K27" s="1930" t="s">
        <v>580</v>
      </c>
      <c r="L27" s="663"/>
      <c r="M27" s="493"/>
      <c r="N27" s="479"/>
      <c r="O27" s="1443"/>
      <c r="P27" s="479"/>
      <c r="AK27" s="1549">
        <v>23</v>
      </c>
    </row>
    <row r="28" spans="1:37" ht="35.65" customHeight="1">
      <c r="A28" s="1966"/>
      <c r="B28" s="1965" t="s">
        <v>658</v>
      </c>
      <c r="C28" s="1965" t="s">
        <v>659</v>
      </c>
      <c r="D28" s="1964" t="s">
        <v>608</v>
      </c>
      <c r="E28" s="1968" t="s">
        <v>619</v>
      </c>
      <c r="F28" s="1968" t="s">
        <v>619</v>
      </c>
      <c r="H28" s="1933"/>
      <c r="I28" s="1593">
        <v>9</v>
      </c>
      <c r="J28" s="1934" t="s">
        <v>660</v>
      </c>
      <c r="K28" s="1930" t="s">
        <v>551</v>
      </c>
      <c r="L28" s="663"/>
      <c r="M28" s="493"/>
      <c r="N28" s="479"/>
      <c r="O28" s="1443"/>
      <c r="P28" s="479"/>
      <c r="AK28" s="1549">
        <v>34</v>
      </c>
    </row>
    <row r="29" spans="1:37" ht="35.65" customHeight="1">
      <c r="A29" s="1966"/>
      <c r="B29" s="1965" t="s">
        <v>661</v>
      </c>
      <c r="C29" s="1965" t="s">
        <v>662</v>
      </c>
      <c r="D29" s="1964" t="s">
        <v>608</v>
      </c>
      <c r="E29" s="1968" t="s">
        <v>619</v>
      </c>
      <c r="F29" s="1968" t="s">
        <v>619</v>
      </c>
      <c r="H29" s="1933"/>
      <c r="I29" s="1593">
        <v>10</v>
      </c>
      <c r="J29" s="1934" t="s">
        <v>663</v>
      </c>
      <c r="K29" s="1930" t="s">
        <v>551</v>
      </c>
      <c r="L29" s="663"/>
      <c r="M29" s="493"/>
      <c r="N29" s="479"/>
      <c r="O29" s="1443"/>
      <c r="P29" s="479"/>
      <c r="AK29" s="1549">
        <v>34</v>
      </c>
    </row>
    <row r="30" spans="1:37" ht="24" customHeight="1">
      <c r="A30" s="1966"/>
      <c r="B30" s="1965" t="s">
        <v>664</v>
      </c>
      <c r="C30" s="1965" t="s">
        <v>665</v>
      </c>
      <c r="D30" s="1964" t="s">
        <v>608</v>
      </c>
      <c r="E30" s="1968" t="s">
        <v>619</v>
      </c>
      <c r="F30" s="1968" t="s">
        <v>619</v>
      </c>
      <c r="H30" s="1933"/>
      <c r="I30" s="1593">
        <v>11</v>
      </c>
      <c r="J30" s="1934" t="s">
        <v>665</v>
      </c>
      <c r="K30" s="1930" t="s">
        <v>581</v>
      </c>
      <c r="L30" s="1981"/>
      <c r="M30" s="1539"/>
      <c r="N30" s="479"/>
      <c r="O30" s="1443"/>
      <c r="P30" s="479"/>
      <c r="AK30" s="1549">
        <v>23</v>
      </c>
    </row>
    <row r="31" spans="1:37" ht="24" customHeight="1">
      <c r="A31" s="1966"/>
      <c r="B31" s="1965" t="s">
        <v>666</v>
      </c>
      <c r="C31" s="1965" t="s">
        <v>667</v>
      </c>
      <c r="D31" s="1964" t="s">
        <v>608</v>
      </c>
      <c r="E31" s="1968" t="s">
        <v>619</v>
      </c>
      <c r="F31" s="1968" t="s">
        <v>619</v>
      </c>
      <c r="H31" s="1933"/>
      <c r="I31" s="1593">
        <v>12</v>
      </c>
      <c r="J31" s="1934" t="s">
        <v>667</v>
      </c>
      <c r="K31" s="1930" t="s">
        <v>581</v>
      </c>
      <c r="L31" s="1981"/>
      <c r="M31" s="1539"/>
      <c r="N31" s="479"/>
      <c r="O31" s="1443"/>
      <c r="P31" s="479"/>
      <c r="AK31" s="1549">
        <v>23</v>
      </c>
    </row>
    <row r="32" spans="1:37" ht="48.2" customHeight="1">
      <c r="A32" s="1966"/>
      <c r="B32" s="1965" t="s">
        <v>668</v>
      </c>
      <c r="C32" s="1965" t="s">
        <v>669</v>
      </c>
      <c r="D32" s="1964" t="s">
        <v>608</v>
      </c>
      <c r="E32" s="1968" t="s">
        <v>619</v>
      </c>
      <c r="F32" s="1968" t="s">
        <v>619</v>
      </c>
      <c r="H32" s="1933"/>
      <c r="I32" s="1593">
        <v>13</v>
      </c>
      <c r="J32" s="1934" t="s">
        <v>670</v>
      </c>
      <c r="K32" s="1930" t="s">
        <v>591</v>
      </c>
      <c r="L32" s="663"/>
      <c r="M32" s="493"/>
      <c r="N32" s="479"/>
      <c r="O32" s="1443" t="s">
        <v>630</v>
      </c>
      <c r="P32" s="479"/>
      <c r="AK32" s="1549">
        <v>46</v>
      </c>
    </row>
    <row r="33" spans="1:37" s="2406" customFormat="1" ht="48.2" customHeight="1">
      <c r="A33" s="1966"/>
      <c r="B33" s="1965" t="s">
        <v>671</v>
      </c>
      <c r="C33" s="1965" t="s">
        <v>672</v>
      </c>
      <c r="D33" s="1964" t="s">
        <v>608</v>
      </c>
      <c r="E33" s="1968" t="s">
        <v>619</v>
      </c>
      <c r="F33" s="1968" t="s">
        <v>619</v>
      </c>
      <c r="G33" s="1554"/>
      <c r="H33" s="1933"/>
      <c r="I33" s="1593">
        <v>14</v>
      </c>
      <c r="J33" s="1946" t="s">
        <v>673</v>
      </c>
      <c r="K33" s="1935" t="s">
        <v>674</v>
      </c>
      <c r="L33" s="663"/>
      <c r="M33" s="493"/>
      <c r="N33" s="479"/>
      <c r="O33" s="1443" t="s">
        <v>630</v>
      </c>
      <c r="P33" s="479"/>
      <c r="Q33" s="1554"/>
      <c r="R33" s="1554"/>
      <c r="W33" s="1554"/>
      <c r="Z33" s="480"/>
      <c r="AF33" s="1550"/>
      <c r="AG33" s="1550"/>
      <c r="AH33" s="1550"/>
      <c r="AI33" s="1550"/>
      <c r="AJ33" s="1550"/>
      <c r="AK33" s="1284">
        <v>46</v>
      </c>
    </row>
    <row r="34" spans="1:37" ht="108" customHeight="1">
      <c r="A34" s="1966"/>
      <c r="B34" s="1965" t="s">
        <v>675</v>
      </c>
      <c r="C34" s="1965" t="s">
        <v>676</v>
      </c>
      <c r="D34" s="1964" t="s">
        <v>618</v>
      </c>
      <c r="E34" s="1968" t="s">
        <v>619</v>
      </c>
      <c r="F34" s="1968" t="s">
        <v>619</v>
      </c>
      <c r="G34" s="1554" t="s">
        <v>579</v>
      </c>
      <c r="H34" s="1933"/>
      <c r="I34" s="1944">
        <v>15</v>
      </c>
      <c r="J34" s="1945" t="s">
        <v>677</v>
      </c>
      <c r="K34" s="1930" t="s">
        <v>297</v>
      </c>
      <c r="L34" s="321"/>
      <c r="M34" s="1082"/>
      <c r="N34" s="479"/>
      <c r="O34" s="1443" t="s">
        <v>622</v>
      </c>
      <c r="P34" s="479"/>
      <c r="AK34" s="1549">
        <v>103</v>
      </c>
    </row>
    <row r="35" spans="1:37" s="2431" customFormat="1" ht="11.45" customHeight="1">
      <c r="A35" s="911"/>
      <c r="B35" s="911"/>
      <c r="C35" s="911"/>
      <c r="D35" s="911"/>
      <c r="E35" s="911"/>
      <c r="F35" s="1554"/>
      <c r="G35" s="1554"/>
      <c r="H35" s="287"/>
      <c r="N35" s="1284"/>
      <c r="P35" s="1284"/>
      <c r="Q35" s="1554"/>
      <c r="R35" s="1554"/>
      <c r="S35" s="1284"/>
      <c r="T35" s="1284"/>
      <c r="U35" s="1284"/>
      <c r="V35" s="1284"/>
      <c r="W35" s="1554"/>
      <c r="X35" s="1284"/>
      <c r="Y35" s="1284"/>
      <c r="Z35" s="480"/>
      <c r="AA35" s="1284"/>
      <c r="AB35" s="1284"/>
      <c r="AC35" s="1284"/>
      <c r="AD35" s="1284"/>
      <c r="AE35" s="1284"/>
      <c r="AF35" s="1550"/>
      <c r="AG35" s="558"/>
      <c r="AH35" s="558"/>
      <c r="AI35" s="558"/>
      <c r="AJ35" s="558"/>
      <c r="AK35" s="1559">
        <v>11</v>
      </c>
    </row>
    <row r="36" spans="1:37" s="2431" customFormat="1" ht="11.45" customHeight="1">
      <c r="A36" s="911"/>
      <c r="B36" s="911"/>
      <c r="C36" s="911"/>
      <c r="D36" s="911"/>
      <c r="E36" s="911"/>
      <c r="F36" s="1554"/>
      <c r="G36" s="1554"/>
      <c r="H36" s="287"/>
      <c r="N36" s="1284"/>
      <c r="P36" s="1284"/>
      <c r="Q36" s="1554"/>
      <c r="R36" s="1554"/>
      <c r="S36" s="1284"/>
      <c r="T36" s="1284"/>
      <c r="U36" s="1284"/>
      <c r="V36" s="1284"/>
      <c r="W36" s="1554"/>
      <c r="X36" s="1284"/>
      <c r="Y36" s="1284"/>
      <c r="Z36" s="480"/>
      <c r="AA36" s="1284"/>
      <c r="AB36" s="1284"/>
      <c r="AC36" s="1284"/>
      <c r="AD36" s="1284"/>
      <c r="AE36" s="1284"/>
      <c r="AF36" s="1550"/>
      <c r="AG36" s="558"/>
      <c r="AH36" s="558"/>
      <c r="AI36" s="558"/>
      <c r="AJ36" s="558"/>
      <c r="AK36" s="1559">
        <v>11</v>
      </c>
    </row>
    <row r="37" spans="1:37" s="2431" customFormat="1" ht="11.45" customHeight="1">
      <c r="A37" s="911"/>
      <c r="B37" s="911"/>
      <c r="C37" s="911"/>
      <c r="D37" s="911"/>
      <c r="E37" s="911"/>
      <c r="F37" s="1554"/>
      <c r="G37" s="1554"/>
      <c r="H37" s="287"/>
      <c r="L37" s="558"/>
      <c r="M37" s="558"/>
      <c r="N37" s="1284"/>
      <c r="P37" s="1284"/>
      <c r="Q37" s="1554"/>
      <c r="R37" s="1554"/>
      <c r="S37" s="1284"/>
      <c r="T37" s="1284"/>
      <c r="U37" s="1284"/>
      <c r="V37" s="1284"/>
      <c r="W37" s="1554"/>
      <c r="X37" s="1284"/>
      <c r="Y37" s="1284"/>
      <c r="Z37" s="480"/>
      <c r="AA37" s="1284"/>
      <c r="AB37" s="1284"/>
      <c r="AC37" s="1284"/>
      <c r="AD37" s="1284"/>
      <c r="AE37" s="1284"/>
      <c r="AF37" s="1550"/>
      <c r="AG37" s="558"/>
      <c r="AH37" s="558"/>
      <c r="AI37" s="558"/>
      <c r="AJ37" s="558"/>
      <c r="AK37" s="1559">
        <v>11</v>
      </c>
    </row>
    <row r="38" spans="1:37" s="2431" customFormat="1" ht="11.45" customHeight="1">
      <c r="A38" s="911"/>
      <c r="B38" s="911"/>
      <c r="C38" s="911"/>
      <c r="D38" s="911"/>
      <c r="E38" s="911"/>
      <c r="F38" s="1554"/>
      <c r="G38" s="1554"/>
      <c r="H38" s="287"/>
      <c r="N38" s="1284"/>
      <c r="P38" s="1284"/>
      <c r="Q38" s="1554"/>
      <c r="R38" s="1554"/>
      <c r="S38" s="1284"/>
      <c r="T38" s="1284"/>
      <c r="U38" s="1284"/>
      <c r="V38" s="1284"/>
      <c r="W38" s="1554"/>
      <c r="X38" s="1284"/>
      <c r="Y38" s="1284"/>
      <c r="Z38" s="480"/>
      <c r="AA38" s="1284"/>
      <c r="AB38" s="1284"/>
      <c r="AC38" s="1284"/>
      <c r="AD38" s="1284"/>
      <c r="AE38" s="1284"/>
      <c r="AF38" s="1550"/>
      <c r="AG38" s="558"/>
      <c r="AH38" s="558"/>
      <c r="AI38" s="558"/>
      <c r="AJ38" s="558"/>
      <c r="AK38" s="1559">
        <v>11</v>
      </c>
    </row>
    <row r="39" spans="1:37" s="2431" customFormat="1" ht="11.45" customHeight="1">
      <c r="A39" s="911"/>
      <c r="B39" s="911"/>
      <c r="C39" s="911"/>
      <c r="D39" s="911"/>
      <c r="E39" s="911"/>
      <c r="F39" s="1554"/>
      <c r="G39" s="1554"/>
      <c r="H39" s="287"/>
      <c r="N39" s="1284"/>
      <c r="P39" s="1284"/>
      <c r="Q39" s="1554"/>
      <c r="R39" s="1554"/>
      <c r="S39" s="1284"/>
      <c r="T39" s="1284"/>
      <c r="U39" s="1284"/>
      <c r="V39" s="1284"/>
      <c r="W39" s="1554"/>
      <c r="X39" s="1284"/>
      <c r="Y39" s="1284"/>
      <c r="Z39" s="480"/>
      <c r="AA39" s="1284"/>
      <c r="AB39" s="1284"/>
      <c r="AC39" s="1284"/>
      <c r="AD39" s="1284"/>
      <c r="AE39" s="1284"/>
      <c r="AF39" s="1550"/>
      <c r="AG39" s="558"/>
      <c r="AH39" s="558"/>
      <c r="AI39" s="558"/>
      <c r="AJ39" s="558"/>
      <c r="AK39" s="1559">
        <v>11</v>
      </c>
    </row>
    <row r="40" spans="1:37" s="2431" customFormat="1" ht="11.45" customHeight="1">
      <c r="A40" s="911"/>
      <c r="B40" s="911"/>
      <c r="C40" s="911"/>
      <c r="D40" s="911"/>
      <c r="E40" s="911"/>
      <c r="F40" s="1554"/>
      <c r="G40" s="1554"/>
      <c r="H40" s="287"/>
      <c r="N40" s="1284"/>
      <c r="P40" s="1284"/>
      <c r="Q40" s="1554"/>
      <c r="R40" s="1554"/>
      <c r="S40" s="1284"/>
      <c r="T40" s="1284"/>
      <c r="U40" s="1284"/>
      <c r="V40" s="1284"/>
      <c r="W40" s="1554"/>
      <c r="X40" s="1284"/>
      <c r="Y40" s="1284"/>
      <c r="Z40" s="480"/>
      <c r="AA40" s="1284"/>
      <c r="AB40" s="1284"/>
      <c r="AC40" s="1284"/>
      <c r="AD40" s="1284"/>
      <c r="AE40" s="1284"/>
      <c r="AF40" s="1550"/>
      <c r="AG40" s="558"/>
      <c r="AH40" s="558"/>
      <c r="AI40" s="558"/>
      <c r="AJ40" s="558"/>
      <c r="AK40" s="1559">
        <v>11</v>
      </c>
    </row>
    <row r="41" spans="1:37" s="2431" customFormat="1" ht="11.45" customHeight="1">
      <c r="A41" s="911"/>
      <c r="B41" s="911"/>
      <c r="C41" s="911"/>
      <c r="D41" s="911"/>
      <c r="E41" s="911"/>
      <c r="F41" s="1554"/>
      <c r="G41" s="1554"/>
      <c r="H41" s="287"/>
      <c r="N41" s="1284"/>
      <c r="P41" s="1284"/>
      <c r="Q41" s="1554"/>
      <c r="R41" s="1554"/>
      <c r="S41" s="1284"/>
      <c r="T41" s="1284"/>
      <c r="U41" s="1284"/>
      <c r="V41" s="1284"/>
      <c r="W41" s="1554"/>
      <c r="X41" s="1284"/>
      <c r="Y41" s="1284"/>
      <c r="Z41" s="480"/>
      <c r="AA41" s="1284"/>
      <c r="AB41" s="1284"/>
      <c r="AC41" s="1284"/>
      <c r="AD41" s="1284"/>
      <c r="AE41" s="1284"/>
      <c r="AF41" s="1550"/>
      <c r="AG41" s="558"/>
      <c r="AH41" s="558"/>
      <c r="AI41" s="558"/>
      <c r="AJ41" s="558"/>
      <c r="AK41" s="1559">
        <v>11</v>
      </c>
    </row>
    <row r="42" spans="1:37" s="2431" customFormat="1" ht="11.45" customHeight="1">
      <c r="A42" s="911"/>
      <c r="B42" s="911"/>
      <c r="C42" s="911"/>
      <c r="D42" s="911"/>
      <c r="E42" s="911"/>
      <c r="F42" s="1554"/>
      <c r="G42" s="1554"/>
      <c r="H42" s="287"/>
      <c r="N42" s="1284"/>
      <c r="P42" s="1284"/>
      <c r="Q42" s="1554"/>
      <c r="R42" s="1554"/>
      <c r="S42" s="1284"/>
      <c r="T42" s="1284"/>
      <c r="U42" s="1284"/>
      <c r="V42" s="1284"/>
      <c r="W42" s="1554"/>
      <c r="X42" s="1284"/>
      <c r="Y42" s="1284"/>
      <c r="Z42" s="480"/>
      <c r="AA42" s="1284"/>
      <c r="AB42" s="1284"/>
      <c r="AC42" s="1284"/>
      <c r="AD42" s="1284"/>
      <c r="AE42" s="1284"/>
      <c r="AF42" s="1550"/>
      <c r="AG42" s="558"/>
      <c r="AH42" s="558"/>
      <c r="AI42" s="558"/>
      <c r="AJ42" s="558"/>
      <c r="AK42" s="1559">
        <v>11</v>
      </c>
    </row>
    <row r="43" spans="1:37" s="2431" customFormat="1" ht="11.45" customHeight="1">
      <c r="A43" s="911"/>
      <c r="B43" s="911"/>
      <c r="C43" s="911"/>
      <c r="D43" s="911"/>
      <c r="E43" s="911"/>
      <c r="F43" s="1554"/>
      <c r="G43" s="1554"/>
      <c r="H43" s="287"/>
      <c r="N43" s="1284"/>
      <c r="P43" s="1284"/>
      <c r="Q43" s="1554"/>
      <c r="R43" s="1554"/>
      <c r="S43" s="1284"/>
      <c r="T43" s="1284"/>
      <c r="U43" s="1284"/>
      <c r="V43" s="1284"/>
      <c r="W43" s="1554"/>
      <c r="X43" s="1284"/>
      <c r="Y43" s="1284"/>
      <c r="Z43" s="480"/>
      <c r="AA43" s="1284"/>
      <c r="AB43" s="1284"/>
      <c r="AC43" s="1284"/>
      <c r="AD43" s="1284"/>
      <c r="AE43" s="1284"/>
      <c r="AF43" s="1550"/>
      <c r="AG43" s="558"/>
      <c r="AH43" s="558"/>
      <c r="AI43" s="558"/>
      <c r="AJ43" s="558"/>
      <c r="AK43" s="1559">
        <v>11</v>
      </c>
    </row>
    <row r="44" spans="1:37" s="2431" customFormat="1" ht="11.45" customHeight="1">
      <c r="A44" s="911"/>
      <c r="B44" s="911"/>
      <c r="C44" s="911"/>
      <c r="D44" s="911"/>
      <c r="E44" s="911"/>
      <c r="F44" s="1554"/>
      <c r="G44" s="1554"/>
      <c r="H44" s="287"/>
      <c r="N44" s="1284"/>
      <c r="P44" s="1284"/>
      <c r="Q44" s="1554"/>
      <c r="R44" s="1554"/>
      <c r="S44" s="1284"/>
      <c r="T44" s="1284"/>
      <c r="U44" s="1284"/>
      <c r="V44" s="1284"/>
      <c r="W44" s="1554"/>
      <c r="X44" s="1284"/>
      <c r="Y44" s="1284"/>
      <c r="Z44" s="480"/>
      <c r="AA44" s="1284"/>
      <c r="AB44" s="1284"/>
      <c r="AC44" s="1284"/>
      <c r="AD44" s="1284"/>
      <c r="AE44" s="1284"/>
      <c r="AF44" s="1550"/>
      <c r="AG44" s="558"/>
      <c r="AH44" s="558"/>
      <c r="AI44" s="558"/>
      <c r="AJ44" s="558"/>
      <c r="AK44" s="1559">
        <v>11</v>
      </c>
    </row>
    <row r="45" spans="1:37" s="2431" customFormat="1" ht="11.45" customHeight="1">
      <c r="A45" s="911"/>
      <c r="B45" s="911"/>
      <c r="C45" s="911"/>
      <c r="D45" s="911"/>
      <c r="E45" s="911"/>
      <c r="F45" s="1554"/>
      <c r="G45" s="1554"/>
      <c r="H45" s="287"/>
      <c r="N45" s="1284"/>
      <c r="P45" s="1284"/>
      <c r="Q45" s="1554"/>
      <c r="R45" s="1554"/>
      <c r="S45" s="1284"/>
      <c r="T45" s="1284"/>
      <c r="U45" s="1284"/>
      <c r="V45" s="1284"/>
      <c r="W45" s="1554"/>
      <c r="X45" s="1284"/>
      <c r="Y45" s="1284"/>
      <c r="Z45" s="480"/>
      <c r="AA45" s="1284"/>
      <c r="AB45" s="1284"/>
      <c r="AC45" s="1284"/>
      <c r="AD45" s="1284"/>
      <c r="AE45" s="1284"/>
      <c r="AF45" s="1550"/>
      <c r="AG45" s="558"/>
      <c r="AH45" s="558"/>
      <c r="AI45" s="558"/>
      <c r="AJ45" s="558"/>
      <c r="AK45" s="1559">
        <v>11</v>
      </c>
    </row>
    <row r="46" spans="1:37" s="2431" customFormat="1" ht="11.45" customHeight="1">
      <c r="A46" s="911"/>
      <c r="B46" s="911"/>
      <c r="C46" s="911"/>
      <c r="D46" s="911"/>
      <c r="E46" s="911"/>
      <c r="F46" s="1554"/>
      <c r="G46" s="1554"/>
      <c r="H46" s="287"/>
      <c r="N46" s="1284"/>
      <c r="P46" s="1284"/>
      <c r="Q46" s="1554"/>
      <c r="R46" s="1554"/>
      <c r="S46" s="1284"/>
      <c r="T46" s="1284"/>
      <c r="U46" s="1284"/>
      <c r="V46" s="1284"/>
      <c r="W46" s="1554"/>
      <c r="X46" s="1284"/>
      <c r="Y46" s="1284"/>
      <c r="Z46" s="480"/>
      <c r="AA46" s="1284"/>
      <c r="AB46" s="1284"/>
      <c r="AC46" s="1284"/>
      <c r="AD46" s="1284"/>
      <c r="AE46" s="1284"/>
      <c r="AF46" s="1550"/>
      <c r="AG46" s="558"/>
      <c r="AH46" s="558"/>
      <c r="AI46" s="558"/>
      <c r="AJ46" s="558"/>
      <c r="AK46" s="1559">
        <v>11</v>
      </c>
    </row>
    <row r="47" spans="1:37" s="2431" customFormat="1" ht="11.45" customHeight="1">
      <c r="A47" s="911"/>
      <c r="B47" s="911"/>
      <c r="C47" s="911"/>
      <c r="D47" s="911"/>
      <c r="E47" s="911"/>
      <c r="F47" s="1554"/>
      <c r="G47" s="1554"/>
      <c r="H47" s="287"/>
      <c r="N47" s="1284"/>
      <c r="P47" s="1284"/>
      <c r="Q47" s="1554"/>
      <c r="R47" s="1554"/>
      <c r="S47" s="1284"/>
      <c r="T47" s="1284"/>
      <c r="U47" s="1284"/>
      <c r="V47" s="1284"/>
      <c r="W47" s="1554"/>
      <c r="X47" s="1284"/>
      <c r="Y47" s="1284"/>
      <c r="Z47" s="480"/>
      <c r="AA47" s="1284"/>
      <c r="AB47" s="1284"/>
      <c r="AC47" s="1284"/>
      <c r="AD47" s="1284"/>
      <c r="AE47" s="1284"/>
      <c r="AF47" s="1550"/>
      <c r="AG47" s="558"/>
      <c r="AH47" s="558"/>
      <c r="AI47" s="558"/>
      <c r="AJ47" s="558"/>
      <c r="AK47" s="1559">
        <v>11</v>
      </c>
    </row>
    <row r="48" spans="1:37" s="2431" customFormat="1" ht="11.45" customHeight="1">
      <c r="A48" s="911"/>
      <c r="B48" s="911"/>
      <c r="C48" s="911"/>
      <c r="D48" s="911"/>
      <c r="E48" s="911"/>
      <c r="F48" s="1554"/>
      <c r="G48" s="1554"/>
      <c r="H48" s="287"/>
      <c r="N48" s="1284"/>
      <c r="P48" s="1284"/>
      <c r="Q48" s="1554"/>
      <c r="R48" s="1554"/>
      <c r="S48" s="1284"/>
      <c r="T48" s="1284"/>
      <c r="U48" s="1284"/>
      <c r="V48" s="1284"/>
      <c r="W48" s="1554"/>
      <c r="X48" s="1284"/>
      <c r="Y48" s="1284"/>
      <c r="Z48" s="480"/>
      <c r="AA48" s="1284"/>
      <c r="AB48" s="1284"/>
      <c r="AC48" s="1284"/>
      <c r="AD48" s="1284"/>
      <c r="AE48" s="1284"/>
      <c r="AF48" s="1550"/>
      <c r="AG48" s="558"/>
      <c r="AH48" s="558"/>
      <c r="AI48" s="558"/>
      <c r="AJ48" s="558"/>
      <c r="AK48" s="1559">
        <v>11</v>
      </c>
    </row>
    <row r="49" spans="1:37" s="2431" customFormat="1" ht="11.45" customHeight="1">
      <c r="A49" s="911"/>
      <c r="B49" s="911"/>
      <c r="C49" s="911"/>
      <c r="D49" s="911"/>
      <c r="E49" s="911"/>
      <c r="F49" s="1554"/>
      <c r="G49" s="1554"/>
      <c r="H49" s="287"/>
      <c r="N49" s="1284"/>
      <c r="P49" s="1284"/>
      <c r="Q49" s="1554"/>
      <c r="R49" s="1554"/>
      <c r="S49" s="1284"/>
      <c r="T49" s="1284"/>
      <c r="U49" s="1284"/>
      <c r="V49" s="1284"/>
      <c r="W49" s="1554"/>
      <c r="X49" s="1284"/>
      <c r="Y49" s="1284"/>
      <c r="Z49" s="480"/>
      <c r="AA49" s="1284"/>
      <c r="AB49" s="1284"/>
      <c r="AC49" s="1284"/>
      <c r="AD49" s="1284"/>
      <c r="AE49" s="1284"/>
      <c r="AF49" s="1550"/>
      <c r="AG49" s="558"/>
      <c r="AH49" s="558"/>
      <c r="AI49" s="558"/>
      <c r="AJ49" s="558"/>
      <c r="AK49" s="1559">
        <v>11</v>
      </c>
    </row>
    <row r="50" spans="1:37" s="2431" customFormat="1" ht="11.45" customHeight="1">
      <c r="A50" s="911"/>
      <c r="B50" s="911"/>
      <c r="C50" s="911"/>
      <c r="D50" s="911"/>
      <c r="E50" s="911"/>
      <c r="F50" s="1554"/>
      <c r="G50" s="1554"/>
      <c r="H50" s="287"/>
      <c r="N50" s="1284"/>
      <c r="P50" s="1284"/>
      <c r="Q50" s="1554"/>
      <c r="R50" s="1554"/>
      <c r="S50" s="1284"/>
      <c r="T50" s="1284"/>
      <c r="U50" s="1284"/>
      <c r="V50" s="1284"/>
      <c r="W50" s="1554"/>
      <c r="X50" s="1284"/>
      <c r="Y50" s="1284"/>
      <c r="Z50" s="480"/>
      <c r="AA50" s="1284"/>
      <c r="AB50" s="1284"/>
      <c r="AC50" s="1284"/>
      <c r="AD50" s="1284"/>
      <c r="AE50" s="1284"/>
      <c r="AF50" s="1550"/>
      <c r="AG50" s="558"/>
      <c r="AH50" s="558"/>
      <c r="AI50" s="558"/>
      <c r="AJ50" s="558"/>
      <c r="AK50" s="1559">
        <v>11</v>
      </c>
    </row>
    <row r="51" spans="1:37" s="2431" customFormat="1" ht="11.45" customHeight="1">
      <c r="A51" s="911"/>
      <c r="B51" s="911"/>
      <c r="C51" s="911"/>
      <c r="D51" s="911"/>
      <c r="E51" s="911"/>
      <c r="F51" s="1554"/>
      <c r="G51" s="1554"/>
      <c r="H51" s="287"/>
      <c r="N51" s="1284"/>
      <c r="P51" s="1284"/>
      <c r="Q51" s="1554"/>
      <c r="R51" s="1554"/>
      <c r="S51" s="1284"/>
      <c r="T51" s="1284"/>
      <c r="U51" s="1284"/>
      <c r="V51" s="1284"/>
      <c r="W51" s="1554"/>
      <c r="X51" s="1284"/>
      <c r="Y51" s="1284"/>
      <c r="Z51" s="480"/>
      <c r="AA51" s="1284"/>
      <c r="AB51" s="1284"/>
      <c r="AC51" s="1284"/>
      <c r="AD51" s="1284"/>
      <c r="AE51" s="1284"/>
      <c r="AF51" s="1550"/>
      <c r="AG51" s="558"/>
      <c r="AH51" s="558"/>
      <c r="AI51" s="558"/>
      <c r="AJ51" s="558"/>
      <c r="AK51" s="1559">
        <v>11</v>
      </c>
    </row>
    <row r="52" spans="1:37" s="2431" customFormat="1" ht="11.45" customHeight="1">
      <c r="A52" s="911"/>
      <c r="B52" s="911"/>
      <c r="C52" s="911"/>
      <c r="D52" s="911"/>
      <c r="E52" s="911"/>
      <c r="F52" s="1554"/>
      <c r="G52" s="1554"/>
      <c r="H52" s="287"/>
      <c r="N52" s="1284"/>
      <c r="P52" s="1284"/>
      <c r="Q52" s="1554"/>
      <c r="R52" s="1554"/>
      <c r="S52" s="1284"/>
      <c r="T52" s="1284"/>
      <c r="U52" s="1284"/>
      <c r="V52" s="1284"/>
      <c r="W52" s="1554"/>
      <c r="X52" s="1284"/>
      <c r="Y52" s="1284"/>
      <c r="Z52" s="480"/>
      <c r="AA52" s="1284"/>
      <c r="AB52" s="1284"/>
      <c r="AC52" s="1284"/>
      <c r="AD52" s="1284"/>
      <c r="AE52" s="1284"/>
      <c r="AF52" s="1550"/>
      <c r="AG52" s="558"/>
      <c r="AH52" s="558"/>
      <c r="AI52" s="558"/>
      <c r="AJ52" s="558"/>
      <c r="AK52" s="1559">
        <v>11</v>
      </c>
    </row>
    <row r="53" spans="1:37" s="2431" customFormat="1" ht="11.45" customHeight="1">
      <c r="A53" s="911"/>
      <c r="B53" s="911"/>
      <c r="C53" s="911"/>
      <c r="D53" s="911"/>
      <c r="E53" s="911"/>
      <c r="F53" s="1554"/>
      <c r="G53" s="1554"/>
      <c r="H53" s="287"/>
      <c r="N53" s="1284"/>
      <c r="P53" s="1284"/>
      <c r="Q53" s="1554"/>
      <c r="R53" s="1554"/>
      <c r="S53" s="1284"/>
      <c r="T53" s="1284"/>
      <c r="U53" s="1284"/>
      <c r="V53" s="1284"/>
      <c r="W53" s="1554"/>
      <c r="X53" s="1284"/>
      <c r="Y53" s="1284"/>
      <c r="Z53" s="480"/>
      <c r="AA53" s="1284"/>
      <c r="AB53" s="1284"/>
      <c r="AC53" s="1284"/>
      <c r="AD53" s="1284"/>
      <c r="AE53" s="1284"/>
      <c r="AF53" s="1550"/>
      <c r="AG53" s="558"/>
      <c r="AH53" s="558"/>
      <c r="AI53" s="558"/>
      <c r="AJ53" s="558"/>
      <c r="AK53" s="1559">
        <v>11</v>
      </c>
    </row>
    <row r="54" spans="1:37" s="2431" customFormat="1" ht="11.45" customHeight="1">
      <c r="A54" s="911"/>
      <c r="B54" s="911"/>
      <c r="C54" s="911"/>
      <c r="D54" s="911"/>
      <c r="E54" s="911"/>
      <c r="F54" s="1554"/>
      <c r="G54" s="1554"/>
      <c r="H54" s="287"/>
      <c r="N54" s="1284"/>
      <c r="P54" s="1284"/>
      <c r="Q54" s="1554"/>
      <c r="R54" s="1554"/>
      <c r="S54" s="1284"/>
      <c r="T54" s="1284"/>
      <c r="U54" s="1284"/>
      <c r="V54" s="1284"/>
      <c r="W54" s="1554"/>
      <c r="X54" s="1284"/>
      <c r="Y54" s="1284"/>
      <c r="Z54" s="480"/>
      <c r="AA54" s="1284"/>
      <c r="AB54" s="1284"/>
      <c r="AC54" s="1284"/>
      <c r="AD54" s="1284"/>
      <c r="AE54" s="1284"/>
      <c r="AF54" s="1550"/>
      <c r="AG54" s="558"/>
      <c r="AH54" s="558"/>
      <c r="AI54" s="558"/>
      <c r="AJ54" s="558"/>
      <c r="AK54" s="1559">
        <v>11</v>
      </c>
    </row>
    <row r="55" spans="1:37" s="2431" customFormat="1" ht="11.45" customHeight="1">
      <c r="A55" s="911"/>
      <c r="B55" s="911"/>
      <c r="C55" s="911"/>
      <c r="D55" s="911"/>
      <c r="E55" s="911"/>
      <c r="F55" s="1554"/>
      <c r="G55" s="1554"/>
      <c r="H55" s="287"/>
      <c r="N55" s="1284"/>
      <c r="P55" s="1284"/>
      <c r="Q55" s="1554"/>
      <c r="R55" s="1554"/>
      <c r="S55" s="1284"/>
      <c r="T55" s="1284"/>
      <c r="U55" s="1284"/>
      <c r="V55" s="1284"/>
      <c r="W55" s="1554"/>
      <c r="X55" s="1284"/>
      <c r="Y55" s="1284"/>
      <c r="Z55" s="480"/>
      <c r="AA55" s="1284"/>
      <c r="AB55" s="1284"/>
      <c r="AC55" s="1284"/>
      <c r="AD55" s="1284"/>
      <c r="AE55" s="1284"/>
      <c r="AF55" s="1550"/>
      <c r="AG55" s="558"/>
      <c r="AH55" s="558"/>
      <c r="AI55" s="558"/>
      <c r="AJ55" s="558"/>
      <c r="AK55" s="1559">
        <v>11</v>
      </c>
    </row>
    <row r="56" spans="1:37" s="2431" customFormat="1" ht="11.45" customHeight="1">
      <c r="A56" s="911"/>
      <c r="B56" s="911"/>
      <c r="C56" s="911"/>
      <c r="D56" s="911"/>
      <c r="E56" s="911"/>
      <c r="F56" s="1554"/>
      <c r="G56" s="1554"/>
      <c r="H56" s="287"/>
      <c r="N56" s="1284"/>
      <c r="P56" s="1284"/>
      <c r="Q56" s="1554"/>
      <c r="R56" s="1554"/>
      <c r="S56" s="1284"/>
      <c r="T56" s="1284"/>
      <c r="U56" s="1284"/>
      <c r="V56" s="1284"/>
      <c r="W56" s="1554"/>
      <c r="X56" s="1284"/>
      <c r="Y56" s="1284"/>
      <c r="Z56" s="480"/>
      <c r="AA56" s="1284"/>
      <c r="AB56" s="1284"/>
      <c r="AC56" s="1284"/>
      <c r="AD56" s="1284"/>
      <c r="AE56" s="1284"/>
      <c r="AF56" s="1550"/>
      <c r="AG56" s="558"/>
      <c r="AH56" s="558"/>
      <c r="AI56" s="558"/>
      <c r="AJ56" s="558"/>
      <c r="AK56" s="1559">
        <v>11</v>
      </c>
    </row>
    <row r="57" spans="1:37" s="2431" customFormat="1" ht="11.45" customHeight="1">
      <c r="A57" s="911"/>
      <c r="B57" s="911"/>
      <c r="C57" s="911"/>
      <c r="D57" s="911"/>
      <c r="E57" s="911"/>
      <c r="F57" s="1554"/>
      <c r="G57" s="1554"/>
      <c r="H57" s="287"/>
      <c r="N57" s="1284"/>
      <c r="P57" s="1284"/>
      <c r="Q57" s="1554"/>
      <c r="R57" s="1554"/>
      <c r="S57" s="1284"/>
      <c r="T57" s="1284"/>
      <c r="U57" s="1284"/>
      <c r="V57" s="1284"/>
      <c r="W57" s="1554"/>
      <c r="X57" s="1284"/>
      <c r="Y57" s="1284"/>
      <c r="Z57" s="480"/>
      <c r="AA57" s="1284"/>
      <c r="AB57" s="1284"/>
      <c r="AC57" s="1284"/>
      <c r="AD57" s="1284"/>
      <c r="AE57" s="1284"/>
      <c r="AF57" s="1550"/>
      <c r="AG57" s="558"/>
      <c r="AH57" s="558"/>
      <c r="AI57" s="558"/>
      <c r="AJ57" s="558"/>
      <c r="AK57" s="1559">
        <v>11</v>
      </c>
    </row>
    <row r="58" spans="1:37" s="2431" customFormat="1" ht="11.45" customHeight="1">
      <c r="A58" s="911"/>
      <c r="B58" s="911"/>
      <c r="C58" s="911"/>
      <c r="D58" s="911"/>
      <c r="E58" s="911"/>
      <c r="F58" s="1554"/>
      <c r="G58" s="1554"/>
      <c r="H58" s="287"/>
      <c r="N58" s="1284"/>
      <c r="P58" s="1284"/>
      <c r="Q58" s="1554"/>
      <c r="R58" s="1554"/>
      <c r="S58" s="1284"/>
      <c r="T58" s="1284"/>
      <c r="U58" s="1284"/>
      <c r="V58" s="1284"/>
      <c r="W58" s="1554"/>
      <c r="X58" s="1284"/>
      <c r="Y58" s="1284"/>
      <c r="Z58" s="480"/>
      <c r="AA58" s="1284"/>
      <c r="AB58" s="1284"/>
      <c r="AC58" s="1284"/>
      <c r="AD58" s="1284"/>
      <c r="AE58" s="1284"/>
      <c r="AF58" s="1550"/>
      <c r="AG58" s="558"/>
      <c r="AH58" s="558"/>
      <c r="AI58" s="558"/>
      <c r="AJ58" s="558"/>
      <c r="AK58" s="1559">
        <v>11</v>
      </c>
    </row>
    <row r="59" spans="1:37" s="2431" customFormat="1" ht="11.45" customHeight="1">
      <c r="A59" s="911"/>
      <c r="B59" s="911"/>
      <c r="C59" s="911"/>
      <c r="D59" s="911"/>
      <c r="E59" s="911"/>
      <c r="F59" s="1554"/>
      <c r="G59" s="1554"/>
      <c r="H59" s="287"/>
      <c r="N59" s="1284"/>
      <c r="P59" s="1284"/>
      <c r="Q59" s="1554"/>
      <c r="R59" s="1554"/>
      <c r="S59" s="1284"/>
      <c r="T59" s="1284"/>
      <c r="U59" s="1284"/>
      <c r="V59" s="1284"/>
      <c r="W59" s="1554"/>
      <c r="X59" s="1284"/>
      <c r="Y59" s="1284"/>
      <c r="Z59" s="480"/>
      <c r="AA59" s="1284"/>
      <c r="AB59" s="1284"/>
      <c r="AC59" s="1284"/>
      <c r="AD59" s="1284"/>
      <c r="AE59" s="1284"/>
      <c r="AF59" s="1550"/>
      <c r="AG59" s="558"/>
      <c r="AH59" s="558"/>
      <c r="AI59" s="558"/>
      <c r="AJ59" s="558"/>
      <c r="AK59" s="1559">
        <v>11</v>
      </c>
    </row>
    <row r="60" spans="1:37" s="2431" customFormat="1" ht="11.45" customHeight="1">
      <c r="A60" s="911"/>
      <c r="B60" s="911"/>
      <c r="C60" s="911"/>
      <c r="D60" s="911"/>
      <c r="E60" s="911"/>
      <c r="F60" s="1554"/>
      <c r="G60" s="1554"/>
      <c r="H60" s="287"/>
      <c r="N60" s="1284"/>
      <c r="P60" s="1284"/>
      <c r="Q60" s="1554"/>
      <c r="R60" s="1554"/>
      <c r="S60" s="1284"/>
      <c r="T60" s="1284"/>
      <c r="U60" s="1284"/>
      <c r="V60" s="1284"/>
      <c r="W60" s="1554"/>
      <c r="X60" s="1284"/>
      <c r="Y60" s="1284"/>
      <c r="Z60" s="480"/>
      <c r="AA60" s="1284"/>
      <c r="AB60" s="1284"/>
      <c r="AC60" s="1284"/>
      <c r="AD60" s="1284"/>
      <c r="AE60" s="1284"/>
      <c r="AF60" s="1550"/>
      <c r="AG60" s="558"/>
      <c r="AH60" s="558"/>
      <c r="AI60" s="558"/>
      <c r="AJ60" s="558"/>
      <c r="AK60" s="1559">
        <v>11</v>
      </c>
    </row>
    <row r="61" spans="1:37" s="2431" customFormat="1" ht="11.45" customHeight="1">
      <c r="A61" s="911"/>
      <c r="B61" s="911"/>
      <c r="C61" s="911"/>
      <c r="D61" s="911"/>
      <c r="E61" s="911"/>
      <c r="F61" s="1554"/>
      <c r="G61" s="1554"/>
      <c r="H61" s="287"/>
      <c r="N61" s="1284"/>
      <c r="P61" s="1284"/>
      <c r="Q61" s="1554"/>
      <c r="R61" s="1554"/>
      <c r="S61" s="1284"/>
      <c r="T61" s="1284"/>
      <c r="U61" s="1284"/>
      <c r="V61" s="1284"/>
      <c r="W61" s="1554"/>
      <c r="X61" s="1284"/>
      <c r="Y61" s="1284"/>
      <c r="Z61" s="480"/>
      <c r="AA61" s="1284"/>
      <c r="AB61" s="1284"/>
      <c r="AC61" s="1284"/>
      <c r="AD61" s="1284"/>
      <c r="AE61" s="1284"/>
      <c r="AF61" s="1550"/>
      <c r="AG61" s="558"/>
      <c r="AH61" s="558"/>
      <c r="AI61" s="558"/>
      <c r="AJ61" s="558"/>
      <c r="AK61" s="1559">
        <v>11</v>
      </c>
    </row>
    <row r="62" spans="1:37" s="2431" customFormat="1" ht="11.45" customHeight="1">
      <c r="A62" s="911"/>
      <c r="B62" s="911"/>
      <c r="C62" s="911"/>
      <c r="D62" s="911"/>
      <c r="E62" s="911"/>
      <c r="F62" s="1554"/>
      <c r="G62" s="1554"/>
      <c r="H62" s="287"/>
      <c r="N62" s="1284"/>
      <c r="P62" s="1284"/>
      <c r="Q62" s="1554"/>
      <c r="R62" s="1554"/>
      <c r="S62" s="1284"/>
      <c r="T62" s="1284"/>
      <c r="U62" s="1284"/>
      <c r="V62" s="1284"/>
      <c r="W62" s="1554"/>
      <c r="X62" s="1284"/>
      <c r="Y62" s="1284"/>
      <c r="Z62" s="480"/>
      <c r="AA62" s="1284"/>
      <c r="AB62" s="1284"/>
      <c r="AC62" s="1284"/>
      <c r="AD62" s="1284"/>
      <c r="AE62" s="1284"/>
      <c r="AF62" s="1550"/>
      <c r="AG62" s="558"/>
      <c r="AH62" s="558"/>
      <c r="AI62" s="558"/>
      <c r="AJ62" s="558"/>
      <c r="AK62" s="1559">
        <v>11</v>
      </c>
    </row>
    <row r="63" spans="1:37" s="2431" customFormat="1" ht="11.45" customHeight="1">
      <c r="A63" s="911"/>
      <c r="B63" s="911"/>
      <c r="C63" s="911"/>
      <c r="D63" s="911"/>
      <c r="E63" s="911"/>
      <c r="F63" s="1554"/>
      <c r="G63" s="1554"/>
      <c r="H63" s="287"/>
      <c r="N63" s="1284"/>
      <c r="P63" s="1284"/>
      <c r="Q63" s="1554"/>
      <c r="R63" s="1554"/>
      <c r="S63" s="1284"/>
      <c r="T63" s="1284"/>
      <c r="U63" s="1284"/>
      <c r="V63" s="1284"/>
      <c r="W63" s="1554"/>
      <c r="X63" s="1284"/>
      <c r="Y63" s="1284"/>
      <c r="Z63" s="480"/>
      <c r="AA63" s="1284"/>
      <c r="AB63" s="1284"/>
      <c r="AC63" s="1284"/>
      <c r="AD63" s="1284"/>
      <c r="AE63" s="1284"/>
      <c r="AF63" s="1550"/>
      <c r="AG63" s="558"/>
      <c r="AH63" s="558"/>
      <c r="AI63" s="558"/>
      <c r="AJ63" s="558"/>
      <c r="AK63" s="1559">
        <v>11</v>
      </c>
    </row>
    <row r="64" spans="1:37" s="2431" customFormat="1" ht="11.45" customHeight="1">
      <c r="A64" s="911"/>
      <c r="B64" s="911"/>
      <c r="C64" s="911"/>
      <c r="D64" s="911"/>
      <c r="E64" s="911"/>
      <c r="F64" s="1554"/>
      <c r="G64" s="1554"/>
      <c r="H64" s="287"/>
      <c r="N64" s="1284"/>
      <c r="P64" s="1284"/>
      <c r="Q64" s="1554"/>
      <c r="R64" s="1554"/>
      <c r="S64" s="1284"/>
      <c r="T64" s="1284"/>
      <c r="U64" s="1284"/>
      <c r="V64" s="1284"/>
      <c r="W64" s="1554"/>
      <c r="X64" s="1284"/>
      <c r="Y64" s="1284"/>
      <c r="Z64" s="480"/>
      <c r="AA64" s="1284"/>
      <c r="AB64" s="1284"/>
      <c r="AC64" s="1284"/>
      <c r="AD64" s="1284"/>
      <c r="AE64" s="1284"/>
      <c r="AF64" s="1550"/>
      <c r="AG64" s="558"/>
      <c r="AH64" s="558"/>
      <c r="AI64" s="558"/>
      <c r="AJ64" s="558"/>
      <c r="AK64" s="1559">
        <v>11</v>
      </c>
    </row>
    <row r="65" spans="1:37" s="2431" customFormat="1" ht="11.45" customHeight="1">
      <c r="A65" s="911"/>
      <c r="B65" s="911"/>
      <c r="C65" s="911"/>
      <c r="D65" s="911"/>
      <c r="E65" s="911"/>
      <c r="F65" s="1554"/>
      <c r="G65" s="1554"/>
      <c r="H65" s="287"/>
      <c r="N65" s="1284"/>
      <c r="P65" s="1284"/>
      <c r="Q65" s="1554"/>
      <c r="R65" s="1554"/>
      <c r="S65" s="1284"/>
      <c r="T65" s="1284"/>
      <c r="U65" s="1284"/>
      <c r="V65" s="1284"/>
      <c r="W65" s="1554"/>
      <c r="X65" s="1284"/>
      <c r="Y65" s="1284"/>
      <c r="Z65" s="480"/>
      <c r="AA65" s="1284"/>
      <c r="AB65" s="1284"/>
      <c r="AC65" s="1284"/>
      <c r="AD65" s="1284"/>
      <c r="AE65" s="1284"/>
      <c r="AF65" s="1550"/>
      <c r="AG65" s="558"/>
      <c r="AH65" s="558"/>
      <c r="AI65" s="558"/>
      <c r="AJ65" s="558"/>
      <c r="AK65" s="1559">
        <v>11</v>
      </c>
    </row>
    <row r="66" spans="1:37" s="2431" customFormat="1" ht="11.45" customHeight="1">
      <c r="A66" s="911"/>
      <c r="B66" s="911"/>
      <c r="C66" s="911"/>
      <c r="D66" s="911"/>
      <c r="E66" s="911"/>
      <c r="F66" s="1554"/>
      <c r="G66" s="1554"/>
      <c r="H66" s="287"/>
      <c r="N66" s="1284"/>
      <c r="P66" s="1284"/>
      <c r="Q66" s="1554"/>
      <c r="R66" s="1554"/>
      <c r="S66" s="1284"/>
      <c r="T66" s="1284"/>
      <c r="U66" s="1284"/>
      <c r="V66" s="1284"/>
      <c r="W66" s="1554"/>
      <c r="X66" s="1284"/>
      <c r="Y66" s="1284"/>
      <c r="Z66" s="480"/>
      <c r="AA66" s="1284"/>
      <c r="AB66" s="1284"/>
      <c r="AC66" s="1284"/>
      <c r="AD66" s="1284"/>
      <c r="AE66" s="1284"/>
      <c r="AF66" s="1550"/>
      <c r="AG66" s="558"/>
      <c r="AH66" s="558"/>
      <c r="AI66" s="558"/>
      <c r="AJ66" s="558"/>
      <c r="AK66" s="1559">
        <v>11</v>
      </c>
    </row>
    <row r="67" spans="1:37" s="2431" customFormat="1" ht="11.45" customHeight="1">
      <c r="A67" s="911"/>
      <c r="B67" s="911"/>
      <c r="C67" s="911"/>
      <c r="D67" s="911"/>
      <c r="E67" s="911"/>
      <c r="F67" s="1554"/>
      <c r="G67" s="1554"/>
      <c r="H67" s="287"/>
      <c r="N67" s="1284"/>
      <c r="P67" s="1284"/>
      <c r="Q67" s="1554"/>
      <c r="R67" s="1554"/>
      <c r="S67" s="1284"/>
      <c r="T67" s="1284"/>
      <c r="U67" s="1284"/>
      <c r="V67" s="1284"/>
      <c r="W67" s="1554"/>
      <c r="X67" s="1284"/>
      <c r="Y67" s="1284"/>
      <c r="Z67" s="480"/>
      <c r="AA67" s="1284"/>
      <c r="AB67" s="1284"/>
      <c r="AC67" s="1284"/>
      <c r="AD67" s="1284"/>
      <c r="AE67" s="1284"/>
      <c r="AF67" s="1550"/>
      <c r="AG67" s="558"/>
      <c r="AH67" s="558"/>
      <c r="AI67" s="558"/>
      <c r="AJ67" s="558"/>
      <c r="AK67" s="1559">
        <v>11</v>
      </c>
    </row>
    <row r="68" spans="1:37" s="2431" customFormat="1" ht="11.45" customHeight="1">
      <c r="A68" s="911"/>
      <c r="B68" s="911"/>
      <c r="C68" s="911"/>
      <c r="D68" s="911"/>
      <c r="E68" s="911"/>
      <c r="F68" s="1554"/>
      <c r="G68" s="1554"/>
      <c r="H68" s="287"/>
      <c r="N68" s="1284"/>
      <c r="P68" s="1284"/>
      <c r="Q68" s="1554"/>
      <c r="R68" s="1554"/>
      <c r="S68" s="1284"/>
      <c r="T68" s="1284"/>
      <c r="U68" s="1284"/>
      <c r="V68" s="1284"/>
      <c r="W68" s="1554"/>
      <c r="X68" s="1284"/>
      <c r="Y68" s="1284"/>
      <c r="Z68" s="480"/>
      <c r="AA68" s="1284"/>
      <c r="AB68" s="1284"/>
      <c r="AC68" s="1284"/>
      <c r="AD68" s="1284"/>
      <c r="AE68" s="1284"/>
      <c r="AF68" s="1550"/>
      <c r="AG68" s="558"/>
      <c r="AH68" s="558"/>
      <c r="AI68" s="558"/>
      <c r="AJ68" s="558"/>
      <c r="AK68" s="1559">
        <v>11</v>
      </c>
    </row>
    <row r="69" spans="1:37" s="2431" customFormat="1" ht="11.45" customHeight="1">
      <c r="A69" s="911"/>
      <c r="B69" s="911"/>
      <c r="C69" s="911"/>
      <c r="D69" s="911"/>
      <c r="E69" s="911"/>
      <c r="F69" s="1554"/>
      <c r="G69" s="1554"/>
      <c r="H69" s="287"/>
      <c r="N69" s="1284"/>
      <c r="P69" s="1284"/>
      <c r="Q69" s="1554"/>
      <c r="R69" s="1554"/>
      <c r="S69" s="1284"/>
      <c r="T69" s="1284"/>
      <c r="U69" s="1284"/>
      <c r="V69" s="1284"/>
      <c r="W69" s="1554"/>
      <c r="X69" s="1284"/>
      <c r="Y69" s="1284"/>
      <c r="Z69" s="480"/>
      <c r="AA69" s="1284"/>
      <c r="AB69" s="1284"/>
      <c r="AC69" s="1284"/>
      <c r="AD69" s="1284"/>
      <c r="AE69" s="1284"/>
      <c r="AF69" s="1550"/>
      <c r="AG69" s="558"/>
      <c r="AH69" s="558"/>
      <c r="AI69" s="558"/>
      <c r="AJ69" s="558"/>
      <c r="AK69" s="1559">
        <v>11</v>
      </c>
    </row>
    <row r="70" spans="1:37" s="2431" customFormat="1" ht="11.45" customHeight="1">
      <c r="A70" s="911"/>
      <c r="B70" s="911"/>
      <c r="C70" s="911"/>
      <c r="D70" s="911"/>
      <c r="E70" s="911"/>
      <c r="F70" s="1554"/>
      <c r="G70" s="1554"/>
      <c r="H70" s="287"/>
      <c r="N70" s="1284"/>
      <c r="P70" s="1284"/>
      <c r="Q70" s="1554"/>
      <c r="R70" s="1554"/>
      <c r="S70" s="1284"/>
      <c r="T70" s="1284"/>
      <c r="U70" s="1284"/>
      <c r="V70" s="1284"/>
      <c r="W70" s="1554"/>
      <c r="X70" s="1284"/>
      <c r="Y70" s="1284"/>
      <c r="Z70" s="480"/>
      <c r="AA70" s="1284"/>
      <c r="AB70" s="1284"/>
      <c r="AC70" s="1284"/>
      <c r="AD70" s="1284"/>
      <c r="AE70" s="1284"/>
      <c r="AF70" s="1550"/>
      <c r="AG70" s="558"/>
      <c r="AH70" s="558"/>
      <c r="AI70" s="558"/>
      <c r="AJ70" s="558"/>
      <c r="AK70" s="1559">
        <v>11</v>
      </c>
    </row>
    <row r="71" spans="1:37" s="2431" customFormat="1" ht="11.45" customHeight="1">
      <c r="A71" s="911"/>
      <c r="B71" s="911"/>
      <c r="C71" s="911"/>
      <c r="D71" s="911"/>
      <c r="E71" s="911"/>
      <c r="F71" s="1554"/>
      <c r="G71" s="1554"/>
      <c r="H71" s="287"/>
      <c r="N71" s="1284"/>
      <c r="P71" s="1284"/>
      <c r="Q71" s="1554"/>
      <c r="R71" s="1554"/>
      <c r="S71" s="1284"/>
      <c r="T71" s="1284"/>
      <c r="U71" s="1284"/>
      <c r="V71" s="1284"/>
      <c r="W71" s="1554"/>
      <c r="X71" s="1284"/>
      <c r="Y71" s="1284"/>
      <c r="Z71" s="480"/>
      <c r="AA71" s="1284"/>
      <c r="AB71" s="1284"/>
      <c r="AC71" s="1284"/>
      <c r="AD71" s="1284"/>
      <c r="AE71" s="1284"/>
      <c r="AF71" s="1550"/>
      <c r="AG71" s="558"/>
      <c r="AH71" s="558"/>
      <c r="AI71" s="558"/>
      <c r="AJ71" s="558"/>
      <c r="AK71" s="1559">
        <v>11</v>
      </c>
    </row>
    <row r="72" spans="1:37" s="2431" customFormat="1" ht="11.45" customHeight="1">
      <c r="A72" s="911"/>
      <c r="B72" s="911"/>
      <c r="C72" s="911"/>
      <c r="D72" s="911"/>
      <c r="E72" s="911"/>
      <c r="F72" s="1554"/>
      <c r="G72" s="1554"/>
      <c r="H72" s="287"/>
      <c r="N72" s="1284"/>
      <c r="P72" s="1284"/>
      <c r="Q72" s="1554"/>
      <c r="R72" s="1554"/>
      <c r="S72" s="1284"/>
      <c r="T72" s="1284"/>
      <c r="U72" s="1284"/>
      <c r="V72" s="1284"/>
      <c r="W72" s="1554"/>
      <c r="X72" s="1284"/>
      <c r="Y72" s="1284"/>
      <c r="Z72" s="480"/>
      <c r="AA72" s="1284"/>
      <c r="AB72" s="1284"/>
      <c r="AC72" s="1284"/>
      <c r="AD72" s="1284"/>
      <c r="AE72" s="1284"/>
      <c r="AF72" s="1550"/>
      <c r="AG72" s="558"/>
      <c r="AH72" s="558"/>
      <c r="AI72" s="558"/>
      <c r="AJ72" s="558"/>
      <c r="AK72" s="1559">
        <v>11</v>
      </c>
    </row>
    <row r="73" spans="1:37" s="2431" customFormat="1" ht="11.45" customHeight="1">
      <c r="A73" s="911"/>
      <c r="B73" s="911"/>
      <c r="C73" s="911"/>
      <c r="D73" s="911"/>
      <c r="E73" s="911"/>
      <c r="F73" s="1554"/>
      <c r="G73" s="1554"/>
      <c r="H73" s="287"/>
      <c r="N73" s="1284"/>
      <c r="P73" s="1284"/>
      <c r="Q73" s="1554"/>
      <c r="R73" s="1554"/>
      <c r="S73" s="1284"/>
      <c r="T73" s="1284"/>
      <c r="U73" s="1284"/>
      <c r="V73" s="1284"/>
      <c r="W73" s="1554"/>
      <c r="X73" s="1284"/>
      <c r="Y73" s="1284"/>
      <c r="Z73" s="480"/>
      <c r="AA73" s="1284"/>
      <c r="AB73" s="1284"/>
      <c r="AC73" s="1284"/>
      <c r="AD73" s="1284"/>
      <c r="AE73" s="1284"/>
      <c r="AF73" s="1550"/>
      <c r="AG73" s="558"/>
      <c r="AH73" s="558"/>
      <c r="AI73" s="558"/>
      <c r="AJ73" s="558"/>
      <c r="AK73" s="1559">
        <v>11</v>
      </c>
    </row>
    <row r="74" spans="1:37" s="2431" customFormat="1" ht="11.45" customHeight="1">
      <c r="A74" s="911"/>
      <c r="B74" s="911"/>
      <c r="C74" s="911"/>
      <c r="D74" s="911"/>
      <c r="E74" s="911"/>
      <c r="F74" s="1554"/>
      <c r="G74" s="1554"/>
      <c r="H74" s="287"/>
      <c r="N74" s="1284"/>
      <c r="P74" s="1284"/>
      <c r="Q74" s="1554"/>
      <c r="R74" s="1554"/>
      <c r="S74" s="1284"/>
      <c r="T74" s="1284"/>
      <c r="U74" s="1284"/>
      <c r="V74" s="1284"/>
      <c r="W74" s="1554"/>
      <c r="X74" s="1284"/>
      <c r="Y74" s="1284"/>
      <c r="Z74" s="480"/>
      <c r="AA74" s="1284"/>
      <c r="AB74" s="1284"/>
      <c r="AC74" s="1284"/>
      <c r="AD74" s="1284"/>
      <c r="AE74" s="1284"/>
      <c r="AF74" s="1550"/>
      <c r="AG74" s="558"/>
      <c r="AH74" s="558"/>
      <c r="AI74" s="558"/>
      <c r="AJ74" s="558"/>
      <c r="AK74" s="1559">
        <v>11</v>
      </c>
    </row>
    <row r="75" spans="1:37" s="2431" customFormat="1" ht="11.45" customHeight="1">
      <c r="A75" s="911"/>
      <c r="B75" s="911"/>
      <c r="C75" s="911"/>
      <c r="D75" s="911"/>
      <c r="E75" s="911"/>
      <c r="F75" s="1554"/>
      <c r="G75" s="1554"/>
      <c r="H75" s="287"/>
      <c r="N75" s="1284"/>
      <c r="P75" s="1284"/>
      <c r="Q75" s="1554"/>
      <c r="R75" s="1554"/>
      <c r="S75" s="1284"/>
      <c r="T75" s="1284"/>
      <c r="U75" s="1284"/>
      <c r="V75" s="1284"/>
      <c r="W75" s="1554"/>
      <c r="X75" s="1284"/>
      <c r="Y75" s="1284"/>
      <c r="Z75" s="480"/>
      <c r="AA75" s="1284"/>
      <c r="AB75" s="1284"/>
      <c r="AC75" s="1284"/>
      <c r="AD75" s="1284"/>
      <c r="AE75" s="1284"/>
      <c r="AF75" s="1550"/>
      <c r="AG75" s="558"/>
      <c r="AH75" s="558"/>
      <c r="AI75" s="558"/>
      <c r="AJ75" s="558"/>
      <c r="AK75" s="1559">
        <v>11</v>
      </c>
    </row>
    <row r="76" spans="1:37" s="2431" customFormat="1" ht="11.45" customHeight="1">
      <c r="A76" s="911"/>
      <c r="B76" s="911"/>
      <c r="C76" s="911"/>
      <c r="D76" s="911"/>
      <c r="E76" s="911"/>
      <c r="F76" s="1554"/>
      <c r="G76" s="1554"/>
      <c r="H76" s="287"/>
      <c r="N76" s="1284"/>
      <c r="P76" s="1284"/>
      <c r="Q76" s="1554"/>
      <c r="R76" s="1554"/>
      <c r="S76" s="1284"/>
      <c r="T76" s="1284"/>
      <c r="U76" s="1284"/>
      <c r="V76" s="1284"/>
      <c r="W76" s="1554"/>
      <c r="X76" s="1284"/>
      <c r="Y76" s="1284"/>
      <c r="Z76" s="480"/>
      <c r="AA76" s="1284"/>
      <c r="AB76" s="1284"/>
      <c r="AC76" s="1284"/>
      <c r="AD76" s="1284"/>
      <c r="AE76" s="1284"/>
      <c r="AF76" s="1550"/>
      <c r="AG76" s="558"/>
      <c r="AH76" s="558"/>
      <c r="AI76" s="558"/>
      <c r="AJ76" s="558"/>
      <c r="AK76" s="1559">
        <v>11</v>
      </c>
    </row>
    <row r="77" spans="1:37" s="2431" customFormat="1" ht="11.45" customHeight="1">
      <c r="A77" s="911"/>
      <c r="B77" s="911"/>
      <c r="C77" s="911"/>
      <c r="D77" s="911"/>
      <c r="E77" s="911"/>
      <c r="F77" s="1554"/>
      <c r="G77" s="1554"/>
      <c r="H77" s="287"/>
      <c r="N77" s="1284"/>
      <c r="P77" s="1284"/>
      <c r="Q77" s="1554"/>
      <c r="R77" s="1554"/>
      <c r="S77" s="1284"/>
      <c r="T77" s="1284"/>
      <c r="U77" s="1284"/>
      <c r="V77" s="1284"/>
      <c r="W77" s="1554"/>
      <c r="X77" s="1284"/>
      <c r="Y77" s="1284"/>
      <c r="Z77" s="480"/>
      <c r="AA77" s="1284"/>
      <c r="AB77" s="1284"/>
      <c r="AC77" s="1284"/>
      <c r="AD77" s="1284"/>
      <c r="AE77" s="1284"/>
      <c r="AF77" s="1550"/>
      <c r="AG77" s="558"/>
      <c r="AH77" s="558"/>
      <c r="AI77" s="558"/>
      <c r="AJ77" s="558"/>
      <c r="AK77" s="1559">
        <v>11</v>
      </c>
    </row>
    <row r="78" spans="1:37" s="2431" customFormat="1" ht="11.45" customHeight="1">
      <c r="A78" s="911"/>
      <c r="B78" s="911"/>
      <c r="C78" s="911"/>
      <c r="D78" s="911"/>
      <c r="E78" s="911"/>
      <c r="F78" s="1554"/>
      <c r="G78" s="1554"/>
      <c r="H78" s="287"/>
      <c r="N78" s="1284"/>
      <c r="P78" s="1284"/>
      <c r="Q78" s="1554"/>
      <c r="R78" s="1554"/>
      <c r="S78" s="1284"/>
      <c r="T78" s="1284"/>
      <c r="U78" s="1284"/>
      <c r="V78" s="1284"/>
      <c r="W78" s="1554"/>
      <c r="X78" s="1284"/>
      <c r="Y78" s="1284"/>
      <c r="Z78" s="480"/>
      <c r="AA78" s="1284"/>
      <c r="AB78" s="1284"/>
      <c r="AC78" s="1284"/>
      <c r="AD78" s="1284"/>
      <c r="AE78" s="1284"/>
      <c r="AF78" s="1550"/>
      <c r="AG78" s="558"/>
      <c r="AH78" s="558"/>
      <c r="AI78" s="558"/>
      <c r="AJ78" s="558"/>
      <c r="AK78" s="1559">
        <v>11</v>
      </c>
    </row>
    <row r="79" spans="1:37" s="2431" customFormat="1" ht="11.45" customHeight="1">
      <c r="A79" s="911"/>
      <c r="B79" s="911"/>
      <c r="C79" s="911"/>
      <c r="D79" s="911"/>
      <c r="E79" s="911"/>
      <c r="F79" s="1554"/>
      <c r="G79" s="1554"/>
      <c r="H79" s="287"/>
      <c r="N79" s="1284"/>
      <c r="P79" s="1284"/>
      <c r="Q79" s="1554"/>
      <c r="R79" s="1554"/>
      <c r="S79" s="1284"/>
      <c r="T79" s="1284"/>
      <c r="U79" s="1284"/>
      <c r="V79" s="1284"/>
      <c r="W79" s="1554"/>
      <c r="X79" s="1284"/>
      <c r="Y79" s="1284"/>
      <c r="Z79" s="480"/>
      <c r="AA79" s="1284"/>
      <c r="AB79" s="1284"/>
      <c r="AC79" s="1284"/>
      <c r="AD79" s="1284"/>
      <c r="AE79" s="1284"/>
      <c r="AF79" s="1550"/>
      <c r="AG79" s="558"/>
      <c r="AH79" s="558"/>
      <c r="AI79" s="558"/>
      <c r="AJ79" s="558"/>
      <c r="AK79" s="1559">
        <v>11</v>
      </c>
    </row>
    <row r="80" spans="1:37" s="2431" customFormat="1" ht="11.45" customHeight="1">
      <c r="A80" s="911"/>
      <c r="B80" s="911"/>
      <c r="C80" s="911"/>
      <c r="D80" s="911"/>
      <c r="E80" s="911"/>
      <c r="F80" s="1554"/>
      <c r="G80" s="1554"/>
      <c r="H80" s="287"/>
      <c r="N80" s="1284"/>
      <c r="P80" s="1284"/>
      <c r="Q80" s="1554"/>
      <c r="R80" s="1554"/>
      <c r="S80" s="1284"/>
      <c r="T80" s="1284"/>
      <c r="U80" s="1284"/>
      <c r="V80" s="1284"/>
      <c r="W80" s="1554"/>
      <c r="X80" s="1284"/>
      <c r="Y80" s="1284"/>
      <c r="Z80" s="480"/>
      <c r="AA80" s="1284"/>
      <c r="AB80" s="1284"/>
      <c r="AC80" s="1284"/>
      <c r="AD80" s="1284"/>
      <c r="AE80" s="1284"/>
      <c r="AF80" s="1550"/>
      <c r="AG80" s="558"/>
      <c r="AH80" s="558"/>
      <c r="AI80" s="558"/>
      <c r="AJ80" s="558"/>
      <c r="AK80" s="1559">
        <v>11</v>
      </c>
    </row>
    <row r="81" spans="1:37" s="2431" customFormat="1" ht="11.45" customHeight="1">
      <c r="A81" s="911"/>
      <c r="B81" s="911"/>
      <c r="C81" s="911"/>
      <c r="D81" s="911"/>
      <c r="E81" s="911"/>
      <c r="F81" s="1554"/>
      <c r="G81" s="1554"/>
      <c r="H81" s="287"/>
      <c r="N81" s="1284"/>
      <c r="P81" s="1284"/>
      <c r="Q81" s="1554"/>
      <c r="R81" s="1554"/>
      <c r="S81" s="1284"/>
      <c r="T81" s="1284"/>
      <c r="U81" s="1284"/>
      <c r="V81" s="1284"/>
      <c r="W81" s="1554"/>
      <c r="X81" s="1284"/>
      <c r="Y81" s="1284"/>
      <c r="Z81" s="480"/>
      <c r="AA81" s="1284"/>
      <c r="AB81" s="1284"/>
      <c r="AC81" s="1284"/>
      <c r="AD81" s="1284"/>
      <c r="AE81" s="1284"/>
      <c r="AF81" s="1550"/>
      <c r="AG81" s="558"/>
      <c r="AH81" s="558"/>
      <c r="AI81" s="558"/>
      <c r="AJ81" s="558"/>
      <c r="AK81" s="1559">
        <v>11</v>
      </c>
    </row>
    <row r="82" spans="1:37" s="2431" customFormat="1" ht="11.45" customHeight="1">
      <c r="A82" s="911"/>
      <c r="B82" s="911"/>
      <c r="C82" s="911"/>
      <c r="D82" s="911"/>
      <c r="E82" s="911"/>
      <c r="F82" s="1554"/>
      <c r="G82" s="1554"/>
      <c r="H82" s="287"/>
      <c r="N82" s="1284"/>
      <c r="P82" s="1284"/>
      <c r="Q82" s="1554"/>
      <c r="R82" s="1554"/>
      <c r="S82" s="1284"/>
      <c r="T82" s="1284"/>
      <c r="U82" s="1284"/>
      <c r="V82" s="1284"/>
      <c r="W82" s="1554"/>
      <c r="X82" s="1284"/>
      <c r="Y82" s="1284"/>
      <c r="Z82" s="480"/>
      <c r="AA82" s="1284"/>
      <c r="AB82" s="1284"/>
      <c r="AC82" s="1284"/>
      <c r="AD82" s="1284"/>
      <c r="AE82" s="1284"/>
      <c r="AF82" s="1550"/>
      <c r="AG82" s="558"/>
      <c r="AH82" s="558"/>
      <c r="AI82" s="558"/>
      <c r="AJ82" s="558"/>
      <c r="AK82" s="1559">
        <v>11</v>
      </c>
    </row>
    <row r="83" spans="1:37" s="2431" customFormat="1" ht="11.45" customHeight="1">
      <c r="A83" s="911"/>
      <c r="B83" s="911"/>
      <c r="C83" s="911"/>
      <c r="D83" s="911"/>
      <c r="E83" s="911"/>
      <c r="F83" s="1554"/>
      <c r="G83" s="1554"/>
      <c r="H83" s="287"/>
      <c r="N83" s="1284"/>
      <c r="P83" s="1284"/>
      <c r="Q83" s="1554"/>
      <c r="R83" s="1554"/>
      <c r="S83" s="1284"/>
      <c r="T83" s="1284"/>
      <c r="U83" s="1284"/>
      <c r="V83" s="1284"/>
      <c r="W83" s="1554"/>
      <c r="X83" s="1284"/>
      <c r="Y83" s="1284"/>
      <c r="Z83" s="480"/>
      <c r="AA83" s="1284"/>
      <c r="AB83" s="1284"/>
      <c r="AC83" s="1284"/>
      <c r="AD83" s="1284"/>
      <c r="AE83" s="1284"/>
      <c r="AF83" s="1550"/>
      <c r="AG83" s="558"/>
      <c r="AH83" s="558"/>
      <c r="AI83" s="558"/>
      <c r="AJ83" s="558"/>
      <c r="AK83" s="1559">
        <v>11</v>
      </c>
    </row>
    <row r="84" spans="1:37" s="2431" customFormat="1" ht="11.45" customHeight="1">
      <c r="A84" s="911"/>
      <c r="B84" s="911"/>
      <c r="C84" s="911"/>
      <c r="D84" s="911"/>
      <c r="E84" s="911"/>
      <c r="F84" s="1554"/>
      <c r="G84" s="1554"/>
      <c r="H84" s="287"/>
      <c r="N84" s="1284"/>
      <c r="P84" s="1284"/>
      <c r="Q84" s="1554"/>
      <c r="R84" s="1554"/>
      <c r="S84" s="1284"/>
      <c r="T84" s="1284"/>
      <c r="U84" s="1284"/>
      <c r="V84" s="1284"/>
      <c r="W84" s="1554"/>
      <c r="X84" s="1284"/>
      <c r="Y84" s="1284"/>
      <c r="Z84" s="480"/>
      <c r="AA84" s="1284"/>
      <c r="AB84" s="1284"/>
      <c r="AC84" s="1284"/>
      <c r="AD84" s="1284"/>
      <c r="AE84" s="1284"/>
      <c r="AF84" s="1550"/>
      <c r="AG84" s="558"/>
      <c r="AH84" s="558"/>
      <c r="AI84" s="558"/>
      <c r="AJ84" s="558"/>
      <c r="AK84" s="1559">
        <v>11</v>
      </c>
    </row>
    <row r="85" spans="1:37" s="2431" customFormat="1" ht="11.45" customHeight="1">
      <c r="A85" s="911"/>
      <c r="B85" s="911"/>
      <c r="C85" s="911"/>
      <c r="D85" s="911"/>
      <c r="E85" s="911"/>
      <c r="F85" s="1554"/>
      <c r="G85" s="1554"/>
      <c r="H85" s="287"/>
      <c r="N85" s="1284"/>
      <c r="P85" s="1284"/>
      <c r="Q85" s="1554"/>
      <c r="R85" s="1554"/>
      <c r="S85" s="1284"/>
      <c r="T85" s="1284"/>
      <c r="U85" s="1284"/>
      <c r="V85" s="1284"/>
      <c r="W85" s="1554"/>
      <c r="X85" s="1284"/>
      <c r="Y85" s="1284"/>
      <c r="Z85" s="480"/>
      <c r="AA85" s="1284"/>
      <c r="AB85" s="1284"/>
      <c r="AC85" s="1284"/>
      <c r="AD85" s="1284"/>
      <c r="AE85" s="1284"/>
      <c r="AF85" s="1550"/>
      <c r="AG85" s="558"/>
      <c r="AH85" s="558"/>
      <c r="AI85" s="558"/>
      <c r="AJ85" s="558"/>
      <c r="AK85" s="1559">
        <v>11</v>
      </c>
    </row>
    <row r="86" spans="1:37" s="2431" customFormat="1" ht="11.45" customHeight="1">
      <c r="A86" s="911"/>
      <c r="B86" s="911"/>
      <c r="C86" s="911"/>
      <c r="D86" s="911"/>
      <c r="E86" s="911"/>
      <c r="F86" s="1554"/>
      <c r="G86" s="1554"/>
      <c r="H86" s="287"/>
      <c r="N86" s="1284"/>
      <c r="P86" s="1284"/>
      <c r="Q86" s="1554"/>
      <c r="R86" s="1554"/>
      <c r="S86" s="1284"/>
      <c r="T86" s="1284"/>
      <c r="U86" s="1284"/>
      <c r="V86" s="1284"/>
      <c r="W86" s="1554"/>
      <c r="X86" s="1284"/>
      <c r="Y86" s="1284"/>
      <c r="Z86" s="480"/>
      <c r="AA86" s="1284"/>
      <c r="AB86" s="1284"/>
      <c r="AC86" s="1284"/>
      <c r="AD86" s="1284"/>
      <c r="AE86" s="1284"/>
      <c r="AF86" s="1550"/>
      <c r="AG86" s="558"/>
      <c r="AH86" s="558"/>
      <c r="AI86" s="558"/>
      <c r="AJ86" s="558"/>
      <c r="AK86" s="1559">
        <v>11</v>
      </c>
    </row>
    <row r="87" spans="1:37" s="2431" customFormat="1" ht="11.45" customHeight="1">
      <c r="A87" s="911"/>
      <c r="B87" s="911"/>
      <c r="C87" s="911"/>
      <c r="D87" s="911"/>
      <c r="E87" s="911"/>
      <c r="F87" s="1554"/>
      <c r="G87" s="1554"/>
      <c r="H87" s="287"/>
      <c r="N87" s="1284"/>
      <c r="P87" s="1284"/>
      <c r="Q87" s="1554"/>
      <c r="R87" s="1554"/>
      <c r="S87" s="1284"/>
      <c r="T87" s="1284"/>
      <c r="U87" s="1284"/>
      <c r="V87" s="1284"/>
      <c r="W87" s="1554"/>
      <c r="X87" s="1284"/>
      <c r="Y87" s="1284"/>
      <c r="Z87" s="480"/>
      <c r="AA87" s="1284"/>
      <c r="AB87" s="1284"/>
      <c r="AC87" s="1284"/>
      <c r="AD87" s="1284"/>
      <c r="AE87" s="1284"/>
      <c r="AF87" s="1550"/>
      <c r="AG87" s="558"/>
      <c r="AH87" s="558"/>
      <c r="AI87" s="558"/>
      <c r="AJ87" s="558"/>
      <c r="AK87" s="1559">
        <v>11</v>
      </c>
    </row>
    <row r="88" spans="1:37" s="2431" customFormat="1" ht="11.45" customHeight="1">
      <c r="A88" s="911"/>
      <c r="B88" s="911"/>
      <c r="C88" s="911"/>
      <c r="D88" s="911"/>
      <c r="E88" s="911"/>
      <c r="F88" s="1554"/>
      <c r="G88" s="1554"/>
      <c r="H88" s="287"/>
      <c r="N88" s="1284"/>
      <c r="P88" s="1284"/>
      <c r="Q88" s="1554"/>
      <c r="R88" s="1554"/>
      <c r="S88" s="1284"/>
      <c r="T88" s="1284"/>
      <c r="U88" s="1284"/>
      <c r="V88" s="1284"/>
      <c r="W88" s="1554"/>
      <c r="X88" s="1284"/>
      <c r="Y88" s="1284"/>
      <c r="Z88" s="480"/>
      <c r="AA88" s="1284"/>
      <c r="AB88" s="1284"/>
      <c r="AC88" s="1284"/>
      <c r="AD88" s="1284"/>
      <c r="AE88" s="1284"/>
      <c r="AF88" s="1550"/>
      <c r="AG88" s="558"/>
      <c r="AH88" s="558"/>
      <c r="AI88" s="558"/>
      <c r="AJ88" s="558"/>
      <c r="AK88" s="1559">
        <v>11</v>
      </c>
    </row>
    <row r="89" spans="1:37" s="2431" customFormat="1" ht="11.45" customHeight="1">
      <c r="A89" s="911"/>
      <c r="B89" s="911"/>
      <c r="C89" s="911"/>
      <c r="D89" s="911"/>
      <c r="E89" s="911"/>
      <c r="F89" s="1554"/>
      <c r="G89" s="1554"/>
      <c r="H89" s="287"/>
      <c r="N89" s="1284"/>
      <c r="P89" s="1284"/>
      <c r="Q89" s="1554"/>
      <c r="R89" s="1554"/>
      <c r="S89" s="1284"/>
      <c r="T89" s="1284"/>
      <c r="U89" s="1284"/>
      <c r="V89" s="1284"/>
      <c r="W89" s="1554"/>
      <c r="X89" s="1284"/>
      <c r="Y89" s="1284"/>
      <c r="Z89" s="480"/>
      <c r="AA89" s="1284"/>
      <c r="AB89" s="1284"/>
      <c r="AC89" s="1284"/>
      <c r="AD89" s="1284"/>
      <c r="AE89" s="1284"/>
      <c r="AF89" s="1550"/>
      <c r="AG89" s="558"/>
      <c r="AH89" s="558"/>
      <c r="AI89" s="558"/>
      <c r="AJ89" s="558"/>
      <c r="AK89" s="1559">
        <v>11</v>
      </c>
    </row>
    <row r="90" spans="1:37" s="2431" customFormat="1" ht="11.45" customHeight="1">
      <c r="A90" s="911"/>
      <c r="B90" s="911"/>
      <c r="C90" s="911"/>
      <c r="D90" s="911"/>
      <c r="E90" s="911"/>
      <c r="F90" s="1554"/>
      <c r="G90" s="1554"/>
      <c r="H90" s="287"/>
      <c r="N90" s="1284"/>
      <c r="P90" s="1284"/>
      <c r="Q90" s="1554"/>
      <c r="R90" s="1554"/>
      <c r="S90" s="1284"/>
      <c r="T90" s="1284"/>
      <c r="U90" s="1284"/>
      <c r="V90" s="1284"/>
      <c r="W90" s="1554"/>
      <c r="X90" s="1284"/>
      <c r="Y90" s="1284"/>
      <c r="Z90" s="480"/>
      <c r="AA90" s="1284"/>
      <c r="AB90" s="1284"/>
      <c r="AC90" s="1284"/>
      <c r="AD90" s="1284"/>
      <c r="AE90" s="1284"/>
      <c r="AF90" s="1550"/>
      <c r="AG90" s="558"/>
      <c r="AH90" s="558"/>
      <c r="AI90" s="558"/>
      <c r="AJ90" s="558"/>
      <c r="AK90" s="1559">
        <v>11</v>
      </c>
    </row>
    <row r="91" spans="1:37" s="2431" customFormat="1" ht="11.45" customHeight="1">
      <c r="A91" s="911"/>
      <c r="B91" s="911"/>
      <c r="C91" s="911"/>
      <c r="D91" s="911"/>
      <c r="E91" s="911"/>
      <c r="F91" s="1554"/>
      <c r="G91" s="1554"/>
      <c r="H91" s="287"/>
      <c r="N91" s="1284"/>
      <c r="P91" s="1284"/>
      <c r="Q91" s="1554"/>
      <c r="R91" s="1554"/>
      <c r="S91" s="1284"/>
      <c r="T91" s="1284"/>
      <c r="U91" s="1284"/>
      <c r="V91" s="1284"/>
      <c r="W91" s="1554"/>
      <c r="X91" s="1284"/>
      <c r="Y91" s="1284"/>
      <c r="Z91" s="480"/>
      <c r="AA91" s="1284"/>
      <c r="AB91" s="1284"/>
      <c r="AC91" s="1284"/>
      <c r="AD91" s="1284"/>
      <c r="AE91" s="1284"/>
      <c r="AF91" s="1550"/>
      <c r="AG91" s="558"/>
      <c r="AH91" s="558"/>
      <c r="AI91" s="558"/>
      <c r="AJ91" s="558"/>
      <c r="AK91" s="1559">
        <v>11</v>
      </c>
    </row>
    <row r="92" spans="1:37" s="2431" customFormat="1" ht="11.45" customHeight="1">
      <c r="A92" s="911"/>
      <c r="B92" s="911"/>
      <c r="C92" s="911"/>
      <c r="D92" s="911"/>
      <c r="E92" s="911"/>
      <c r="F92" s="1554"/>
      <c r="G92" s="1554"/>
      <c r="H92" s="287"/>
      <c r="N92" s="1284"/>
      <c r="P92" s="1284"/>
      <c r="Q92" s="1554"/>
      <c r="R92" s="1554"/>
      <c r="S92" s="1284"/>
      <c r="T92" s="1284"/>
      <c r="U92" s="1284"/>
      <c r="V92" s="1284"/>
      <c r="W92" s="1554"/>
      <c r="X92" s="1284"/>
      <c r="Y92" s="1284"/>
      <c r="Z92" s="480"/>
      <c r="AA92" s="1284"/>
      <c r="AB92" s="1284"/>
      <c r="AC92" s="1284"/>
      <c r="AD92" s="1284"/>
      <c r="AE92" s="1284"/>
      <c r="AF92" s="1550"/>
      <c r="AG92" s="558"/>
      <c r="AH92" s="558"/>
      <c r="AI92" s="558"/>
      <c r="AJ92" s="558"/>
      <c r="AK92" s="1559">
        <v>11</v>
      </c>
    </row>
    <row r="93" spans="1:37" s="2431" customFormat="1" ht="11.45" customHeight="1">
      <c r="A93" s="911"/>
      <c r="B93" s="911"/>
      <c r="C93" s="911"/>
      <c r="D93" s="911"/>
      <c r="E93" s="911"/>
      <c r="F93" s="1554"/>
      <c r="G93" s="1554"/>
      <c r="H93" s="287"/>
      <c r="N93" s="1284"/>
      <c r="P93" s="1284"/>
      <c r="Q93" s="1554"/>
      <c r="R93" s="1554"/>
      <c r="S93" s="1284"/>
      <c r="T93" s="1284"/>
      <c r="U93" s="1284"/>
      <c r="V93" s="1284"/>
      <c r="W93" s="1554"/>
      <c r="X93" s="1284"/>
      <c r="Y93" s="1284"/>
      <c r="Z93" s="480"/>
      <c r="AA93" s="1284"/>
      <c r="AB93" s="1284"/>
      <c r="AC93" s="1284"/>
      <c r="AD93" s="1284"/>
      <c r="AE93" s="1284"/>
      <c r="AF93" s="1550"/>
      <c r="AG93" s="558"/>
      <c r="AH93" s="558"/>
      <c r="AI93" s="558"/>
      <c r="AJ93" s="558"/>
      <c r="AK93" s="1559">
        <v>11</v>
      </c>
    </row>
    <row r="94" spans="1:37" s="2431" customFormat="1" ht="11.45" customHeight="1">
      <c r="A94" s="911"/>
      <c r="B94" s="911"/>
      <c r="C94" s="911"/>
      <c r="D94" s="911"/>
      <c r="E94" s="911"/>
      <c r="F94" s="1554"/>
      <c r="G94" s="1554"/>
      <c r="H94" s="287"/>
      <c r="N94" s="1284"/>
      <c r="P94" s="1284"/>
      <c r="Q94" s="1554"/>
      <c r="R94" s="1554"/>
      <c r="S94" s="1284"/>
      <c r="T94" s="1284"/>
      <c r="U94" s="1284"/>
      <c r="V94" s="1284"/>
      <c r="W94" s="1554"/>
      <c r="X94" s="1284"/>
      <c r="Y94" s="1284"/>
      <c r="Z94" s="480"/>
      <c r="AA94" s="1284"/>
      <c r="AB94" s="1284"/>
      <c r="AC94" s="1284"/>
      <c r="AD94" s="1284"/>
      <c r="AE94" s="1284"/>
      <c r="AF94" s="1550"/>
      <c r="AG94" s="558"/>
      <c r="AH94" s="558"/>
      <c r="AI94" s="558"/>
      <c r="AJ94" s="558"/>
      <c r="AK94" s="1559">
        <v>11</v>
      </c>
    </row>
    <row r="95" spans="1:37" s="2431" customFormat="1" ht="11.45" customHeight="1">
      <c r="A95" s="911"/>
      <c r="B95" s="911"/>
      <c r="C95" s="911"/>
      <c r="D95" s="911"/>
      <c r="E95" s="911"/>
      <c r="F95" s="1554"/>
      <c r="G95" s="1554"/>
      <c r="H95" s="287"/>
      <c r="N95" s="1284"/>
      <c r="P95" s="1284"/>
      <c r="Q95" s="1554"/>
      <c r="R95" s="1554"/>
      <c r="S95" s="1284"/>
      <c r="T95" s="1284"/>
      <c r="U95" s="1284"/>
      <c r="V95" s="1284"/>
      <c r="W95" s="1554"/>
      <c r="X95" s="1284"/>
      <c r="Y95" s="1284"/>
      <c r="Z95" s="480"/>
      <c r="AA95" s="1284"/>
      <c r="AB95" s="1284"/>
      <c r="AC95" s="1284"/>
      <c r="AD95" s="1284"/>
      <c r="AE95" s="1284"/>
      <c r="AF95" s="1550"/>
      <c r="AG95" s="558"/>
      <c r="AH95" s="558"/>
      <c r="AI95" s="558"/>
      <c r="AJ95" s="558"/>
      <c r="AK95" s="1559">
        <v>11</v>
      </c>
    </row>
    <row r="96" spans="1:37" s="2431" customFormat="1" ht="11.45" customHeight="1">
      <c r="A96" s="911"/>
      <c r="B96" s="911"/>
      <c r="C96" s="911"/>
      <c r="D96" s="911"/>
      <c r="E96" s="911"/>
      <c r="F96" s="1554"/>
      <c r="G96" s="1554"/>
      <c r="H96" s="287"/>
      <c r="N96" s="1284"/>
      <c r="P96" s="1284"/>
      <c r="Q96" s="1554"/>
      <c r="R96" s="1554"/>
      <c r="S96" s="1284"/>
      <c r="T96" s="1284"/>
      <c r="U96" s="1284"/>
      <c r="V96" s="1284"/>
      <c r="W96" s="1554"/>
      <c r="X96" s="1284"/>
      <c r="Y96" s="1284"/>
      <c r="Z96" s="480"/>
      <c r="AA96" s="1284"/>
      <c r="AB96" s="1284"/>
      <c r="AC96" s="1284"/>
      <c r="AD96" s="1284"/>
      <c r="AE96" s="1284"/>
      <c r="AF96" s="1550"/>
      <c r="AG96" s="558"/>
      <c r="AH96" s="558"/>
      <c r="AI96" s="558"/>
      <c r="AJ96" s="558"/>
      <c r="AK96" s="1559">
        <v>11</v>
      </c>
    </row>
    <row r="97" spans="1:37" s="2431" customFormat="1" ht="11.45" customHeight="1">
      <c r="A97" s="911"/>
      <c r="B97" s="911"/>
      <c r="C97" s="911"/>
      <c r="D97" s="911"/>
      <c r="E97" s="911"/>
      <c r="F97" s="1554"/>
      <c r="G97" s="1554"/>
      <c r="H97" s="287"/>
      <c r="N97" s="1284"/>
      <c r="P97" s="1284"/>
      <c r="Q97" s="1554"/>
      <c r="R97" s="1554"/>
      <c r="S97" s="1284"/>
      <c r="T97" s="1284"/>
      <c r="U97" s="1284"/>
      <c r="V97" s="1284"/>
      <c r="W97" s="1554"/>
      <c r="X97" s="1284"/>
      <c r="Y97" s="1284"/>
      <c r="Z97" s="480"/>
      <c r="AA97" s="1284"/>
      <c r="AB97" s="1284"/>
      <c r="AC97" s="1284"/>
      <c r="AD97" s="1284"/>
      <c r="AE97" s="1284"/>
      <c r="AF97" s="1550"/>
      <c r="AG97" s="558"/>
      <c r="AH97" s="558"/>
      <c r="AI97" s="558"/>
      <c r="AJ97" s="558"/>
      <c r="AK97" s="1559">
        <v>11</v>
      </c>
    </row>
    <row r="98" spans="1:37" s="2431" customFormat="1" ht="11.45" customHeight="1">
      <c r="A98" s="911"/>
      <c r="B98" s="911"/>
      <c r="C98" s="911"/>
      <c r="D98" s="911"/>
      <c r="E98" s="911"/>
      <c r="F98" s="1554"/>
      <c r="G98" s="1554"/>
      <c r="H98" s="287"/>
      <c r="N98" s="1284"/>
      <c r="P98" s="1284"/>
      <c r="Q98" s="1554"/>
      <c r="R98" s="1554"/>
      <c r="S98" s="1284"/>
      <c r="T98" s="1284"/>
      <c r="U98" s="1284"/>
      <c r="V98" s="1284"/>
      <c r="W98" s="1554"/>
      <c r="X98" s="1284"/>
      <c r="Y98" s="1284"/>
      <c r="Z98" s="480"/>
      <c r="AA98" s="1284"/>
      <c r="AB98" s="1284"/>
      <c r="AC98" s="1284"/>
      <c r="AD98" s="1284"/>
      <c r="AE98" s="1284"/>
      <c r="AF98" s="1550"/>
      <c r="AG98" s="558"/>
      <c r="AH98" s="558"/>
      <c r="AI98" s="558"/>
      <c r="AJ98" s="558"/>
      <c r="AK98" s="1559">
        <v>11</v>
      </c>
    </row>
    <row r="99" spans="1:37" s="2431" customFormat="1" ht="11.45" customHeight="1">
      <c r="A99" s="911"/>
      <c r="B99" s="911"/>
      <c r="C99" s="911"/>
      <c r="D99" s="911"/>
      <c r="E99" s="911"/>
      <c r="F99" s="1554"/>
      <c r="G99" s="1554"/>
      <c r="H99" s="287"/>
      <c r="N99" s="1284"/>
      <c r="P99" s="1284"/>
      <c r="Q99" s="1554"/>
      <c r="R99" s="1554"/>
      <c r="S99" s="1284"/>
      <c r="T99" s="1284"/>
      <c r="U99" s="1284"/>
      <c r="V99" s="1284"/>
      <c r="W99" s="1554"/>
      <c r="X99" s="1284"/>
      <c r="Y99" s="1284"/>
      <c r="Z99" s="480"/>
      <c r="AA99" s="1284"/>
      <c r="AB99" s="1284"/>
      <c r="AC99" s="1284"/>
      <c r="AD99" s="1284"/>
      <c r="AE99" s="1284"/>
      <c r="AF99" s="1550"/>
      <c r="AG99" s="558"/>
      <c r="AH99" s="558"/>
      <c r="AI99" s="558"/>
      <c r="AJ99" s="558"/>
      <c r="AK99" s="1559">
        <v>11</v>
      </c>
    </row>
    <row r="100" spans="1:37" s="2431" customFormat="1" ht="11.45" customHeight="1">
      <c r="A100" s="911"/>
      <c r="B100" s="911"/>
      <c r="C100" s="911"/>
      <c r="D100" s="911"/>
      <c r="E100" s="911"/>
      <c r="F100" s="1554"/>
      <c r="G100" s="1554"/>
      <c r="H100" s="287"/>
      <c r="N100" s="1284"/>
      <c r="P100" s="1284"/>
      <c r="Q100" s="1554"/>
      <c r="R100" s="1554"/>
      <c r="S100" s="1284"/>
      <c r="T100" s="1284"/>
      <c r="U100" s="1284"/>
      <c r="V100" s="1284"/>
      <c r="W100" s="1554"/>
      <c r="X100" s="1284"/>
      <c r="Y100" s="1284"/>
      <c r="Z100" s="480"/>
      <c r="AA100" s="1284"/>
      <c r="AB100" s="1284"/>
      <c r="AC100" s="1284"/>
      <c r="AD100" s="1284"/>
      <c r="AE100" s="1284"/>
      <c r="AF100" s="1550"/>
      <c r="AG100" s="558"/>
      <c r="AH100" s="558"/>
      <c r="AI100" s="558"/>
      <c r="AJ100" s="558"/>
      <c r="AK100" s="1559">
        <v>11</v>
      </c>
    </row>
    <row r="101" spans="1:37" s="2431" customFormat="1" ht="11.45" customHeight="1">
      <c r="A101" s="911"/>
      <c r="B101" s="911"/>
      <c r="C101" s="911"/>
      <c r="D101" s="911"/>
      <c r="E101" s="911"/>
      <c r="F101" s="1554"/>
      <c r="G101" s="1554"/>
      <c r="H101" s="287"/>
      <c r="N101" s="1284"/>
      <c r="P101" s="1284"/>
      <c r="Q101" s="1554"/>
      <c r="R101" s="1554"/>
      <c r="S101" s="1284"/>
      <c r="T101" s="1284"/>
      <c r="U101" s="1284"/>
      <c r="V101" s="1284"/>
      <c r="W101" s="1554"/>
      <c r="X101" s="1284"/>
      <c r="Y101" s="1284"/>
      <c r="Z101" s="480"/>
      <c r="AA101" s="1284"/>
      <c r="AB101" s="1284"/>
      <c r="AC101" s="1284"/>
      <c r="AD101" s="1284"/>
      <c r="AE101" s="1284"/>
      <c r="AF101" s="1550"/>
      <c r="AG101" s="558"/>
      <c r="AH101" s="558"/>
      <c r="AI101" s="558"/>
      <c r="AJ101" s="558"/>
      <c r="AK101" s="1559">
        <v>11</v>
      </c>
    </row>
    <row r="102" spans="1:37" s="2431" customFormat="1" ht="11.45" customHeight="1">
      <c r="A102" s="911"/>
      <c r="B102" s="911"/>
      <c r="C102" s="911"/>
      <c r="D102" s="911"/>
      <c r="E102" s="911"/>
      <c r="F102" s="1554"/>
      <c r="G102" s="1554"/>
      <c r="H102" s="287"/>
      <c r="N102" s="1284"/>
      <c r="P102" s="1284"/>
      <c r="Q102" s="1554"/>
      <c r="R102" s="1554"/>
      <c r="S102" s="1284"/>
      <c r="T102" s="1284"/>
      <c r="U102" s="1284"/>
      <c r="V102" s="1284"/>
      <c r="W102" s="1554"/>
      <c r="X102" s="1284"/>
      <c r="Y102" s="1284"/>
      <c r="Z102" s="480"/>
      <c r="AA102" s="1284"/>
      <c r="AB102" s="1284"/>
      <c r="AC102" s="1284"/>
      <c r="AD102" s="1284"/>
      <c r="AE102" s="1284"/>
      <c r="AF102" s="1550"/>
      <c r="AG102" s="558"/>
      <c r="AH102" s="558"/>
      <c r="AI102" s="558"/>
      <c r="AJ102" s="558"/>
      <c r="AK102" s="1559">
        <v>11</v>
      </c>
    </row>
    <row r="103" spans="1:37" s="2431" customFormat="1" ht="11.45" customHeight="1">
      <c r="A103" s="911"/>
      <c r="B103" s="911"/>
      <c r="C103" s="911"/>
      <c r="D103" s="911"/>
      <c r="E103" s="911"/>
      <c r="F103" s="1554"/>
      <c r="G103" s="1554"/>
      <c r="H103" s="287"/>
      <c r="N103" s="1284"/>
      <c r="P103" s="1284"/>
      <c r="Q103" s="1554"/>
      <c r="R103" s="1554"/>
      <c r="S103" s="1284"/>
      <c r="T103" s="1284"/>
      <c r="U103" s="1284"/>
      <c r="V103" s="1284"/>
      <c r="W103" s="1554"/>
      <c r="X103" s="1284"/>
      <c r="Y103" s="1284"/>
      <c r="Z103" s="480"/>
      <c r="AA103" s="1284"/>
      <c r="AB103" s="1284"/>
      <c r="AC103" s="1284"/>
      <c r="AD103" s="1284"/>
      <c r="AE103" s="1284"/>
      <c r="AF103" s="1550"/>
      <c r="AG103" s="558"/>
      <c r="AH103" s="558"/>
      <c r="AI103" s="558"/>
      <c r="AJ103" s="558"/>
      <c r="AK103" s="1559">
        <v>11</v>
      </c>
    </row>
    <row r="104" spans="1:37" s="2431" customFormat="1" ht="11.45" customHeight="1">
      <c r="A104" s="911"/>
      <c r="B104" s="911"/>
      <c r="C104" s="911"/>
      <c r="D104" s="911"/>
      <c r="E104" s="911"/>
      <c r="F104" s="1554"/>
      <c r="G104" s="1554"/>
      <c r="H104" s="287"/>
      <c r="N104" s="1284"/>
      <c r="P104" s="1284"/>
      <c r="Q104" s="1554"/>
      <c r="R104" s="1554"/>
      <c r="S104" s="1284"/>
      <c r="T104" s="1284"/>
      <c r="U104" s="1284"/>
      <c r="V104" s="1284"/>
      <c r="W104" s="1554"/>
      <c r="X104" s="1284"/>
      <c r="Y104" s="1284"/>
      <c r="Z104" s="480"/>
      <c r="AA104" s="1284"/>
      <c r="AB104" s="1284"/>
      <c r="AC104" s="1284"/>
      <c r="AD104" s="1284"/>
      <c r="AE104" s="1284"/>
      <c r="AF104" s="1550"/>
      <c r="AG104" s="558"/>
      <c r="AH104" s="558"/>
      <c r="AI104" s="558"/>
      <c r="AJ104" s="558"/>
      <c r="AK104" s="1559">
        <v>11</v>
      </c>
    </row>
    <row r="105" spans="1:37" s="2431" customFormat="1" ht="11.45" customHeight="1">
      <c r="A105" s="911"/>
      <c r="B105" s="911"/>
      <c r="C105" s="911"/>
      <c r="D105" s="911"/>
      <c r="E105" s="911"/>
      <c r="F105" s="1554"/>
      <c r="G105" s="1554"/>
      <c r="H105" s="287"/>
      <c r="N105" s="1284"/>
      <c r="P105" s="1284"/>
      <c r="Q105" s="1554"/>
      <c r="R105" s="1554"/>
      <c r="S105" s="1284"/>
      <c r="T105" s="1284"/>
      <c r="U105" s="1284"/>
      <c r="V105" s="1284"/>
      <c r="W105" s="1554"/>
      <c r="X105" s="1284"/>
      <c r="Y105" s="1284"/>
      <c r="Z105" s="480"/>
      <c r="AA105" s="1284"/>
      <c r="AB105" s="1284"/>
      <c r="AC105" s="1284"/>
      <c r="AD105" s="1284"/>
      <c r="AE105" s="1284"/>
      <c r="AF105" s="1550"/>
      <c r="AG105" s="558"/>
      <c r="AH105" s="558"/>
      <c r="AI105" s="558"/>
      <c r="AJ105" s="558"/>
      <c r="AK105" s="1559">
        <v>11</v>
      </c>
    </row>
    <row r="106" spans="1:37" s="2431" customFormat="1" ht="11.45" customHeight="1">
      <c r="A106" s="911"/>
      <c r="B106" s="911"/>
      <c r="C106" s="911"/>
      <c r="D106" s="911"/>
      <c r="E106" s="911"/>
      <c r="F106" s="1554"/>
      <c r="G106" s="1554"/>
      <c r="H106" s="287"/>
      <c r="N106" s="1284"/>
      <c r="P106" s="1284"/>
      <c r="Q106" s="1554"/>
      <c r="R106" s="1554"/>
      <c r="S106" s="1284"/>
      <c r="T106" s="1284"/>
      <c r="U106" s="1284"/>
      <c r="V106" s="1284"/>
      <c r="W106" s="1554"/>
      <c r="X106" s="1284"/>
      <c r="Y106" s="1284"/>
      <c r="Z106" s="480"/>
      <c r="AA106" s="1284"/>
      <c r="AB106" s="1284"/>
      <c r="AC106" s="1284"/>
      <c r="AD106" s="1284"/>
      <c r="AE106" s="1284"/>
      <c r="AF106" s="1550"/>
      <c r="AG106" s="558"/>
      <c r="AH106" s="558"/>
      <c r="AI106" s="558"/>
      <c r="AJ106" s="558"/>
      <c r="AK106" s="1559">
        <v>11</v>
      </c>
    </row>
    <row r="107" spans="1:37" s="2431" customFormat="1" ht="11.45" customHeight="1">
      <c r="A107" s="911"/>
      <c r="B107" s="911"/>
      <c r="C107" s="911"/>
      <c r="D107" s="911"/>
      <c r="E107" s="911"/>
      <c r="F107" s="1554"/>
      <c r="G107" s="1554"/>
      <c r="H107" s="287"/>
      <c r="N107" s="1284"/>
      <c r="P107" s="1284"/>
      <c r="Q107" s="1554"/>
      <c r="R107" s="1554"/>
      <c r="S107" s="1284"/>
      <c r="T107" s="1284"/>
      <c r="U107" s="1284"/>
      <c r="V107" s="1284"/>
      <c r="W107" s="1554"/>
      <c r="X107" s="1284"/>
      <c r="Y107" s="1284"/>
      <c r="Z107" s="480"/>
      <c r="AA107" s="1284"/>
      <c r="AB107" s="1284"/>
      <c r="AC107" s="1284"/>
      <c r="AD107" s="1284"/>
      <c r="AE107" s="1284"/>
      <c r="AF107" s="1550"/>
      <c r="AG107" s="558"/>
      <c r="AH107" s="558"/>
      <c r="AI107" s="558"/>
      <c r="AJ107" s="558"/>
      <c r="AK107" s="1559">
        <v>11</v>
      </c>
    </row>
    <row r="108" spans="1:37" s="2431" customFormat="1" ht="11.45" customHeight="1">
      <c r="A108" s="911"/>
      <c r="B108" s="911"/>
      <c r="C108" s="911"/>
      <c r="D108" s="911"/>
      <c r="E108" s="911"/>
      <c r="F108" s="1554"/>
      <c r="G108" s="1554"/>
      <c r="H108" s="287"/>
      <c r="N108" s="1284"/>
      <c r="P108" s="1284"/>
      <c r="Q108" s="1554"/>
      <c r="R108" s="1554"/>
      <c r="S108" s="1284"/>
      <c r="T108" s="1284"/>
      <c r="U108" s="1284"/>
      <c r="V108" s="1284"/>
      <c r="W108" s="1554"/>
      <c r="X108" s="1284"/>
      <c r="Y108" s="1284"/>
      <c r="Z108" s="480"/>
      <c r="AA108" s="1284"/>
      <c r="AB108" s="1284"/>
      <c r="AC108" s="1284"/>
      <c r="AD108" s="1284"/>
      <c r="AE108" s="1284"/>
      <c r="AF108" s="1550"/>
      <c r="AG108" s="558"/>
      <c r="AH108" s="558"/>
      <c r="AI108" s="558"/>
      <c r="AJ108" s="558"/>
      <c r="AK108" s="1559">
        <v>11</v>
      </c>
    </row>
    <row r="109" spans="1:37" s="2431" customFormat="1" ht="11.45" customHeight="1">
      <c r="A109" s="911"/>
      <c r="B109" s="911"/>
      <c r="C109" s="911"/>
      <c r="D109" s="911"/>
      <c r="E109" s="911"/>
      <c r="F109" s="1554"/>
      <c r="G109" s="1554"/>
      <c r="H109" s="287"/>
      <c r="N109" s="1284"/>
      <c r="P109" s="1284"/>
      <c r="Q109" s="1554"/>
      <c r="R109" s="1554"/>
      <c r="S109" s="1284"/>
      <c r="T109" s="1284"/>
      <c r="U109" s="1284"/>
      <c r="V109" s="1284"/>
      <c r="W109" s="1554"/>
      <c r="X109" s="1284"/>
      <c r="Y109" s="1284"/>
      <c r="Z109" s="480"/>
      <c r="AA109" s="1284"/>
      <c r="AB109" s="1284"/>
      <c r="AC109" s="1284"/>
      <c r="AD109" s="1284"/>
      <c r="AE109" s="1284"/>
      <c r="AF109" s="1550"/>
      <c r="AG109" s="558"/>
      <c r="AH109" s="558"/>
      <c r="AI109" s="558"/>
      <c r="AJ109" s="558"/>
      <c r="AK109" s="1559">
        <v>11</v>
      </c>
    </row>
    <row r="110" spans="1:37" s="2431" customFormat="1" ht="11.45" customHeight="1">
      <c r="A110" s="911"/>
      <c r="B110" s="911"/>
      <c r="C110" s="911"/>
      <c r="D110" s="911"/>
      <c r="E110" s="911"/>
      <c r="F110" s="1554"/>
      <c r="G110" s="1554"/>
      <c r="H110" s="287"/>
      <c r="N110" s="1284"/>
      <c r="P110" s="1284"/>
      <c r="Q110" s="1554"/>
      <c r="R110" s="1554"/>
      <c r="S110" s="1284"/>
      <c r="T110" s="1284"/>
      <c r="U110" s="1284"/>
      <c r="V110" s="1284"/>
      <c r="W110" s="1554"/>
      <c r="X110" s="1284"/>
      <c r="Y110" s="1284"/>
      <c r="Z110" s="480"/>
      <c r="AA110" s="1284"/>
      <c r="AB110" s="1284"/>
      <c r="AC110" s="1284"/>
      <c r="AD110" s="1284"/>
      <c r="AE110" s="1284"/>
      <c r="AF110" s="1550"/>
      <c r="AG110" s="558"/>
      <c r="AH110" s="558"/>
      <c r="AI110" s="558"/>
      <c r="AJ110" s="558"/>
      <c r="AK110" s="1559">
        <v>11</v>
      </c>
    </row>
    <row r="111" spans="1:37" s="2431" customFormat="1" ht="11.45" customHeight="1">
      <c r="A111" s="911"/>
      <c r="B111" s="911"/>
      <c r="C111" s="911"/>
      <c r="D111" s="911"/>
      <c r="E111" s="911"/>
      <c r="F111" s="1554"/>
      <c r="G111" s="1554"/>
      <c r="H111" s="287"/>
      <c r="N111" s="1284"/>
      <c r="P111" s="1284"/>
      <c r="Q111" s="1554"/>
      <c r="R111" s="1554"/>
      <c r="S111" s="1284"/>
      <c r="T111" s="1284"/>
      <c r="U111" s="1284"/>
      <c r="V111" s="1284"/>
      <c r="W111" s="1554"/>
      <c r="X111" s="1284"/>
      <c r="Y111" s="1284"/>
      <c r="Z111" s="480"/>
      <c r="AA111" s="1284"/>
      <c r="AB111" s="1284"/>
      <c r="AC111" s="1284"/>
      <c r="AD111" s="1284"/>
      <c r="AE111" s="1284"/>
      <c r="AF111" s="1550"/>
      <c r="AG111" s="558"/>
      <c r="AH111" s="558"/>
      <c r="AI111" s="558"/>
      <c r="AJ111" s="558"/>
      <c r="AK111" s="1559">
        <v>11</v>
      </c>
    </row>
    <row r="112" spans="1:37" s="2431" customFormat="1" ht="11.45" customHeight="1">
      <c r="A112" s="911"/>
      <c r="B112" s="911"/>
      <c r="C112" s="911"/>
      <c r="D112" s="911"/>
      <c r="E112" s="911"/>
      <c r="F112" s="1554"/>
      <c r="G112" s="1554"/>
      <c r="H112" s="287"/>
      <c r="N112" s="1284"/>
      <c r="P112" s="1284"/>
      <c r="Q112" s="1554"/>
      <c r="R112" s="1554"/>
      <c r="S112" s="1284"/>
      <c r="T112" s="1284"/>
      <c r="U112" s="1284"/>
      <c r="V112" s="1284"/>
      <c r="W112" s="1554"/>
      <c r="X112" s="1284"/>
      <c r="Y112" s="1284"/>
      <c r="Z112" s="480"/>
      <c r="AA112" s="1284"/>
      <c r="AB112" s="1284"/>
      <c r="AC112" s="1284"/>
      <c r="AD112" s="1284"/>
      <c r="AE112" s="1284"/>
      <c r="AF112" s="1550"/>
      <c r="AG112" s="558"/>
      <c r="AH112" s="558"/>
      <c r="AI112" s="558"/>
      <c r="AJ112" s="558"/>
      <c r="AK112" s="1559">
        <v>11</v>
      </c>
    </row>
    <row r="113" spans="1:37" s="2431" customFormat="1" ht="11.45" customHeight="1">
      <c r="A113" s="911"/>
      <c r="B113" s="911"/>
      <c r="C113" s="911"/>
      <c r="D113" s="911"/>
      <c r="E113" s="911"/>
      <c r="F113" s="1554"/>
      <c r="G113" s="1554"/>
      <c r="H113" s="287"/>
      <c r="N113" s="1284"/>
      <c r="P113" s="1284"/>
      <c r="Q113" s="1554"/>
      <c r="R113" s="1554"/>
      <c r="S113" s="1284"/>
      <c r="T113" s="1284"/>
      <c r="U113" s="1284"/>
      <c r="V113" s="1284"/>
      <c r="W113" s="1554"/>
      <c r="X113" s="1284"/>
      <c r="Y113" s="1284"/>
      <c r="Z113" s="480"/>
      <c r="AA113" s="1284"/>
      <c r="AB113" s="1284"/>
      <c r="AC113" s="1284"/>
      <c r="AD113" s="1284"/>
      <c r="AE113" s="1284"/>
      <c r="AF113" s="1550"/>
      <c r="AG113" s="558"/>
      <c r="AH113" s="558"/>
      <c r="AI113" s="558"/>
      <c r="AJ113" s="558"/>
      <c r="AK113" s="1559">
        <v>11</v>
      </c>
    </row>
    <row r="114" spans="1:37" s="2431" customFormat="1" ht="11.45" customHeight="1">
      <c r="A114" s="911"/>
      <c r="B114" s="911"/>
      <c r="C114" s="911"/>
      <c r="D114" s="911"/>
      <c r="E114" s="911"/>
      <c r="F114" s="1554"/>
      <c r="G114" s="1554"/>
      <c r="H114" s="287"/>
      <c r="N114" s="1284"/>
      <c r="P114" s="1284"/>
      <c r="Q114" s="1554"/>
      <c r="R114" s="1554"/>
      <c r="S114" s="1284"/>
      <c r="T114" s="1284"/>
      <c r="U114" s="1284"/>
      <c r="V114" s="1284"/>
      <c r="W114" s="1554"/>
      <c r="X114" s="1284"/>
      <c r="Y114" s="1284"/>
      <c r="Z114" s="480"/>
      <c r="AA114" s="1284"/>
      <c r="AB114" s="1284"/>
      <c r="AC114" s="1284"/>
      <c r="AD114" s="1284"/>
      <c r="AE114" s="1284"/>
      <c r="AF114" s="1550"/>
      <c r="AG114" s="558"/>
      <c r="AH114" s="558"/>
      <c r="AI114" s="558"/>
      <c r="AJ114" s="558"/>
      <c r="AK114" s="1559">
        <v>11</v>
      </c>
    </row>
    <row r="115" spans="1:37" s="2431" customFormat="1" ht="11.45" customHeight="1">
      <c r="A115" s="911"/>
      <c r="B115" s="911"/>
      <c r="C115" s="911"/>
      <c r="D115" s="911"/>
      <c r="E115" s="911"/>
      <c r="F115" s="1554"/>
      <c r="G115" s="1554"/>
      <c r="H115" s="287"/>
      <c r="N115" s="1284"/>
      <c r="P115" s="1284"/>
      <c r="Q115" s="1554"/>
      <c r="R115" s="1554"/>
      <c r="S115" s="1284"/>
      <c r="T115" s="1284"/>
      <c r="U115" s="1284"/>
      <c r="V115" s="1284"/>
      <c r="W115" s="1554"/>
      <c r="X115" s="1284"/>
      <c r="Y115" s="1284"/>
      <c r="Z115" s="480"/>
      <c r="AA115" s="1284"/>
      <c r="AB115" s="1284"/>
      <c r="AC115" s="1284"/>
      <c r="AD115" s="1284"/>
      <c r="AE115" s="1284"/>
      <c r="AF115" s="1550"/>
      <c r="AG115" s="558"/>
      <c r="AH115" s="558"/>
      <c r="AI115" s="558"/>
      <c r="AJ115" s="558"/>
      <c r="AK115" s="1559">
        <v>11</v>
      </c>
    </row>
    <row r="116" spans="1:37" s="2431" customFormat="1" ht="11.45" customHeight="1">
      <c r="A116" s="911"/>
      <c r="B116" s="911"/>
      <c r="C116" s="911"/>
      <c r="D116" s="911"/>
      <c r="E116" s="911"/>
      <c r="F116" s="1554"/>
      <c r="G116" s="1554"/>
      <c r="H116" s="287"/>
      <c r="N116" s="1284"/>
      <c r="P116" s="1284"/>
      <c r="Q116" s="1554"/>
      <c r="R116" s="1554"/>
      <c r="S116" s="1284"/>
      <c r="T116" s="1284"/>
      <c r="U116" s="1284"/>
      <c r="V116" s="1284"/>
      <c r="W116" s="1554"/>
      <c r="X116" s="1284"/>
      <c r="Y116" s="1284"/>
      <c r="Z116" s="480"/>
      <c r="AA116" s="1284"/>
      <c r="AB116" s="1284"/>
      <c r="AC116" s="1284"/>
      <c r="AD116" s="1284"/>
      <c r="AE116" s="1284"/>
      <c r="AF116" s="1550"/>
      <c r="AG116" s="558"/>
      <c r="AH116" s="558"/>
      <c r="AI116" s="558"/>
      <c r="AJ116" s="558"/>
      <c r="AK116" s="1559">
        <v>11</v>
      </c>
    </row>
    <row r="117" spans="1:37" s="2431" customFormat="1" ht="11.45" customHeight="1">
      <c r="A117" s="911"/>
      <c r="B117" s="911"/>
      <c r="C117" s="911"/>
      <c r="D117" s="911"/>
      <c r="E117" s="911"/>
      <c r="F117" s="1554"/>
      <c r="G117" s="1554"/>
      <c r="H117" s="287"/>
      <c r="N117" s="1284"/>
      <c r="P117" s="1284"/>
      <c r="Q117" s="1554"/>
      <c r="R117" s="1554"/>
      <c r="S117" s="1284"/>
      <c r="T117" s="1284"/>
      <c r="U117" s="1284"/>
      <c r="V117" s="1284"/>
      <c r="W117" s="1554"/>
      <c r="X117" s="1284"/>
      <c r="Y117" s="1284"/>
      <c r="Z117" s="480"/>
      <c r="AA117" s="1284"/>
      <c r="AB117" s="1284"/>
      <c r="AC117" s="1284"/>
      <c r="AD117" s="1284"/>
      <c r="AE117" s="1284"/>
      <c r="AF117" s="1550"/>
      <c r="AG117" s="558"/>
      <c r="AH117" s="558"/>
      <c r="AI117" s="558"/>
      <c r="AJ117" s="558"/>
      <c r="AK117" s="1559">
        <v>11</v>
      </c>
    </row>
    <row r="118" spans="1:37" s="2431" customFormat="1" ht="11.45" customHeight="1">
      <c r="A118" s="911"/>
      <c r="B118" s="911"/>
      <c r="C118" s="911"/>
      <c r="D118" s="911"/>
      <c r="E118" s="911"/>
      <c r="F118" s="1554"/>
      <c r="G118" s="1554"/>
      <c r="H118" s="287"/>
      <c r="N118" s="1284"/>
      <c r="P118" s="1284"/>
      <c r="Q118" s="1554"/>
      <c r="R118" s="1554"/>
      <c r="S118" s="1284"/>
      <c r="T118" s="1284"/>
      <c r="U118" s="1284"/>
      <c r="V118" s="1284"/>
      <c r="W118" s="1554"/>
      <c r="X118" s="1284"/>
      <c r="Y118" s="1284"/>
      <c r="Z118" s="480"/>
      <c r="AA118" s="1284"/>
      <c r="AB118" s="1284"/>
      <c r="AC118" s="1284"/>
      <c r="AD118" s="1284"/>
      <c r="AE118" s="1284"/>
      <c r="AF118" s="1550"/>
      <c r="AG118" s="558"/>
      <c r="AH118" s="558"/>
      <c r="AI118" s="558"/>
      <c r="AJ118" s="558"/>
      <c r="AK118" s="1559">
        <v>11</v>
      </c>
    </row>
    <row r="119" spans="1:37" s="2431" customFormat="1" ht="11.45" customHeight="1">
      <c r="A119" s="911"/>
      <c r="B119" s="911"/>
      <c r="C119" s="911"/>
      <c r="D119" s="911"/>
      <c r="E119" s="911"/>
      <c r="F119" s="1554"/>
      <c r="G119" s="1554"/>
      <c r="H119" s="287"/>
      <c r="N119" s="1284"/>
      <c r="P119" s="1284"/>
      <c r="Q119" s="1554"/>
      <c r="R119" s="1554"/>
      <c r="S119" s="1284"/>
      <c r="T119" s="1284"/>
      <c r="U119" s="1284"/>
      <c r="V119" s="1284"/>
      <c r="W119" s="1554"/>
      <c r="X119" s="1284"/>
      <c r="Y119" s="1284"/>
      <c r="Z119" s="480"/>
      <c r="AA119" s="1284"/>
      <c r="AB119" s="1284"/>
      <c r="AC119" s="1284"/>
      <c r="AD119" s="1284"/>
      <c r="AE119" s="1284"/>
      <c r="AF119" s="1550"/>
      <c r="AG119" s="558"/>
      <c r="AH119" s="558"/>
      <c r="AI119" s="558"/>
      <c r="AJ119" s="558"/>
      <c r="AK119" s="1559">
        <v>11</v>
      </c>
    </row>
    <row r="120" spans="1:37" s="2431" customFormat="1" ht="11.45" customHeight="1">
      <c r="A120" s="911"/>
      <c r="B120" s="911"/>
      <c r="C120" s="911"/>
      <c r="D120" s="911"/>
      <c r="E120" s="911"/>
      <c r="F120" s="1554"/>
      <c r="G120" s="1554"/>
      <c r="H120" s="287"/>
      <c r="N120" s="1284"/>
      <c r="P120" s="1284"/>
      <c r="Q120" s="1554"/>
      <c r="R120" s="1554"/>
      <c r="S120" s="1284"/>
      <c r="T120" s="1284"/>
      <c r="U120" s="1284"/>
      <c r="V120" s="1284"/>
      <c r="W120" s="1554"/>
      <c r="X120" s="1284"/>
      <c r="Y120" s="1284"/>
      <c r="Z120" s="480"/>
      <c r="AA120" s="1284"/>
      <c r="AB120" s="1284"/>
      <c r="AC120" s="1284"/>
      <c r="AD120" s="1284"/>
      <c r="AE120" s="1284"/>
      <c r="AF120" s="1550"/>
      <c r="AG120" s="558"/>
      <c r="AH120" s="558"/>
      <c r="AI120" s="558"/>
      <c r="AJ120" s="558"/>
      <c r="AK120" s="1559">
        <v>11</v>
      </c>
    </row>
    <row r="121" spans="1:37" s="2431" customFormat="1" ht="11.45" customHeight="1">
      <c r="A121" s="911"/>
      <c r="B121" s="911"/>
      <c r="C121" s="911"/>
      <c r="D121" s="911"/>
      <c r="E121" s="911"/>
      <c r="F121" s="1554"/>
      <c r="G121" s="1554"/>
      <c r="H121" s="287"/>
      <c r="N121" s="1284"/>
      <c r="P121" s="1284"/>
      <c r="Q121" s="1554"/>
      <c r="R121" s="1554"/>
      <c r="S121" s="1284"/>
      <c r="T121" s="1284"/>
      <c r="U121" s="1284"/>
      <c r="V121" s="1284"/>
      <c r="W121" s="1554"/>
      <c r="X121" s="1284"/>
      <c r="Y121" s="1284"/>
      <c r="Z121" s="480"/>
      <c r="AA121" s="1284"/>
      <c r="AB121" s="1284"/>
      <c r="AC121" s="1284"/>
      <c r="AD121" s="1284"/>
      <c r="AE121" s="1284"/>
      <c r="AF121" s="1550"/>
      <c r="AG121" s="558"/>
      <c r="AH121" s="558"/>
      <c r="AI121" s="558"/>
      <c r="AJ121" s="558"/>
      <c r="AK121" s="1559">
        <v>11</v>
      </c>
    </row>
    <row r="122" spans="1:37" s="2431" customFormat="1" ht="11.45" customHeight="1">
      <c r="A122" s="911"/>
      <c r="B122" s="911"/>
      <c r="C122" s="911"/>
      <c r="D122" s="911"/>
      <c r="E122" s="911"/>
      <c r="F122" s="1554"/>
      <c r="G122" s="1554"/>
      <c r="H122" s="287"/>
      <c r="N122" s="1284"/>
      <c r="P122" s="1284"/>
      <c r="Q122" s="1554"/>
      <c r="R122" s="1554"/>
      <c r="S122" s="1284"/>
      <c r="T122" s="1284"/>
      <c r="U122" s="1284"/>
      <c r="V122" s="1284"/>
      <c r="W122" s="1554"/>
      <c r="X122" s="1284"/>
      <c r="Y122" s="1284"/>
      <c r="Z122" s="480"/>
      <c r="AA122" s="1284"/>
      <c r="AB122" s="1284"/>
      <c r="AC122" s="1284"/>
      <c r="AD122" s="1284"/>
      <c r="AE122" s="1284"/>
      <c r="AF122" s="1550"/>
      <c r="AG122" s="558"/>
      <c r="AH122" s="558"/>
      <c r="AI122" s="558"/>
      <c r="AJ122" s="558"/>
      <c r="AK122" s="1559">
        <v>11</v>
      </c>
    </row>
    <row r="123" spans="1:37" s="2431" customFormat="1" ht="11.45" customHeight="1">
      <c r="A123" s="911"/>
      <c r="B123" s="911"/>
      <c r="C123" s="911"/>
      <c r="D123" s="911"/>
      <c r="E123" s="911"/>
      <c r="F123" s="1554"/>
      <c r="G123" s="1554"/>
      <c r="H123" s="287"/>
      <c r="N123" s="1284"/>
      <c r="P123" s="1284"/>
      <c r="Q123" s="1554"/>
      <c r="R123" s="1554"/>
      <c r="S123" s="1284"/>
      <c r="T123" s="1284"/>
      <c r="U123" s="1284"/>
      <c r="V123" s="1284"/>
      <c r="W123" s="1554"/>
      <c r="X123" s="1284"/>
      <c r="Y123" s="1284"/>
      <c r="Z123" s="480"/>
      <c r="AA123" s="1284"/>
      <c r="AB123" s="1284"/>
      <c r="AC123" s="1284"/>
      <c r="AD123" s="1284"/>
      <c r="AE123" s="1284"/>
      <c r="AF123" s="1550"/>
      <c r="AG123" s="558"/>
      <c r="AH123" s="558"/>
      <c r="AI123" s="558"/>
      <c r="AJ123" s="558"/>
      <c r="AK123" s="1559">
        <v>11</v>
      </c>
    </row>
    <row r="124" spans="1:37" s="2431" customFormat="1" ht="11.45" customHeight="1">
      <c r="A124" s="911"/>
      <c r="B124" s="911"/>
      <c r="C124" s="911"/>
      <c r="D124" s="911"/>
      <c r="E124" s="911"/>
      <c r="F124" s="1554"/>
      <c r="G124" s="1554"/>
      <c r="H124" s="287"/>
      <c r="N124" s="1284"/>
      <c r="P124" s="1284"/>
      <c r="Q124" s="1554"/>
      <c r="R124" s="1554"/>
      <c r="S124" s="1284"/>
      <c r="T124" s="1284"/>
      <c r="U124" s="1284"/>
      <c r="V124" s="1284"/>
      <c r="W124" s="1554"/>
      <c r="X124" s="1284"/>
      <c r="Y124" s="1284"/>
      <c r="Z124" s="480"/>
      <c r="AA124" s="1284"/>
      <c r="AB124" s="1284"/>
      <c r="AC124" s="1284"/>
      <c r="AD124" s="1284"/>
      <c r="AE124" s="1284"/>
      <c r="AF124" s="1550"/>
      <c r="AG124" s="558"/>
      <c r="AH124" s="558"/>
      <c r="AI124" s="558"/>
      <c r="AJ124" s="558"/>
      <c r="AK124" s="1559">
        <v>11</v>
      </c>
    </row>
    <row r="125" spans="1:37" s="2431" customFormat="1" ht="11.45" customHeight="1">
      <c r="A125" s="911"/>
      <c r="B125" s="911"/>
      <c r="C125" s="911"/>
      <c r="D125" s="911"/>
      <c r="E125" s="911"/>
      <c r="F125" s="1554"/>
      <c r="G125" s="1554"/>
      <c r="H125" s="287"/>
      <c r="N125" s="1284"/>
      <c r="P125" s="1284"/>
      <c r="Q125" s="1554"/>
      <c r="R125" s="1554"/>
      <c r="S125" s="1284"/>
      <c r="T125" s="1284"/>
      <c r="U125" s="1284"/>
      <c r="V125" s="1284"/>
      <c r="W125" s="1554"/>
      <c r="X125" s="1284"/>
      <c r="Y125" s="1284"/>
      <c r="Z125" s="480"/>
      <c r="AA125" s="1284"/>
      <c r="AB125" s="1284"/>
      <c r="AC125" s="1284"/>
      <c r="AD125" s="1284"/>
      <c r="AE125" s="1284"/>
      <c r="AF125" s="1550"/>
      <c r="AG125" s="558"/>
      <c r="AH125" s="558"/>
      <c r="AI125" s="558"/>
      <c r="AJ125" s="558"/>
      <c r="AK125" s="1559">
        <v>11</v>
      </c>
    </row>
    <row r="126" spans="1:37" s="2431" customFormat="1" ht="11.45" customHeight="1">
      <c r="A126" s="911"/>
      <c r="B126" s="911"/>
      <c r="C126" s="911"/>
      <c r="D126" s="911"/>
      <c r="E126" s="911"/>
      <c r="F126" s="1554"/>
      <c r="G126" s="1554"/>
      <c r="H126" s="287"/>
      <c r="N126" s="1284"/>
      <c r="P126" s="1284"/>
      <c r="Q126" s="1554"/>
      <c r="R126" s="1554"/>
      <c r="S126" s="1284"/>
      <c r="T126" s="1284"/>
      <c r="U126" s="1284"/>
      <c r="V126" s="1284"/>
      <c r="W126" s="1554"/>
      <c r="X126" s="1284"/>
      <c r="Y126" s="1284"/>
      <c r="Z126" s="480"/>
      <c r="AA126" s="1284"/>
      <c r="AB126" s="1284"/>
      <c r="AC126" s="1284"/>
      <c r="AD126" s="1284"/>
      <c r="AE126" s="1284"/>
      <c r="AF126" s="1550"/>
      <c r="AG126" s="558"/>
      <c r="AH126" s="558"/>
      <c r="AI126" s="558"/>
      <c r="AJ126" s="558"/>
      <c r="AK126" s="1559">
        <v>11</v>
      </c>
    </row>
    <row r="127" spans="1:37" s="2431" customFormat="1" ht="11.45" customHeight="1">
      <c r="A127" s="911"/>
      <c r="B127" s="911"/>
      <c r="C127" s="911"/>
      <c r="D127" s="911"/>
      <c r="E127" s="911"/>
      <c r="F127" s="1554"/>
      <c r="G127" s="1554"/>
      <c r="H127" s="287"/>
      <c r="N127" s="1284"/>
      <c r="P127" s="1284"/>
      <c r="Q127" s="1554"/>
      <c r="R127" s="1554"/>
      <c r="S127" s="1284"/>
      <c r="T127" s="1284"/>
      <c r="U127" s="1284"/>
      <c r="V127" s="1284"/>
      <c r="W127" s="1554"/>
      <c r="X127" s="1284"/>
      <c r="Y127" s="1284"/>
      <c r="Z127" s="480"/>
      <c r="AA127" s="1284"/>
      <c r="AB127" s="1284"/>
      <c r="AC127" s="1284"/>
      <c r="AD127" s="1284"/>
      <c r="AE127" s="1284"/>
      <c r="AF127" s="1550"/>
      <c r="AG127" s="558"/>
      <c r="AH127" s="558"/>
      <c r="AI127" s="558"/>
      <c r="AJ127" s="558"/>
      <c r="AK127" s="1559">
        <v>11</v>
      </c>
    </row>
    <row r="128" spans="1:37" s="2431" customFormat="1" ht="11.45" customHeight="1">
      <c r="A128" s="911"/>
      <c r="B128" s="911"/>
      <c r="C128" s="911"/>
      <c r="D128" s="911"/>
      <c r="E128" s="911"/>
      <c r="F128" s="1554"/>
      <c r="G128" s="1554"/>
      <c r="H128" s="287"/>
      <c r="N128" s="1284"/>
      <c r="P128" s="1284"/>
      <c r="Q128" s="1554"/>
      <c r="R128" s="1554"/>
      <c r="S128" s="1284"/>
      <c r="T128" s="1284"/>
      <c r="U128" s="1284"/>
      <c r="V128" s="1284"/>
      <c r="W128" s="1554"/>
      <c r="X128" s="1284"/>
      <c r="Y128" s="1284"/>
      <c r="Z128" s="480"/>
      <c r="AA128" s="1284"/>
      <c r="AB128" s="1284"/>
      <c r="AC128" s="1284"/>
      <c r="AD128" s="1284"/>
      <c r="AE128" s="1284"/>
      <c r="AF128" s="1550"/>
      <c r="AG128" s="558"/>
      <c r="AH128" s="558"/>
      <c r="AI128" s="558"/>
      <c r="AJ128" s="558"/>
      <c r="AK128" s="1559">
        <v>11</v>
      </c>
    </row>
    <row r="129" spans="1:37" s="2431" customFormat="1" ht="11.45" customHeight="1">
      <c r="A129" s="911"/>
      <c r="B129" s="911"/>
      <c r="C129" s="911"/>
      <c r="D129" s="911"/>
      <c r="E129" s="911"/>
      <c r="F129" s="1554"/>
      <c r="G129" s="1554"/>
      <c r="H129" s="287"/>
      <c r="N129" s="1284"/>
      <c r="P129" s="1284"/>
      <c r="Q129" s="1554"/>
      <c r="R129" s="1554"/>
      <c r="S129" s="1284"/>
      <c r="T129" s="1284"/>
      <c r="U129" s="1284"/>
      <c r="V129" s="1284"/>
      <c r="W129" s="1554"/>
      <c r="X129" s="1284"/>
      <c r="Y129" s="1284"/>
      <c r="Z129" s="480"/>
      <c r="AA129" s="1284"/>
      <c r="AB129" s="1284"/>
      <c r="AC129" s="1284"/>
      <c r="AD129" s="1284"/>
      <c r="AE129" s="1284"/>
      <c r="AF129" s="1550"/>
      <c r="AG129" s="558"/>
      <c r="AH129" s="558"/>
      <c r="AI129" s="558"/>
      <c r="AJ129" s="558"/>
      <c r="AK129" s="1559">
        <v>11</v>
      </c>
    </row>
    <row r="130" spans="1:37" s="2431" customFormat="1" ht="11.45" customHeight="1">
      <c r="A130" s="911"/>
      <c r="B130" s="911"/>
      <c r="C130" s="911"/>
      <c r="D130" s="911"/>
      <c r="E130" s="911"/>
      <c r="F130" s="1554"/>
      <c r="G130" s="1554"/>
      <c r="H130" s="287"/>
      <c r="N130" s="1284"/>
      <c r="P130" s="1284"/>
      <c r="Q130" s="1554"/>
      <c r="R130" s="1554"/>
      <c r="S130" s="1284"/>
      <c r="T130" s="1284"/>
      <c r="U130" s="1284"/>
      <c r="V130" s="1284"/>
      <c r="W130" s="1554"/>
      <c r="X130" s="1284"/>
      <c r="Y130" s="1284"/>
      <c r="Z130" s="480"/>
      <c r="AA130" s="1284"/>
      <c r="AB130" s="1284"/>
      <c r="AC130" s="1284"/>
      <c r="AD130" s="1284"/>
      <c r="AE130" s="1284"/>
      <c r="AF130" s="1550"/>
      <c r="AG130" s="558"/>
      <c r="AH130" s="558"/>
      <c r="AI130" s="558"/>
      <c r="AJ130" s="558"/>
      <c r="AK130" s="1559">
        <v>11</v>
      </c>
    </row>
    <row r="131" spans="1:37" s="2431" customFormat="1" ht="11.45" customHeight="1">
      <c r="A131" s="911"/>
      <c r="B131" s="911"/>
      <c r="C131" s="911"/>
      <c r="D131" s="911"/>
      <c r="E131" s="911"/>
      <c r="F131" s="1554"/>
      <c r="G131" s="1554"/>
      <c r="H131" s="287"/>
      <c r="N131" s="1284"/>
      <c r="P131" s="1284"/>
      <c r="Q131" s="1554"/>
      <c r="R131" s="1554"/>
      <c r="S131" s="1284"/>
      <c r="T131" s="1284"/>
      <c r="U131" s="1284"/>
      <c r="V131" s="1284"/>
      <c r="W131" s="1554"/>
      <c r="X131" s="1284"/>
      <c r="Y131" s="1284"/>
      <c r="Z131" s="480"/>
      <c r="AA131" s="1284"/>
      <c r="AB131" s="1284"/>
      <c r="AC131" s="1284"/>
      <c r="AD131" s="1284"/>
      <c r="AE131" s="1284"/>
      <c r="AF131" s="1550"/>
      <c r="AG131" s="558"/>
      <c r="AH131" s="558"/>
      <c r="AI131" s="558"/>
      <c r="AJ131" s="558"/>
      <c r="AK131" s="1559">
        <v>11</v>
      </c>
    </row>
    <row r="132" spans="1:37" s="2431" customFormat="1" ht="11.45" customHeight="1">
      <c r="A132" s="911"/>
      <c r="B132" s="911"/>
      <c r="C132" s="911"/>
      <c r="D132" s="911"/>
      <c r="E132" s="911"/>
      <c r="F132" s="1554"/>
      <c r="G132" s="1554"/>
      <c r="H132" s="287"/>
      <c r="N132" s="1284"/>
      <c r="P132" s="1284"/>
      <c r="Q132" s="1554"/>
      <c r="R132" s="1554"/>
      <c r="S132" s="1284"/>
      <c r="T132" s="1284"/>
      <c r="U132" s="1284"/>
      <c r="V132" s="1284"/>
      <c r="W132" s="1554"/>
      <c r="X132" s="1284"/>
      <c r="Y132" s="1284"/>
      <c r="Z132" s="480"/>
      <c r="AA132" s="1284"/>
      <c r="AB132" s="1284"/>
      <c r="AC132" s="1284"/>
      <c r="AD132" s="1284"/>
      <c r="AE132" s="1284"/>
      <c r="AF132" s="1550"/>
      <c r="AG132" s="558"/>
      <c r="AH132" s="558"/>
      <c r="AI132" s="558"/>
      <c r="AJ132" s="558"/>
      <c r="AK132" s="1559">
        <v>11</v>
      </c>
    </row>
    <row r="133" spans="1:37" s="2431" customFormat="1" ht="11.45" customHeight="1">
      <c r="A133" s="911"/>
      <c r="B133" s="911"/>
      <c r="C133" s="911"/>
      <c r="D133" s="911"/>
      <c r="E133" s="911"/>
      <c r="F133" s="1554"/>
      <c r="G133" s="1554"/>
      <c r="H133" s="287"/>
      <c r="N133" s="1284"/>
      <c r="P133" s="1284"/>
      <c r="Q133" s="1554"/>
      <c r="R133" s="1554"/>
      <c r="S133" s="1284"/>
      <c r="T133" s="1284"/>
      <c r="U133" s="1284"/>
      <c r="V133" s="1284"/>
      <c r="W133" s="1554"/>
      <c r="X133" s="1284"/>
      <c r="Y133" s="1284"/>
      <c r="Z133" s="480"/>
      <c r="AA133" s="1284"/>
      <c r="AB133" s="1284"/>
      <c r="AC133" s="1284"/>
      <c r="AD133" s="1284"/>
      <c r="AE133" s="1284"/>
      <c r="AF133" s="1550"/>
      <c r="AG133" s="558"/>
      <c r="AH133" s="558"/>
      <c r="AI133" s="558"/>
      <c r="AJ133" s="558"/>
      <c r="AK133" s="1559">
        <v>11</v>
      </c>
    </row>
    <row r="134" spans="1:37" s="2431" customFormat="1" ht="11.45" customHeight="1">
      <c r="A134" s="911"/>
      <c r="B134" s="911"/>
      <c r="C134" s="911"/>
      <c r="D134" s="911"/>
      <c r="E134" s="911"/>
      <c r="F134" s="1554"/>
      <c r="G134" s="1554"/>
      <c r="H134" s="287"/>
      <c r="N134" s="1284"/>
      <c r="P134" s="1284"/>
      <c r="Q134" s="1554"/>
      <c r="R134" s="1554"/>
      <c r="S134" s="1284"/>
      <c r="T134" s="1284"/>
      <c r="U134" s="1284"/>
      <c r="V134" s="1284"/>
      <c r="W134" s="1554"/>
      <c r="X134" s="1284"/>
      <c r="Y134" s="1284"/>
      <c r="Z134" s="480"/>
      <c r="AA134" s="1284"/>
      <c r="AB134" s="1284"/>
      <c r="AC134" s="1284"/>
      <c r="AD134" s="1284"/>
      <c r="AE134" s="1284"/>
      <c r="AF134" s="1550"/>
      <c r="AG134" s="558"/>
      <c r="AH134" s="558"/>
      <c r="AI134" s="558"/>
      <c r="AJ134" s="558"/>
      <c r="AK134" s="1559">
        <v>11</v>
      </c>
    </row>
    <row r="135" spans="1:37" s="2431" customFormat="1" ht="11.45" customHeight="1">
      <c r="A135" s="911"/>
      <c r="B135" s="911"/>
      <c r="C135" s="911"/>
      <c r="D135" s="911"/>
      <c r="E135" s="911"/>
      <c r="F135" s="1554"/>
      <c r="G135" s="1554"/>
      <c r="H135" s="287"/>
      <c r="N135" s="1284"/>
      <c r="P135" s="1284"/>
      <c r="Q135" s="1554"/>
      <c r="R135" s="1554"/>
      <c r="S135" s="1284"/>
      <c r="T135" s="1284"/>
      <c r="U135" s="1284"/>
      <c r="V135" s="1284"/>
      <c r="W135" s="1554"/>
      <c r="X135" s="1284"/>
      <c r="Y135" s="1284"/>
      <c r="Z135" s="480"/>
      <c r="AA135" s="1284"/>
      <c r="AB135" s="1284"/>
      <c r="AC135" s="1284"/>
      <c r="AD135" s="1284"/>
      <c r="AE135" s="1284"/>
      <c r="AF135" s="1550"/>
      <c r="AG135" s="558"/>
      <c r="AH135" s="558"/>
      <c r="AI135" s="558"/>
      <c r="AJ135" s="558"/>
      <c r="AK135" s="1559">
        <v>11</v>
      </c>
    </row>
    <row r="136" spans="1:37" s="2431" customFormat="1" ht="11.45" customHeight="1">
      <c r="A136" s="911"/>
      <c r="B136" s="911"/>
      <c r="C136" s="911"/>
      <c r="D136" s="911"/>
      <c r="E136" s="911"/>
      <c r="F136" s="1554"/>
      <c r="G136" s="1554"/>
      <c r="H136" s="287"/>
      <c r="N136" s="1284"/>
      <c r="P136" s="1284"/>
      <c r="Q136" s="1554"/>
      <c r="R136" s="1554"/>
      <c r="S136" s="1284"/>
      <c r="T136" s="1284"/>
      <c r="U136" s="1284"/>
      <c r="V136" s="1284"/>
      <c r="W136" s="1554"/>
      <c r="X136" s="1284"/>
      <c r="Y136" s="1284"/>
      <c r="Z136" s="480"/>
      <c r="AA136" s="1284"/>
      <c r="AB136" s="1284"/>
      <c r="AC136" s="1284"/>
      <c r="AD136" s="1284"/>
      <c r="AE136" s="1284"/>
      <c r="AF136" s="1550"/>
      <c r="AG136" s="558"/>
      <c r="AH136" s="558"/>
      <c r="AI136" s="558"/>
      <c r="AJ136" s="558"/>
      <c r="AK136" s="1559">
        <v>11</v>
      </c>
    </row>
    <row r="137" spans="1:37" s="2431" customFormat="1" ht="11.45" customHeight="1">
      <c r="A137" s="911"/>
      <c r="B137" s="911"/>
      <c r="C137" s="911"/>
      <c r="D137" s="911"/>
      <c r="E137" s="911"/>
      <c r="F137" s="1554"/>
      <c r="G137" s="1554"/>
      <c r="H137" s="287"/>
      <c r="N137" s="1284"/>
      <c r="P137" s="1284"/>
      <c r="Q137" s="1554"/>
      <c r="R137" s="1554"/>
      <c r="S137" s="1284"/>
      <c r="T137" s="1284"/>
      <c r="U137" s="1284"/>
      <c r="V137" s="1284"/>
      <c r="W137" s="1554"/>
      <c r="X137" s="1284"/>
      <c r="Y137" s="1284"/>
      <c r="Z137" s="480"/>
      <c r="AA137" s="1284"/>
      <c r="AB137" s="1284"/>
      <c r="AC137" s="1284"/>
      <c r="AD137" s="1284"/>
      <c r="AE137" s="1284"/>
      <c r="AF137" s="1550"/>
      <c r="AG137" s="558"/>
      <c r="AH137" s="558"/>
      <c r="AI137" s="558"/>
      <c r="AJ137" s="558"/>
      <c r="AK137" s="1559">
        <v>11</v>
      </c>
    </row>
    <row r="138" spans="1:37" s="2431" customFormat="1" ht="11.45" customHeight="1">
      <c r="A138" s="911"/>
      <c r="B138" s="911"/>
      <c r="C138" s="911"/>
      <c r="D138" s="911"/>
      <c r="E138" s="911"/>
      <c r="F138" s="1554"/>
      <c r="G138" s="1554"/>
      <c r="H138" s="287"/>
      <c r="N138" s="1284"/>
      <c r="P138" s="1284"/>
      <c r="Q138" s="1554"/>
      <c r="R138" s="1554"/>
      <c r="S138" s="1284"/>
      <c r="T138" s="1284"/>
      <c r="U138" s="1284"/>
      <c r="V138" s="1284"/>
      <c r="W138" s="1554"/>
      <c r="X138" s="1284"/>
      <c r="Y138" s="1284"/>
      <c r="Z138" s="480"/>
      <c r="AA138" s="1284"/>
      <c r="AB138" s="1284"/>
      <c r="AC138" s="1284"/>
      <c r="AD138" s="1284"/>
      <c r="AE138" s="1284"/>
      <c r="AF138" s="1550"/>
      <c r="AG138" s="558"/>
      <c r="AH138" s="558"/>
      <c r="AI138" s="558"/>
      <c r="AJ138" s="558"/>
      <c r="AK138" s="1559">
        <v>11</v>
      </c>
    </row>
    <row r="139" spans="1:37" s="2431" customFormat="1" ht="11.45" customHeight="1">
      <c r="A139" s="911"/>
      <c r="B139" s="911"/>
      <c r="C139" s="911"/>
      <c r="D139" s="911"/>
      <c r="E139" s="911"/>
      <c r="F139" s="1554"/>
      <c r="G139" s="1554"/>
      <c r="H139" s="287"/>
      <c r="N139" s="1284"/>
      <c r="P139" s="1284"/>
      <c r="Q139" s="1554"/>
      <c r="R139" s="1554"/>
      <c r="S139" s="1284"/>
      <c r="T139" s="1284"/>
      <c r="U139" s="1284"/>
      <c r="V139" s="1284"/>
      <c r="W139" s="1554"/>
      <c r="X139" s="1284"/>
      <c r="Y139" s="1284"/>
      <c r="Z139" s="480"/>
      <c r="AA139" s="1284"/>
      <c r="AB139" s="1284"/>
      <c r="AC139" s="1284"/>
      <c r="AD139" s="1284"/>
      <c r="AE139" s="1284"/>
      <c r="AF139" s="1550"/>
      <c r="AG139" s="558"/>
      <c r="AH139" s="558"/>
      <c r="AI139" s="558"/>
      <c r="AJ139" s="558"/>
      <c r="AK139" s="1559">
        <v>11</v>
      </c>
    </row>
    <row r="140" spans="1:37" s="2431" customFormat="1" ht="11.45" customHeight="1">
      <c r="A140" s="911"/>
      <c r="B140" s="911"/>
      <c r="C140" s="911"/>
      <c r="D140" s="911"/>
      <c r="E140" s="911"/>
      <c r="F140" s="1554"/>
      <c r="G140" s="1554"/>
      <c r="H140" s="287"/>
      <c r="N140" s="1284"/>
      <c r="P140" s="1284"/>
      <c r="Q140" s="1554"/>
      <c r="R140" s="1554"/>
      <c r="S140" s="1284"/>
      <c r="T140" s="1284"/>
      <c r="U140" s="1284"/>
      <c r="V140" s="1284"/>
      <c r="W140" s="1554"/>
      <c r="X140" s="1284"/>
      <c r="Y140" s="1284"/>
      <c r="Z140" s="480"/>
      <c r="AA140" s="1284"/>
      <c r="AB140" s="1284"/>
      <c r="AC140" s="1284"/>
      <c r="AD140" s="1284"/>
      <c r="AE140" s="1284"/>
      <c r="AF140" s="1550"/>
      <c r="AG140" s="558"/>
      <c r="AH140" s="558"/>
      <c r="AI140" s="558"/>
      <c r="AJ140" s="558"/>
      <c r="AK140" s="1559">
        <v>11</v>
      </c>
    </row>
    <row r="141" spans="1:37" s="2431" customFormat="1" ht="11.45" customHeight="1">
      <c r="A141" s="911"/>
      <c r="B141" s="911"/>
      <c r="C141" s="911"/>
      <c r="D141" s="911"/>
      <c r="E141" s="911"/>
      <c r="F141" s="1554"/>
      <c r="G141" s="1554"/>
      <c r="H141" s="287"/>
      <c r="N141" s="1284"/>
      <c r="P141" s="1284"/>
      <c r="Q141" s="1554"/>
      <c r="R141" s="1554"/>
      <c r="S141" s="1284"/>
      <c r="T141" s="1284"/>
      <c r="U141" s="1284"/>
      <c r="V141" s="1284"/>
      <c r="W141" s="1554"/>
      <c r="X141" s="1284"/>
      <c r="Y141" s="1284"/>
      <c r="Z141" s="480"/>
      <c r="AA141" s="1284"/>
      <c r="AB141" s="1284"/>
      <c r="AC141" s="1284"/>
      <c r="AD141" s="1284"/>
      <c r="AE141" s="1284"/>
      <c r="AF141" s="1550"/>
      <c r="AG141" s="558"/>
      <c r="AH141" s="558"/>
      <c r="AI141" s="558"/>
      <c r="AJ141" s="558"/>
      <c r="AK141" s="1559">
        <v>11</v>
      </c>
    </row>
    <row r="142" spans="1:37" s="2431" customFormat="1" ht="11.45" customHeight="1">
      <c r="A142" s="911"/>
      <c r="B142" s="911"/>
      <c r="C142" s="911"/>
      <c r="D142" s="911"/>
      <c r="E142" s="911"/>
      <c r="F142" s="1554"/>
      <c r="G142" s="1554"/>
      <c r="H142" s="287"/>
      <c r="N142" s="1284"/>
      <c r="P142" s="1284"/>
      <c r="Q142" s="1554"/>
      <c r="R142" s="1554"/>
      <c r="S142" s="1284"/>
      <c r="T142" s="1284"/>
      <c r="U142" s="1284"/>
      <c r="V142" s="1284"/>
      <c r="W142" s="1554"/>
      <c r="X142" s="1284"/>
      <c r="Y142" s="1284"/>
      <c r="Z142" s="480"/>
      <c r="AA142" s="1284"/>
      <c r="AB142" s="1284"/>
      <c r="AC142" s="1284"/>
      <c r="AD142" s="1284"/>
      <c r="AE142" s="1284"/>
      <c r="AF142" s="1550"/>
      <c r="AG142" s="558"/>
      <c r="AH142" s="558"/>
      <c r="AI142" s="558"/>
      <c r="AJ142" s="558"/>
      <c r="AK142" s="1559">
        <v>11</v>
      </c>
    </row>
    <row r="143" spans="1:37" s="2431" customFormat="1" ht="11.45" customHeight="1">
      <c r="A143" s="911"/>
      <c r="B143" s="911"/>
      <c r="C143" s="911"/>
      <c r="D143" s="911"/>
      <c r="E143" s="911"/>
      <c r="F143" s="1554"/>
      <c r="G143" s="1554"/>
      <c r="H143" s="287"/>
      <c r="N143" s="1284"/>
      <c r="P143" s="1284"/>
      <c r="Q143" s="1554"/>
      <c r="R143" s="1554"/>
      <c r="S143" s="1284"/>
      <c r="T143" s="1284"/>
      <c r="U143" s="1284"/>
      <c r="V143" s="1284"/>
      <c r="W143" s="1554"/>
      <c r="X143" s="1284"/>
      <c r="Y143" s="1284"/>
      <c r="Z143" s="480"/>
      <c r="AA143" s="1284"/>
      <c r="AB143" s="1284"/>
      <c r="AC143" s="1284"/>
      <c r="AD143" s="1284"/>
      <c r="AE143" s="1284"/>
      <c r="AF143" s="1550"/>
      <c r="AG143" s="558"/>
      <c r="AH143" s="558"/>
      <c r="AI143" s="558"/>
      <c r="AJ143" s="558"/>
      <c r="AK143" s="1559">
        <v>11</v>
      </c>
    </row>
    <row r="144" spans="1:37" s="2431" customFormat="1" ht="11.45" customHeight="1">
      <c r="A144" s="911"/>
      <c r="B144" s="911"/>
      <c r="C144" s="911"/>
      <c r="D144" s="911"/>
      <c r="E144" s="911"/>
      <c r="F144" s="1554"/>
      <c r="G144" s="1554"/>
      <c r="H144" s="287"/>
      <c r="N144" s="1284"/>
      <c r="P144" s="1284"/>
      <c r="Q144" s="1554"/>
      <c r="R144" s="1554"/>
      <c r="S144" s="1284"/>
      <c r="T144" s="1284"/>
      <c r="U144" s="1284"/>
      <c r="V144" s="1284"/>
      <c r="W144" s="1554"/>
      <c r="X144" s="1284"/>
      <c r="Y144" s="1284"/>
      <c r="Z144" s="480"/>
      <c r="AA144" s="1284"/>
      <c r="AB144" s="1284"/>
      <c r="AC144" s="1284"/>
      <c r="AD144" s="1284"/>
      <c r="AE144" s="1284"/>
      <c r="AF144" s="1550"/>
      <c r="AG144" s="558"/>
      <c r="AH144" s="558"/>
      <c r="AI144" s="558"/>
      <c r="AJ144" s="558"/>
      <c r="AK144" s="1559">
        <v>11</v>
      </c>
    </row>
    <row r="145" spans="1:37" s="2431" customFormat="1" ht="11.45" customHeight="1">
      <c r="A145" s="911"/>
      <c r="B145" s="911"/>
      <c r="C145" s="911"/>
      <c r="D145" s="911"/>
      <c r="E145" s="911"/>
      <c r="F145" s="1554"/>
      <c r="G145" s="1554"/>
      <c r="H145" s="287"/>
      <c r="N145" s="1284"/>
      <c r="P145" s="1284"/>
      <c r="Q145" s="1554"/>
      <c r="R145" s="1554"/>
      <c r="S145" s="1284"/>
      <c r="T145" s="1284"/>
      <c r="U145" s="1284"/>
      <c r="V145" s="1284"/>
      <c r="W145" s="1554"/>
      <c r="X145" s="1284"/>
      <c r="Y145" s="1284"/>
      <c r="Z145" s="480"/>
      <c r="AA145" s="1284"/>
      <c r="AB145" s="1284"/>
      <c r="AC145" s="1284"/>
      <c r="AD145" s="1284"/>
      <c r="AE145" s="1284"/>
      <c r="AF145" s="1550"/>
      <c r="AG145" s="558"/>
      <c r="AH145" s="558"/>
      <c r="AI145" s="558"/>
      <c r="AJ145" s="558"/>
      <c r="AK145" s="1559">
        <v>11</v>
      </c>
    </row>
    <row r="146" spans="1:37" s="2431" customFormat="1" ht="11.45" customHeight="1">
      <c r="A146" s="911"/>
      <c r="B146" s="911"/>
      <c r="C146" s="911"/>
      <c r="D146" s="911"/>
      <c r="E146" s="911"/>
      <c r="F146" s="1554"/>
      <c r="G146" s="1554"/>
      <c r="H146" s="287"/>
      <c r="N146" s="1284"/>
      <c r="P146" s="1284"/>
      <c r="Q146" s="1554"/>
      <c r="R146" s="1554"/>
      <c r="S146" s="1284"/>
      <c r="T146" s="1284"/>
      <c r="U146" s="1284"/>
      <c r="V146" s="1284"/>
      <c r="W146" s="1554"/>
      <c r="X146" s="1284"/>
      <c r="Y146" s="1284"/>
      <c r="Z146" s="480"/>
      <c r="AA146" s="1284"/>
      <c r="AB146" s="1284"/>
      <c r="AC146" s="1284"/>
      <c r="AD146" s="1284"/>
      <c r="AE146" s="1284"/>
      <c r="AF146" s="1550"/>
      <c r="AG146" s="558"/>
      <c r="AH146" s="558"/>
      <c r="AI146" s="558"/>
      <c r="AJ146" s="558"/>
      <c r="AK146" s="1559">
        <v>11</v>
      </c>
    </row>
    <row r="147" spans="1:37" s="2431" customFormat="1" ht="11.45" customHeight="1">
      <c r="A147" s="911"/>
      <c r="B147" s="911"/>
      <c r="C147" s="911"/>
      <c r="D147" s="911"/>
      <c r="E147" s="911"/>
      <c r="F147" s="1554"/>
      <c r="G147" s="1554"/>
      <c r="H147" s="287"/>
      <c r="N147" s="1284"/>
      <c r="P147" s="1284"/>
      <c r="Q147" s="1554"/>
      <c r="R147" s="1554"/>
      <c r="S147" s="1284"/>
      <c r="T147" s="1284"/>
      <c r="U147" s="1284"/>
      <c r="V147" s="1284"/>
      <c r="W147" s="1554"/>
      <c r="X147" s="1284"/>
      <c r="Y147" s="1284"/>
      <c r="Z147" s="480"/>
      <c r="AA147" s="1284"/>
      <c r="AB147" s="1284"/>
      <c r="AC147" s="1284"/>
      <c r="AD147" s="1284"/>
      <c r="AE147" s="1284"/>
      <c r="AF147" s="1550"/>
      <c r="AG147" s="558"/>
      <c r="AH147" s="558"/>
      <c r="AI147" s="558"/>
      <c r="AJ147" s="558"/>
      <c r="AK147" s="1559">
        <v>11</v>
      </c>
    </row>
    <row r="148" spans="1:37" s="2431" customFormat="1" ht="11.45" customHeight="1">
      <c r="A148" s="911"/>
      <c r="B148" s="911"/>
      <c r="C148" s="911"/>
      <c r="D148" s="911"/>
      <c r="E148" s="911"/>
      <c r="F148" s="1554"/>
      <c r="G148" s="1554"/>
      <c r="H148" s="287"/>
      <c r="N148" s="1284"/>
      <c r="P148" s="1284"/>
      <c r="Q148" s="1554"/>
      <c r="R148" s="1554"/>
      <c r="S148" s="1284"/>
      <c r="T148" s="1284"/>
      <c r="U148" s="1284"/>
      <c r="V148" s="1284"/>
      <c r="W148" s="1554"/>
      <c r="X148" s="1284"/>
      <c r="Y148" s="1284"/>
      <c r="Z148" s="480"/>
      <c r="AA148" s="1284"/>
      <c r="AB148" s="1284"/>
      <c r="AC148" s="1284"/>
      <c r="AD148" s="1284"/>
      <c r="AE148" s="1284"/>
      <c r="AF148" s="1550"/>
      <c r="AG148" s="558"/>
      <c r="AH148" s="558"/>
      <c r="AI148" s="558"/>
      <c r="AJ148" s="558"/>
      <c r="AK148" s="1559">
        <v>11</v>
      </c>
    </row>
    <row r="149" spans="1:37" s="2431" customFormat="1" ht="11.45" customHeight="1">
      <c r="A149" s="911"/>
      <c r="B149" s="911"/>
      <c r="C149" s="911"/>
      <c r="D149" s="911"/>
      <c r="E149" s="911"/>
      <c r="F149" s="1554"/>
      <c r="G149" s="1554"/>
      <c r="H149" s="287"/>
      <c r="N149" s="1284"/>
      <c r="P149" s="1284"/>
      <c r="Q149" s="1554"/>
      <c r="R149" s="1554"/>
      <c r="S149" s="1284"/>
      <c r="T149" s="1284"/>
      <c r="U149" s="1284"/>
      <c r="V149" s="1284"/>
      <c r="W149" s="1554"/>
      <c r="X149" s="1284"/>
      <c r="Y149" s="1284"/>
      <c r="Z149" s="480"/>
      <c r="AA149" s="1284"/>
      <c r="AB149" s="1284"/>
      <c r="AC149" s="1284"/>
      <c r="AD149" s="1284"/>
      <c r="AE149" s="1284"/>
      <c r="AF149" s="1550"/>
      <c r="AG149" s="558"/>
      <c r="AH149" s="558"/>
      <c r="AI149" s="558"/>
      <c r="AJ149" s="558"/>
      <c r="AK149" s="1559">
        <v>11</v>
      </c>
    </row>
    <row r="150" spans="1:37" s="2431" customFormat="1" ht="11.45" customHeight="1">
      <c r="A150" s="911"/>
      <c r="B150" s="911"/>
      <c r="C150" s="911"/>
      <c r="D150" s="911"/>
      <c r="E150" s="911"/>
      <c r="F150" s="1554"/>
      <c r="G150" s="1554"/>
      <c r="H150" s="287"/>
      <c r="N150" s="1284"/>
      <c r="P150" s="1284"/>
      <c r="Q150" s="1554"/>
      <c r="R150" s="1554"/>
      <c r="S150" s="1284"/>
      <c r="T150" s="1284"/>
      <c r="U150" s="1284"/>
      <c r="V150" s="1284"/>
      <c r="W150" s="1554"/>
      <c r="X150" s="1284"/>
      <c r="Y150" s="1284"/>
      <c r="Z150" s="480"/>
      <c r="AA150" s="1284"/>
      <c r="AB150" s="1284"/>
      <c r="AC150" s="1284"/>
      <c r="AD150" s="1284"/>
      <c r="AE150" s="1284"/>
      <c r="AF150" s="1550"/>
      <c r="AG150" s="558"/>
      <c r="AH150" s="558"/>
      <c r="AI150" s="558"/>
      <c r="AJ150" s="558"/>
      <c r="AK150" s="1559">
        <v>11</v>
      </c>
    </row>
    <row r="151" spans="1:37" s="2431" customFormat="1" ht="11.45" customHeight="1">
      <c r="A151" s="911"/>
      <c r="B151" s="911"/>
      <c r="C151" s="911"/>
      <c r="D151" s="911"/>
      <c r="E151" s="911"/>
      <c r="F151" s="1554"/>
      <c r="G151" s="1554"/>
      <c r="H151" s="287"/>
      <c r="N151" s="1284"/>
      <c r="P151" s="1284"/>
      <c r="Q151" s="1554"/>
      <c r="R151" s="1554"/>
      <c r="S151" s="1284"/>
      <c r="T151" s="1284"/>
      <c r="U151" s="1284"/>
      <c r="V151" s="1284"/>
      <c r="W151" s="1554"/>
      <c r="X151" s="1284"/>
      <c r="Y151" s="1284"/>
      <c r="Z151" s="480"/>
      <c r="AA151" s="1284"/>
      <c r="AB151" s="1284"/>
      <c r="AC151" s="1284"/>
      <c r="AD151" s="1284"/>
      <c r="AE151" s="1284"/>
      <c r="AF151" s="1550"/>
      <c r="AG151" s="558"/>
      <c r="AH151" s="558"/>
      <c r="AI151" s="558"/>
      <c r="AJ151" s="558"/>
      <c r="AK151" s="1559">
        <v>11</v>
      </c>
    </row>
    <row r="152" spans="1:37" s="2431" customFormat="1" ht="11.45" customHeight="1">
      <c r="A152" s="911"/>
      <c r="B152" s="911"/>
      <c r="C152" s="911"/>
      <c r="D152" s="911"/>
      <c r="E152" s="911"/>
      <c r="F152" s="1554"/>
      <c r="G152" s="1554"/>
      <c r="H152" s="287"/>
      <c r="N152" s="1284"/>
      <c r="P152" s="1284"/>
      <c r="Q152" s="1554"/>
      <c r="R152" s="1554"/>
      <c r="S152" s="1284"/>
      <c r="T152" s="1284"/>
      <c r="U152" s="1284"/>
      <c r="V152" s="1284"/>
      <c r="W152" s="1554"/>
      <c r="X152" s="1284"/>
      <c r="Y152" s="1284"/>
      <c r="Z152" s="480"/>
      <c r="AA152" s="1284"/>
      <c r="AB152" s="1284"/>
      <c r="AC152" s="1284"/>
      <c r="AD152" s="1284"/>
      <c r="AE152" s="1284"/>
      <c r="AF152" s="1550"/>
      <c r="AG152" s="558"/>
      <c r="AH152" s="558"/>
      <c r="AI152" s="558"/>
      <c r="AJ152" s="558"/>
      <c r="AK152" s="1559">
        <v>11</v>
      </c>
    </row>
    <row r="153" spans="1:37" s="2431" customFormat="1" ht="11.45" customHeight="1">
      <c r="A153" s="911"/>
      <c r="B153" s="911"/>
      <c r="C153" s="911"/>
      <c r="D153" s="911"/>
      <c r="E153" s="911"/>
      <c r="F153" s="1554"/>
      <c r="G153" s="1554"/>
      <c r="H153" s="287"/>
      <c r="N153" s="1284"/>
      <c r="P153" s="1284"/>
      <c r="Q153" s="1554"/>
      <c r="R153" s="1554"/>
      <c r="S153" s="1284"/>
      <c r="T153" s="1284"/>
      <c r="U153" s="1284"/>
      <c r="V153" s="1284"/>
      <c r="W153" s="1554"/>
      <c r="X153" s="1284"/>
      <c r="Y153" s="1284"/>
      <c r="Z153" s="480"/>
      <c r="AA153" s="1284"/>
      <c r="AB153" s="1284"/>
      <c r="AC153" s="1284"/>
      <c r="AD153" s="1284"/>
      <c r="AE153" s="1284"/>
      <c r="AF153" s="1550"/>
      <c r="AG153" s="558"/>
      <c r="AH153" s="558"/>
      <c r="AI153" s="558"/>
      <c r="AJ153" s="558"/>
      <c r="AK153" s="1559">
        <v>11</v>
      </c>
    </row>
    <row r="154" spans="1:37" s="2431" customFormat="1" ht="11.45" customHeight="1">
      <c r="A154" s="911"/>
      <c r="B154" s="911"/>
      <c r="C154" s="911"/>
      <c r="D154" s="911"/>
      <c r="E154" s="911"/>
      <c r="F154" s="1554"/>
      <c r="G154" s="1554"/>
      <c r="H154" s="287"/>
      <c r="N154" s="1284"/>
      <c r="P154" s="1284"/>
      <c r="Q154" s="1554"/>
      <c r="R154" s="1554"/>
      <c r="S154" s="1284"/>
      <c r="T154" s="1284"/>
      <c r="U154" s="1284"/>
      <c r="V154" s="1284"/>
      <c r="W154" s="1554"/>
      <c r="X154" s="1284"/>
      <c r="Y154" s="1284"/>
      <c r="Z154" s="480"/>
      <c r="AA154" s="1284"/>
      <c r="AB154" s="1284"/>
      <c r="AC154" s="1284"/>
      <c r="AD154" s="1284"/>
      <c r="AE154" s="1284"/>
      <c r="AF154" s="1550"/>
      <c r="AG154" s="558"/>
      <c r="AH154" s="558"/>
      <c r="AI154" s="558"/>
      <c r="AJ154" s="558"/>
      <c r="AK154" s="1559">
        <v>11</v>
      </c>
    </row>
    <row r="155" spans="1:37" s="2431" customFormat="1" ht="11.45" customHeight="1">
      <c r="A155" s="911"/>
      <c r="B155" s="911"/>
      <c r="C155" s="911"/>
      <c r="D155" s="911"/>
      <c r="E155" s="911"/>
      <c r="F155" s="1554"/>
      <c r="G155" s="1554"/>
      <c r="H155" s="287"/>
      <c r="N155" s="1284"/>
      <c r="P155" s="1284"/>
      <c r="Q155" s="1554"/>
      <c r="R155" s="1554"/>
      <c r="S155" s="1284"/>
      <c r="T155" s="1284"/>
      <c r="U155" s="1284"/>
      <c r="V155" s="1284"/>
      <c r="W155" s="1554"/>
      <c r="X155" s="1284"/>
      <c r="Y155" s="1284"/>
      <c r="Z155" s="480"/>
      <c r="AA155" s="1284"/>
      <c r="AB155" s="1284"/>
      <c r="AC155" s="1284"/>
      <c r="AD155" s="1284"/>
      <c r="AE155" s="1284"/>
      <c r="AF155" s="1550"/>
      <c r="AG155" s="558"/>
      <c r="AH155" s="558"/>
      <c r="AI155" s="558"/>
      <c r="AJ155" s="558"/>
      <c r="AK155" s="1559">
        <v>11</v>
      </c>
    </row>
    <row r="156" spans="1:37" s="2431" customFormat="1" ht="11.45" customHeight="1">
      <c r="A156" s="911"/>
      <c r="B156" s="911"/>
      <c r="C156" s="911"/>
      <c r="D156" s="911"/>
      <c r="E156" s="911"/>
      <c r="F156" s="1554"/>
      <c r="G156" s="1554"/>
      <c r="H156" s="287"/>
      <c r="N156" s="1284"/>
      <c r="P156" s="1284"/>
      <c r="Q156" s="1554"/>
      <c r="R156" s="1554"/>
      <c r="S156" s="1284"/>
      <c r="T156" s="1284"/>
      <c r="U156" s="1284"/>
      <c r="V156" s="1284"/>
      <c r="W156" s="1554"/>
      <c r="X156" s="1284"/>
      <c r="Y156" s="1284"/>
      <c r="Z156" s="480"/>
      <c r="AA156" s="1284"/>
      <c r="AB156" s="1284"/>
      <c r="AC156" s="1284"/>
      <c r="AD156" s="1284"/>
      <c r="AE156" s="1284"/>
      <c r="AF156" s="1550"/>
      <c r="AG156" s="558"/>
      <c r="AH156" s="558"/>
      <c r="AI156" s="558"/>
      <c r="AJ156" s="558"/>
      <c r="AK156" s="1559">
        <v>11</v>
      </c>
    </row>
    <row r="157" spans="1:37" s="2431" customFormat="1" ht="11.45" customHeight="1">
      <c r="A157" s="911"/>
      <c r="B157" s="911"/>
      <c r="C157" s="911"/>
      <c r="D157" s="911"/>
      <c r="E157" s="911"/>
      <c r="F157" s="1554"/>
      <c r="G157" s="1554"/>
      <c r="H157" s="287"/>
      <c r="N157" s="1284"/>
      <c r="P157" s="1284"/>
      <c r="Q157" s="1554"/>
      <c r="R157" s="1554"/>
      <c r="S157" s="1284"/>
      <c r="T157" s="1284"/>
      <c r="U157" s="1284"/>
      <c r="V157" s="1284"/>
      <c r="W157" s="1554"/>
      <c r="X157" s="1284"/>
      <c r="Y157" s="1284"/>
      <c r="Z157" s="480"/>
      <c r="AA157" s="1284"/>
      <c r="AB157" s="1284"/>
      <c r="AC157" s="1284"/>
      <c r="AD157" s="1284"/>
      <c r="AE157" s="1284"/>
      <c r="AF157" s="1550"/>
      <c r="AG157" s="558"/>
      <c r="AH157" s="558"/>
      <c r="AI157" s="558"/>
      <c r="AJ157" s="558"/>
      <c r="AK157" s="1559">
        <v>11</v>
      </c>
    </row>
    <row r="158" spans="1:37" s="2431" customFormat="1" ht="11.45" customHeight="1">
      <c r="A158" s="911"/>
      <c r="B158" s="911"/>
      <c r="C158" s="911"/>
      <c r="D158" s="911"/>
      <c r="E158" s="911"/>
      <c r="F158" s="1554"/>
      <c r="G158" s="1554"/>
      <c r="H158" s="287"/>
      <c r="N158" s="1284"/>
      <c r="P158" s="1284"/>
      <c r="Q158" s="1554"/>
      <c r="R158" s="1554"/>
      <c r="S158" s="1284"/>
      <c r="T158" s="1284"/>
      <c r="U158" s="1284"/>
      <c r="V158" s="1284"/>
      <c r="W158" s="1554"/>
      <c r="X158" s="1284"/>
      <c r="Y158" s="1284"/>
      <c r="Z158" s="480"/>
      <c r="AA158" s="1284"/>
      <c r="AB158" s="1284"/>
      <c r="AC158" s="1284"/>
      <c r="AD158" s="1284"/>
      <c r="AE158" s="1284"/>
      <c r="AF158" s="1550"/>
      <c r="AG158" s="558"/>
      <c r="AH158" s="558"/>
      <c r="AI158" s="558"/>
      <c r="AJ158" s="558"/>
      <c r="AK158" s="1559">
        <v>11</v>
      </c>
    </row>
    <row r="159" spans="1:37" s="2431" customFormat="1" ht="11.45" customHeight="1">
      <c r="A159" s="911"/>
      <c r="B159" s="911"/>
      <c r="C159" s="911"/>
      <c r="D159" s="911"/>
      <c r="E159" s="911"/>
      <c r="F159" s="1554"/>
      <c r="G159" s="1554"/>
      <c r="H159" s="287"/>
      <c r="N159" s="1284"/>
      <c r="P159" s="1284"/>
      <c r="Q159" s="1554"/>
      <c r="R159" s="1554"/>
      <c r="S159" s="1284"/>
      <c r="T159" s="1284"/>
      <c r="U159" s="1284"/>
      <c r="V159" s="1284"/>
      <c r="W159" s="1554"/>
      <c r="X159" s="1284"/>
      <c r="Y159" s="1284"/>
      <c r="Z159" s="480"/>
      <c r="AA159" s="1284"/>
      <c r="AB159" s="1284"/>
      <c r="AC159" s="1284"/>
      <c r="AD159" s="1284"/>
      <c r="AE159" s="1284"/>
      <c r="AF159" s="1550"/>
      <c r="AG159" s="558"/>
      <c r="AH159" s="558"/>
      <c r="AI159" s="558"/>
      <c r="AJ159" s="558"/>
      <c r="AK159" s="1559">
        <v>11</v>
      </c>
    </row>
    <row r="160" spans="1:37" s="2431" customFormat="1" ht="11.45" customHeight="1">
      <c r="A160" s="911"/>
      <c r="B160" s="911"/>
      <c r="C160" s="911"/>
      <c r="D160" s="911"/>
      <c r="E160" s="911"/>
      <c r="F160" s="1554"/>
      <c r="G160" s="1554"/>
      <c r="H160" s="287"/>
      <c r="N160" s="1284"/>
      <c r="P160" s="1284"/>
      <c r="Q160" s="1554"/>
      <c r="R160" s="1554"/>
      <c r="S160" s="1284"/>
      <c r="T160" s="1284"/>
      <c r="U160" s="1284"/>
      <c r="V160" s="1284"/>
      <c r="W160" s="1554"/>
      <c r="X160" s="1284"/>
      <c r="Y160" s="1284"/>
      <c r="Z160" s="480"/>
      <c r="AA160" s="1284"/>
      <c r="AB160" s="1284"/>
      <c r="AC160" s="1284"/>
      <c r="AD160" s="1284"/>
      <c r="AE160" s="1284"/>
      <c r="AF160" s="1550"/>
      <c r="AG160" s="558"/>
      <c r="AH160" s="558"/>
      <c r="AI160" s="558"/>
      <c r="AJ160" s="558"/>
      <c r="AK160" s="1559">
        <v>11</v>
      </c>
    </row>
    <row r="161" spans="1:37" s="2431" customFormat="1" ht="11.45" customHeight="1">
      <c r="A161" s="911"/>
      <c r="B161" s="911"/>
      <c r="C161" s="911"/>
      <c r="D161" s="911"/>
      <c r="E161" s="911"/>
      <c r="F161" s="1554"/>
      <c r="G161" s="1554"/>
      <c r="H161" s="287"/>
      <c r="N161" s="1284"/>
      <c r="P161" s="1284"/>
      <c r="Q161" s="1554"/>
      <c r="R161" s="1554"/>
      <c r="S161" s="1284"/>
      <c r="T161" s="1284"/>
      <c r="U161" s="1284"/>
      <c r="V161" s="1284"/>
      <c r="W161" s="1554"/>
      <c r="X161" s="1284"/>
      <c r="Y161" s="1284"/>
      <c r="Z161" s="480"/>
      <c r="AA161" s="1284"/>
      <c r="AB161" s="1284"/>
      <c r="AC161" s="1284"/>
      <c r="AD161" s="1284"/>
      <c r="AE161" s="1284"/>
      <c r="AF161" s="1550"/>
      <c r="AG161" s="558"/>
      <c r="AH161" s="558"/>
      <c r="AI161" s="558"/>
      <c r="AJ161" s="558"/>
      <c r="AK161" s="1559">
        <v>11</v>
      </c>
    </row>
    <row r="162" spans="1:37" s="2431" customFormat="1" ht="11.45" customHeight="1">
      <c r="A162" s="911"/>
      <c r="B162" s="911"/>
      <c r="C162" s="911"/>
      <c r="D162" s="911"/>
      <c r="E162" s="911"/>
      <c r="F162" s="1554"/>
      <c r="G162" s="1554"/>
      <c r="H162" s="287"/>
      <c r="N162" s="1284"/>
      <c r="P162" s="1284"/>
      <c r="Q162" s="1554"/>
      <c r="R162" s="1554"/>
      <c r="S162" s="1284"/>
      <c r="T162" s="1284"/>
      <c r="U162" s="1284"/>
      <c r="V162" s="1284"/>
      <c r="W162" s="1554"/>
      <c r="X162" s="1284"/>
      <c r="Y162" s="1284"/>
      <c r="Z162" s="480"/>
      <c r="AA162" s="1284"/>
      <c r="AB162" s="1284"/>
      <c r="AC162" s="1284"/>
      <c r="AD162" s="1284"/>
      <c r="AE162" s="1284"/>
      <c r="AF162" s="1550"/>
      <c r="AG162" s="558"/>
      <c r="AH162" s="558"/>
      <c r="AI162" s="558"/>
      <c r="AJ162" s="558"/>
      <c r="AK162" s="1559">
        <v>11</v>
      </c>
    </row>
    <row r="163" spans="1:37" s="2431" customFormat="1" ht="11.45" customHeight="1">
      <c r="A163" s="911"/>
      <c r="B163" s="911"/>
      <c r="C163" s="911"/>
      <c r="D163" s="911"/>
      <c r="E163" s="911"/>
      <c r="F163" s="1554"/>
      <c r="G163" s="1554"/>
      <c r="H163" s="287"/>
      <c r="N163" s="1284"/>
      <c r="P163" s="1284"/>
      <c r="Q163" s="1554"/>
      <c r="R163" s="1554"/>
      <c r="S163" s="1284"/>
      <c r="T163" s="1284"/>
      <c r="U163" s="1284"/>
      <c r="V163" s="1284"/>
      <c r="W163" s="1554"/>
      <c r="X163" s="1284"/>
      <c r="Y163" s="1284"/>
      <c r="Z163" s="480"/>
      <c r="AA163" s="1284"/>
      <c r="AB163" s="1284"/>
      <c r="AC163" s="1284"/>
      <c r="AD163" s="1284"/>
      <c r="AE163" s="1284"/>
      <c r="AF163" s="1550"/>
      <c r="AG163" s="558"/>
      <c r="AH163" s="558"/>
      <c r="AI163" s="558"/>
      <c r="AJ163" s="558"/>
      <c r="AK163" s="1559">
        <v>11</v>
      </c>
    </row>
    <row r="164" spans="1:37" s="2431" customFormat="1" ht="11.45" customHeight="1">
      <c r="A164" s="911"/>
      <c r="B164" s="911"/>
      <c r="C164" s="911"/>
      <c r="D164" s="911"/>
      <c r="E164" s="911"/>
      <c r="F164" s="1554"/>
      <c r="G164" s="1554"/>
      <c r="H164" s="287"/>
      <c r="N164" s="1284"/>
      <c r="P164" s="1284"/>
      <c r="Q164" s="1554"/>
      <c r="R164" s="1554"/>
      <c r="S164" s="1284"/>
      <c r="T164" s="1284"/>
      <c r="U164" s="1284"/>
      <c r="V164" s="1284"/>
      <c r="W164" s="1554"/>
      <c r="X164" s="1284"/>
      <c r="Y164" s="1284"/>
      <c r="Z164" s="480"/>
      <c r="AA164" s="1284"/>
      <c r="AB164" s="1284"/>
      <c r="AC164" s="1284"/>
      <c r="AD164" s="1284"/>
      <c r="AE164" s="1284"/>
      <c r="AF164" s="1550"/>
      <c r="AG164" s="558"/>
      <c r="AH164" s="558"/>
      <c r="AI164" s="558"/>
      <c r="AJ164" s="558"/>
      <c r="AK164" s="1559">
        <v>11</v>
      </c>
    </row>
    <row r="165" spans="1:37" s="2431" customFormat="1" ht="11.45" customHeight="1">
      <c r="A165" s="911"/>
      <c r="B165" s="911"/>
      <c r="C165" s="911"/>
      <c r="D165" s="911"/>
      <c r="E165" s="911"/>
      <c r="F165" s="1554"/>
      <c r="G165" s="1554"/>
      <c r="H165" s="287"/>
      <c r="N165" s="1284"/>
      <c r="P165" s="1284"/>
      <c r="Q165" s="1554"/>
      <c r="R165" s="1554"/>
      <c r="S165" s="1284"/>
      <c r="T165" s="1284"/>
      <c r="U165" s="1284"/>
      <c r="V165" s="1284"/>
      <c r="W165" s="1554"/>
      <c r="X165" s="1284"/>
      <c r="Y165" s="1284"/>
      <c r="Z165" s="480"/>
      <c r="AA165" s="1284"/>
      <c r="AB165" s="1284"/>
      <c r="AC165" s="1284"/>
      <c r="AD165" s="1284"/>
      <c r="AE165" s="1284"/>
      <c r="AF165" s="1550"/>
      <c r="AG165" s="558"/>
      <c r="AH165" s="558"/>
      <c r="AI165" s="558"/>
      <c r="AJ165" s="558"/>
      <c r="AK165" s="1559">
        <v>11</v>
      </c>
    </row>
    <row r="166" spans="1:37" s="2431" customFormat="1" ht="11.45" customHeight="1">
      <c r="A166" s="911"/>
      <c r="B166" s="911"/>
      <c r="C166" s="911"/>
      <c r="D166" s="911"/>
      <c r="E166" s="911"/>
      <c r="F166" s="1554"/>
      <c r="G166" s="1554"/>
      <c r="H166" s="287"/>
      <c r="N166" s="1284"/>
      <c r="P166" s="1284"/>
      <c r="Q166" s="1554"/>
      <c r="R166" s="1554"/>
      <c r="S166" s="1284"/>
      <c r="T166" s="1284"/>
      <c r="U166" s="1284"/>
      <c r="V166" s="1284"/>
      <c r="W166" s="1554"/>
      <c r="X166" s="1284"/>
      <c r="Y166" s="1284"/>
      <c r="Z166" s="480"/>
      <c r="AA166" s="1284"/>
      <c r="AB166" s="1284"/>
      <c r="AC166" s="1284"/>
      <c r="AD166" s="1284"/>
      <c r="AE166" s="1284"/>
      <c r="AF166" s="1550"/>
      <c r="AG166" s="558"/>
      <c r="AH166" s="558"/>
      <c r="AI166" s="558"/>
      <c r="AJ166" s="558"/>
      <c r="AK166" s="1559">
        <v>11</v>
      </c>
    </row>
    <row r="167" spans="1:37" s="2431" customFormat="1" ht="11.45" customHeight="1">
      <c r="A167" s="911"/>
      <c r="B167" s="911"/>
      <c r="C167" s="911"/>
      <c r="D167" s="911"/>
      <c r="E167" s="911"/>
      <c r="F167" s="1554"/>
      <c r="G167" s="1554"/>
      <c r="H167" s="287"/>
      <c r="N167" s="1284"/>
      <c r="P167" s="1284"/>
      <c r="Q167" s="1554"/>
      <c r="R167" s="1554"/>
      <c r="S167" s="1284"/>
      <c r="T167" s="1284"/>
      <c r="U167" s="1284"/>
      <c r="V167" s="1284"/>
      <c r="W167" s="1554"/>
      <c r="X167" s="1284"/>
      <c r="Y167" s="1284"/>
      <c r="Z167" s="480"/>
      <c r="AA167" s="1284"/>
      <c r="AB167" s="1284"/>
      <c r="AC167" s="1284"/>
      <c r="AD167" s="1284"/>
      <c r="AE167" s="1284"/>
      <c r="AF167" s="1550"/>
      <c r="AG167" s="558"/>
      <c r="AH167" s="558"/>
      <c r="AI167" s="558"/>
      <c r="AJ167" s="558"/>
      <c r="AK167" s="1559">
        <v>11</v>
      </c>
    </row>
    <row r="168" spans="1:37" s="2431" customFormat="1" ht="11.45" customHeight="1">
      <c r="A168" s="911"/>
      <c r="B168" s="911"/>
      <c r="C168" s="911"/>
      <c r="D168" s="911"/>
      <c r="E168" s="911"/>
      <c r="F168" s="1554"/>
      <c r="G168" s="1554"/>
      <c r="H168" s="287"/>
      <c r="N168" s="1284"/>
      <c r="P168" s="1284"/>
      <c r="Q168" s="1554"/>
      <c r="R168" s="1554"/>
      <c r="S168" s="1284"/>
      <c r="T168" s="1284"/>
      <c r="U168" s="1284"/>
      <c r="V168" s="1284"/>
      <c r="W168" s="1554"/>
      <c r="X168" s="1284"/>
      <c r="Y168" s="1284"/>
      <c r="Z168" s="480"/>
      <c r="AA168" s="1284"/>
      <c r="AB168" s="1284"/>
      <c r="AC168" s="1284"/>
      <c r="AD168" s="1284"/>
      <c r="AE168" s="1284"/>
      <c r="AF168" s="1550"/>
      <c r="AG168" s="558"/>
      <c r="AH168" s="558"/>
      <c r="AI168" s="558"/>
      <c r="AJ168" s="558"/>
      <c r="AK168" s="1559">
        <v>11</v>
      </c>
    </row>
    <row r="169" spans="1:37" s="2431" customFormat="1" ht="11.45" customHeight="1">
      <c r="A169" s="911"/>
      <c r="B169" s="911"/>
      <c r="C169" s="911"/>
      <c r="D169" s="911"/>
      <c r="E169" s="911"/>
      <c r="F169" s="1554"/>
      <c r="G169" s="1554"/>
      <c r="H169" s="287"/>
      <c r="N169" s="1284"/>
      <c r="P169" s="1284"/>
      <c r="Q169" s="1554"/>
      <c r="R169" s="1554"/>
      <c r="S169" s="1284"/>
      <c r="T169" s="1284"/>
      <c r="U169" s="1284"/>
      <c r="V169" s="1284"/>
      <c r="W169" s="1554"/>
      <c r="X169" s="1284"/>
      <c r="Y169" s="1284"/>
      <c r="Z169" s="480"/>
      <c r="AA169" s="1284"/>
      <c r="AB169" s="1284"/>
      <c r="AC169" s="1284"/>
      <c r="AD169" s="1284"/>
      <c r="AE169" s="1284"/>
      <c r="AF169" s="1550"/>
      <c r="AG169" s="558"/>
      <c r="AH169" s="558"/>
      <c r="AI169" s="558"/>
      <c r="AJ169" s="558"/>
      <c r="AK169" s="1559">
        <v>11</v>
      </c>
    </row>
    <row r="170" spans="1:37" s="2431" customFormat="1" ht="11.45" customHeight="1">
      <c r="A170" s="911"/>
      <c r="B170" s="911"/>
      <c r="C170" s="911"/>
      <c r="D170" s="911"/>
      <c r="E170" s="911"/>
      <c r="F170" s="1554"/>
      <c r="G170" s="1554"/>
      <c r="H170" s="287"/>
      <c r="N170" s="1284"/>
      <c r="P170" s="1284"/>
      <c r="Q170" s="1554"/>
      <c r="R170" s="1554"/>
      <c r="S170" s="1284"/>
      <c r="T170" s="1284"/>
      <c r="U170" s="1284"/>
      <c r="V170" s="1284"/>
      <c r="W170" s="1554"/>
      <c r="X170" s="1284"/>
      <c r="Y170" s="1284"/>
      <c r="Z170" s="480"/>
      <c r="AA170" s="1284"/>
      <c r="AB170" s="1284"/>
      <c r="AC170" s="1284"/>
      <c r="AD170" s="1284"/>
      <c r="AE170" s="1284"/>
      <c r="AF170" s="1550"/>
      <c r="AG170" s="558"/>
      <c r="AH170" s="558"/>
      <c r="AI170" s="558"/>
      <c r="AJ170" s="558"/>
      <c r="AK170" s="1559">
        <v>11</v>
      </c>
    </row>
    <row r="171" spans="1:37" s="2431" customFormat="1" ht="11.45" customHeight="1">
      <c r="A171" s="911"/>
      <c r="B171" s="911"/>
      <c r="C171" s="911"/>
      <c r="D171" s="911"/>
      <c r="E171" s="911"/>
      <c r="F171" s="1554"/>
      <c r="G171" s="1554"/>
      <c r="H171" s="287"/>
      <c r="N171" s="1284"/>
      <c r="P171" s="1284"/>
      <c r="Q171" s="1554"/>
      <c r="R171" s="1554"/>
      <c r="S171" s="1284"/>
      <c r="T171" s="1284"/>
      <c r="U171" s="1284"/>
      <c r="V171" s="1284"/>
      <c r="W171" s="1554"/>
      <c r="X171" s="1284"/>
      <c r="Y171" s="1284"/>
      <c r="Z171" s="480"/>
      <c r="AA171" s="1284"/>
      <c r="AB171" s="1284"/>
      <c r="AC171" s="1284"/>
      <c r="AD171" s="1284"/>
      <c r="AE171" s="1284"/>
      <c r="AF171" s="1550"/>
      <c r="AG171" s="558"/>
      <c r="AH171" s="558"/>
      <c r="AI171" s="558"/>
      <c r="AJ171" s="558"/>
      <c r="AK171" s="1559">
        <v>11</v>
      </c>
    </row>
    <row r="172" spans="1:37" s="2431" customFormat="1" ht="11.45" customHeight="1">
      <c r="A172" s="911"/>
      <c r="B172" s="911"/>
      <c r="C172" s="911"/>
      <c r="D172" s="911"/>
      <c r="E172" s="911"/>
      <c r="F172" s="1554"/>
      <c r="G172" s="1554"/>
      <c r="H172" s="287"/>
      <c r="N172" s="1284"/>
      <c r="P172" s="1284"/>
      <c r="Q172" s="1554"/>
      <c r="R172" s="1554"/>
      <c r="S172" s="1284"/>
      <c r="T172" s="1284"/>
      <c r="U172" s="1284"/>
      <c r="V172" s="1284"/>
      <c r="W172" s="1554"/>
      <c r="X172" s="1284"/>
      <c r="Y172" s="1284"/>
      <c r="Z172" s="480"/>
      <c r="AA172" s="1284"/>
      <c r="AB172" s="1284"/>
      <c r="AC172" s="1284"/>
      <c r="AD172" s="1284"/>
      <c r="AE172" s="1284"/>
      <c r="AF172" s="1550"/>
      <c r="AG172" s="558"/>
      <c r="AH172" s="558"/>
      <c r="AI172" s="558"/>
      <c r="AJ172" s="558"/>
      <c r="AK172" s="1559">
        <v>11</v>
      </c>
    </row>
    <row r="173" spans="1:37" s="2431" customFormat="1" ht="11.45" customHeight="1">
      <c r="A173" s="911"/>
      <c r="B173" s="911"/>
      <c r="C173" s="911"/>
      <c r="D173" s="911"/>
      <c r="E173" s="911"/>
      <c r="F173" s="1554"/>
      <c r="G173" s="1554"/>
      <c r="H173" s="287"/>
      <c r="N173" s="1284"/>
      <c r="P173" s="1284"/>
      <c r="Q173" s="1554"/>
      <c r="R173" s="1554"/>
      <c r="S173" s="1284"/>
      <c r="T173" s="1284"/>
      <c r="U173" s="1284"/>
      <c r="V173" s="1284"/>
      <c r="W173" s="1554"/>
      <c r="X173" s="1284"/>
      <c r="Y173" s="1284"/>
      <c r="Z173" s="480"/>
      <c r="AA173" s="1284"/>
      <c r="AB173" s="1284"/>
      <c r="AC173" s="1284"/>
      <c r="AD173" s="1284"/>
      <c r="AE173" s="1284"/>
      <c r="AF173" s="1550"/>
      <c r="AG173" s="558"/>
      <c r="AH173" s="558"/>
      <c r="AI173" s="558"/>
      <c r="AJ173" s="558"/>
      <c r="AK173" s="1559">
        <v>11</v>
      </c>
    </row>
    <row r="174" spans="1:37" s="2431" customFormat="1" ht="11.45" customHeight="1">
      <c r="A174" s="911"/>
      <c r="B174" s="911"/>
      <c r="C174" s="911"/>
      <c r="D174" s="911"/>
      <c r="E174" s="911"/>
      <c r="F174" s="1554"/>
      <c r="G174" s="1554"/>
      <c r="H174" s="287"/>
      <c r="N174" s="1284"/>
      <c r="P174" s="1284"/>
      <c r="Q174" s="1554"/>
      <c r="R174" s="1554"/>
      <c r="S174" s="1284"/>
      <c r="T174" s="1284"/>
      <c r="U174" s="1284"/>
      <c r="V174" s="1284"/>
      <c r="W174" s="1554"/>
      <c r="X174" s="1284"/>
      <c r="Y174" s="1284"/>
      <c r="Z174" s="480"/>
      <c r="AA174" s="1284"/>
      <c r="AB174" s="1284"/>
      <c r="AC174" s="1284"/>
      <c r="AD174" s="1284"/>
      <c r="AE174" s="1284"/>
      <c r="AF174" s="1550"/>
      <c r="AG174" s="558"/>
      <c r="AH174" s="558"/>
      <c r="AI174" s="558"/>
      <c r="AJ174" s="558"/>
      <c r="AK174" s="1559">
        <v>11</v>
      </c>
    </row>
    <row r="175" spans="1:37" s="2431" customFormat="1" ht="11.45" customHeight="1">
      <c r="A175" s="911"/>
      <c r="B175" s="911"/>
      <c r="C175" s="911"/>
      <c r="D175" s="911"/>
      <c r="E175" s="911"/>
      <c r="F175" s="1554"/>
      <c r="G175" s="1554"/>
      <c r="H175" s="287"/>
      <c r="N175" s="1284"/>
      <c r="P175" s="1284"/>
      <c r="Q175" s="1554"/>
      <c r="R175" s="1554"/>
      <c r="S175" s="1284"/>
      <c r="T175" s="1284"/>
      <c r="U175" s="1284"/>
      <c r="V175" s="1284"/>
      <c r="W175" s="1554"/>
      <c r="X175" s="1284"/>
      <c r="Y175" s="1284"/>
      <c r="Z175" s="480"/>
      <c r="AA175" s="1284"/>
      <c r="AB175" s="1284"/>
      <c r="AC175" s="1284"/>
      <c r="AD175" s="1284"/>
      <c r="AE175" s="1284"/>
      <c r="AF175" s="1550"/>
      <c r="AG175" s="558"/>
      <c r="AH175" s="558"/>
      <c r="AI175" s="558"/>
      <c r="AJ175" s="558"/>
      <c r="AK175" s="1559">
        <v>11</v>
      </c>
    </row>
    <row r="176" spans="1:37" s="2431" customFormat="1" ht="11.45" customHeight="1">
      <c r="A176" s="911"/>
      <c r="B176" s="911"/>
      <c r="C176" s="911"/>
      <c r="D176" s="911"/>
      <c r="E176" s="911"/>
      <c r="F176" s="1554"/>
      <c r="G176" s="1554"/>
      <c r="H176" s="287"/>
      <c r="N176" s="1284"/>
      <c r="P176" s="1284"/>
      <c r="Q176" s="1554"/>
      <c r="R176" s="1554"/>
      <c r="S176" s="1284"/>
      <c r="T176" s="1284"/>
      <c r="U176" s="1284"/>
      <c r="V176" s="1284"/>
      <c r="W176" s="1554"/>
      <c r="X176" s="1284"/>
      <c r="Y176" s="1284"/>
      <c r="Z176" s="480"/>
      <c r="AA176" s="1284"/>
      <c r="AB176" s="1284"/>
      <c r="AC176" s="1284"/>
      <c r="AD176" s="1284"/>
      <c r="AE176" s="1284"/>
      <c r="AF176" s="1550"/>
      <c r="AG176" s="558"/>
      <c r="AH176" s="558"/>
      <c r="AI176" s="558"/>
      <c r="AJ176" s="558"/>
      <c r="AK176" s="1559">
        <v>11</v>
      </c>
    </row>
    <row r="177" spans="1:37" s="2431" customFormat="1" ht="11.45" customHeight="1">
      <c r="A177" s="911"/>
      <c r="B177" s="911"/>
      <c r="C177" s="911"/>
      <c r="D177" s="911"/>
      <c r="E177" s="911"/>
      <c r="F177" s="1554"/>
      <c r="G177" s="1554"/>
      <c r="H177" s="287"/>
      <c r="N177" s="1284"/>
      <c r="P177" s="1284"/>
      <c r="Q177" s="1554"/>
      <c r="R177" s="1554"/>
      <c r="S177" s="1284"/>
      <c r="T177" s="1284"/>
      <c r="U177" s="1284"/>
      <c r="V177" s="1284"/>
      <c r="W177" s="1554"/>
      <c r="X177" s="1284"/>
      <c r="Y177" s="1284"/>
      <c r="Z177" s="480"/>
      <c r="AA177" s="1284"/>
      <c r="AB177" s="1284"/>
      <c r="AC177" s="1284"/>
      <c r="AD177" s="1284"/>
      <c r="AE177" s="1284"/>
      <c r="AF177" s="1550"/>
      <c r="AG177" s="558"/>
      <c r="AH177" s="558"/>
      <c r="AI177" s="558"/>
      <c r="AJ177" s="558"/>
      <c r="AK177" s="1559">
        <v>11</v>
      </c>
    </row>
    <row r="178" spans="1:37" s="2431" customFormat="1" ht="11.45" customHeight="1">
      <c r="A178" s="911"/>
      <c r="B178" s="911"/>
      <c r="C178" s="911"/>
      <c r="D178" s="911"/>
      <c r="E178" s="911"/>
      <c r="F178" s="1554"/>
      <c r="G178" s="1554"/>
      <c r="H178" s="287"/>
      <c r="N178" s="1284"/>
      <c r="P178" s="1284"/>
      <c r="Q178" s="1554"/>
      <c r="R178" s="1554"/>
      <c r="S178" s="1284"/>
      <c r="T178" s="1284"/>
      <c r="U178" s="1284"/>
      <c r="V178" s="1284"/>
      <c r="W178" s="1554"/>
      <c r="X178" s="1284"/>
      <c r="Y178" s="1284"/>
      <c r="Z178" s="480"/>
      <c r="AA178" s="1284"/>
      <c r="AB178" s="1284"/>
      <c r="AC178" s="1284"/>
      <c r="AD178" s="1284"/>
      <c r="AE178" s="1284"/>
      <c r="AF178" s="1550"/>
      <c r="AG178" s="558"/>
      <c r="AH178" s="558"/>
      <c r="AI178" s="558"/>
      <c r="AJ178" s="558"/>
      <c r="AK178" s="1559">
        <v>11</v>
      </c>
    </row>
    <row r="179" spans="1:37" s="2431" customFormat="1" ht="11.45" customHeight="1">
      <c r="A179" s="911"/>
      <c r="B179" s="911"/>
      <c r="C179" s="911"/>
      <c r="D179" s="911"/>
      <c r="E179" s="911"/>
      <c r="F179" s="1554"/>
      <c r="G179" s="1554"/>
      <c r="H179" s="287"/>
      <c r="N179" s="1284"/>
      <c r="P179" s="1284"/>
      <c r="Q179" s="1554"/>
      <c r="R179" s="1554"/>
      <c r="S179" s="1284"/>
      <c r="T179" s="1284"/>
      <c r="U179" s="1284"/>
      <c r="V179" s="1284"/>
      <c r="W179" s="1554"/>
      <c r="X179" s="1284"/>
      <c r="Y179" s="1284"/>
      <c r="Z179" s="480"/>
      <c r="AA179" s="1284"/>
      <c r="AB179" s="1284"/>
      <c r="AC179" s="1284"/>
      <c r="AD179" s="1284"/>
      <c r="AE179" s="1284"/>
      <c r="AF179" s="1550"/>
      <c r="AG179" s="558"/>
      <c r="AH179" s="558"/>
      <c r="AI179" s="558"/>
      <c r="AJ179" s="558"/>
      <c r="AK179" s="1559">
        <v>11</v>
      </c>
    </row>
    <row r="180" spans="1:37" s="2431" customFormat="1" ht="11.45" customHeight="1">
      <c r="A180" s="911"/>
      <c r="B180" s="911"/>
      <c r="C180" s="911"/>
      <c r="D180" s="911"/>
      <c r="E180" s="911"/>
      <c r="F180" s="1554"/>
      <c r="G180" s="1554"/>
      <c r="H180" s="287"/>
      <c r="N180" s="1284"/>
      <c r="P180" s="1284"/>
      <c r="Q180" s="1554"/>
      <c r="R180" s="1554"/>
      <c r="S180" s="1284"/>
      <c r="T180" s="1284"/>
      <c r="U180" s="1284"/>
      <c r="V180" s="1284"/>
      <c r="W180" s="1554"/>
      <c r="X180" s="1284"/>
      <c r="Y180" s="1284"/>
      <c r="Z180" s="480"/>
      <c r="AA180" s="1284"/>
      <c r="AB180" s="1284"/>
      <c r="AC180" s="1284"/>
      <c r="AD180" s="1284"/>
      <c r="AE180" s="1284"/>
      <c r="AF180" s="1550"/>
      <c r="AG180" s="558"/>
      <c r="AH180" s="558"/>
      <c r="AI180" s="558"/>
      <c r="AJ180" s="558"/>
      <c r="AK180" s="1559">
        <v>11</v>
      </c>
    </row>
    <row r="181" spans="1:37" s="2431" customFormat="1" ht="11.45" customHeight="1">
      <c r="A181" s="911"/>
      <c r="B181" s="911"/>
      <c r="C181" s="911"/>
      <c r="D181" s="911"/>
      <c r="E181" s="911"/>
      <c r="F181" s="1554"/>
      <c r="G181" s="1554"/>
      <c r="H181" s="287"/>
      <c r="N181" s="1284"/>
      <c r="P181" s="1284"/>
      <c r="Q181" s="1554"/>
      <c r="R181" s="1554"/>
      <c r="S181" s="1284"/>
      <c r="T181" s="1284"/>
      <c r="U181" s="1284"/>
      <c r="V181" s="1284"/>
      <c r="W181" s="1554"/>
      <c r="X181" s="1284"/>
      <c r="Y181" s="1284"/>
      <c r="Z181" s="480"/>
      <c r="AA181" s="1284"/>
      <c r="AB181" s="1284"/>
      <c r="AC181" s="1284"/>
      <c r="AD181" s="1284"/>
      <c r="AE181" s="1284"/>
      <c r="AF181" s="1550"/>
      <c r="AG181" s="558"/>
      <c r="AH181" s="558"/>
      <c r="AI181" s="558"/>
      <c r="AJ181" s="558"/>
      <c r="AK181" s="1559">
        <v>11</v>
      </c>
    </row>
    <row r="182" spans="1:37" s="2431" customFormat="1" ht="11.45" customHeight="1">
      <c r="A182" s="911"/>
      <c r="B182" s="911"/>
      <c r="C182" s="911"/>
      <c r="D182" s="911"/>
      <c r="E182" s="911"/>
      <c r="F182" s="1554"/>
      <c r="G182" s="1554"/>
      <c r="H182" s="287"/>
      <c r="N182" s="1284"/>
      <c r="P182" s="1284"/>
      <c r="Q182" s="1554"/>
      <c r="R182" s="1554"/>
      <c r="S182" s="1284"/>
      <c r="T182" s="1284"/>
      <c r="U182" s="1284"/>
      <c r="V182" s="1284"/>
      <c r="W182" s="1554"/>
      <c r="X182" s="1284"/>
      <c r="Y182" s="1284"/>
      <c r="Z182" s="480"/>
      <c r="AA182" s="1284"/>
      <c r="AB182" s="1284"/>
      <c r="AC182" s="1284"/>
      <c r="AD182" s="1284"/>
      <c r="AE182" s="1284"/>
      <c r="AF182" s="1550"/>
      <c r="AG182" s="558"/>
      <c r="AH182" s="558"/>
      <c r="AI182" s="558"/>
      <c r="AJ182" s="558"/>
      <c r="AK182" s="1559">
        <v>11</v>
      </c>
    </row>
    <row r="183" spans="1:37" s="2431" customFormat="1" ht="11.45" customHeight="1">
      <c r="A183" s="911"/>
      <c r="B183" s="911"/>
      <c r="C183" s="911"/>
      <c r="D183" s="911"/>
      <c r="E183" s="911"/>
      <c r="F183" s="1554"/>
      <c r="G183" s="1554"/>
      <c r="H183" s="287"/>
      <c r="N183" s="1284"/>
      <c r="P183" s="1284"/>
      <c r="Q183" s="1554"/>
      <c r="R183" s="1554"/>
      <c r="S183" s="1284"/>
      <c r="T183" s="1284"/>
      <c r="U183" s="1284"/>
      <c r="V183" s="1284"/>
      <c r="W183" s="1554"/>
      <c r="X183" s="1284"/>
      <c r="Y183" s="1284"/>
      <c r="Z183" s="480"/>
      <c r="AA183" s="1284"/>
      <c r="AB183" s="1284"/>
      <c r="AC183" s="1284"/>
      <c r="AD183" s="1284"/>
      <c r="AE183" s="1284"/>
      <c r="AF183" s="1550"/>
      <c r="AG183" s="558"/>
      <c r="AH183" s="558"/>
      <c r="AI183" s="558"/>
      <c r="AJ183" s="558"/>
      <c r="AK183" s="1559">
        <v>11</v>
      </c>
    </row>
    <row r="184" spans="1:37" s="2431" customFormat="1" ht="11.45" customHeight="1">
      <c r="A184" s="911"/>
      <c r="B184" s="911"/>
      <c r="C184" s="911"/>
      <c r="D184" s="911"/>
      <c r="E184" s="911"/>
      <c r="F184" s="1554"/>
      <c r="G184" s="1554"/>
      <c r="H184" s="287"/>
      <c r="N184" s="1284"/>
      <c r="P184" s="1284"/>
      <c r="Q184" s="1554"/>
      <c r="R184" s="1554"/>
      <c r="S184" s="1284"/>
      <c r="T184" s="1284"/>
      <c r="U184" s="1284"/>
      <c r="V184" s="1284"/>
      <c r="W184" s="1554"/>
      <c r="X184" s="1284"/>
      <c r="Y184" s="1284"/>
      <c r="Z184" s="480"/>
      <c r="AA184" s="1284"/>
      <c r="AB184" s="1284"/>
      <c r="AC184" s="1284"/>
      <c r="AD184" s="1284"/>
      <c r="AE184" s="1284"/>
      <c r="AF184" s="1550"/>
      <c r="AG184" s="558"/>
      <c r="AH184" s="558"/>
      <c r="AI184" s="558"/>
      <c r="AJ184" s="558"/>
      <c r="AK184" s="1559">
        <v>11</v>
      </c>
    </row>
    <row r="185" spans="1:37" s="2431" customFormat="1" ht="11.45" customHeight="1">
      <c r="A185" s="911"/>
      <c r="B185" s="911"/>
      <c r="C185" s="911"/>
      <c r="D185" s="911"/>
      <c r="E185" s="911"/>
      <c r="F185" s="1554"/>
      <c r="G185" s="1554"/>
      <c r="H185" s="287"/>
      <c r="N185" s="1284"/>
      <c r="P185" s="1284"/>
      <c r="Q185" s="1554"/>
      <c r="R185" s="1554"/>
      <c r="S185" s="1284"/>
      <c r="T185" s="1284"/>
      <c r="U185" s="1284"/>
      <c r="V185" s="1284"/>
      <c r="W185" s="1554"/>
      <c r="X185" s="1284"/>
      <c r="Y185" s="1284"/>
      <c r="Z185" s="480"/>
      <c r="AA185" s="1284"/>
      <c r="AB185" s="1284"/>
      <c r="AC185" s="1284"/>
      <c r="AD185" s="1284"/>
      <c r="AE185" s="1284"/>
      <c r="AF185" s="1550"/>
      <c r="AG185" s="558"/>
      <c r="AH185" s="558"/>
      <c r="AI185" s="558"/>
      <c r="AJ185" s="558"/>
      <c r="AK185" s="1559">
        <v>11</v>
      </c>
    </row>
    <row r="186" spans="1:37" s="2431" customFormat="1" ht="11.45" customHeight="1">
      <c r="A186" s="911"/>
      <c r="B186" s="911"/>
      <c r="C186" s="911"/>
      <c r="D186" s="911"/>
      <c r="E186" s="911"/>
      <c r="F186" s="1554"/>
      <c r="G186" s="1554"/>
      <c r="H186" s="287"/>
      <c r="N186" s="1284"/>
      <c r="P186" s="1284"/>
      <c r="Q186" s="1554"/>
      <c r="R186" s="1554"/>
      <c r="S186" s="1284"/>
      <c r="T186" s="1284"/>
      <c r="U186" s="1284"/>
      <c r="V186" s="1284"/>
      <c r="W186" s="1554"/>
      <c r="X186" s="1284"/>
      <c r="Y186" s="1284"/>
      <c r="Z186" s="480"/>
      <c r="AA186" s="1284"/>
      <c r="AB186" s="1284"/>
      <c r="AC186" s="1284"/>
      <c r="AD186" s="1284"/>
      <c r="AE186" s="1284"/>
      <c r="AF186" s="1550"/>
      <c r="AG186" s="558"/>
      <c r="AH186" s="558"/>
      <c r="AI186" s="558"/>
      <c r="AJ186" s="558"/>
      <c r="AK186" s="1559">
        <v>11</v>
      </c>
    </row>
    <row r="187" spans="1:37" s="2431" customFormat="1" ht="11.45" customHeight="1">
      <c r="A187" s="911"/>
      <c r="B187" s="911"/>
      <c r="C187" s="911"/>
      <c r="D187" s="911"/>
      <c r="E187" s="911"/>
      <c r="F187" s="1554"/>
      <c r="G187" s="1554"/>
      <c r="H187" s="287"/>
      <c r="N187" s="1284"/>
      <c r="P187" s="1284"/>
      <c r="Q187" s="1554"/>
      <c r="R187" s="1554"/>
      <c r="S187" s="1284"/>
      <c r="T187" s="1284"/>
      <c r="U187" s="1284"/>
      <c r="V187" s="1284"/>
      <c r="W187" s="1554"/>
      <c r="X187" s="1284"/>
      <c r="Y187" s="1284"/>
      <c r="Z187" s="480"/>
      <c r="AA187" s="1284"/>
      <c r="AB187" s="1284"/>
      <c r="AC187" s="1284"/>
      <c r="AD187" s="1284"/>
      <c r="AE187" s="1284"/>
      <c r="AF187" s="1550"/>
      <c r="AG187" s="558"/>
      <c r="AH187" s="558"/>
      <c r="AI187" s="558"/>
      <c r="AJ187" s="558"/>
      <c r="AK187" s="1559">
        <v>11</v>
      </c>
    </row>
    <row r="188" spans="1:37" s="2431" customFormat="1" ht="11.45" customHeight="1">
      <c r="A188" s="911"/>
      <c r="B188" s="911"/>
      <c r="C188" s="911"/>
      <c r="D188" s="911"/>
      <c r="E188" s="911"/>
      <c r="F188" s="1554"/>
      <c r="G188" s="1554"/>
      <c r="H188" s="287"/>
      <c r="N188" s="1284"/>
      <c r="P188" s="1284"/>
      <c r="Q188" s="1554"/>
      <c r="R188" s="1554"/>
      <c r="S188" s="1284"/>
      <c r="T188" s="1284"/>
      <c r="U188" s="1284"/>
      <c r="V188" s="1284"/>
      <c r="W188" s="1554"/>
      <c r="X188" s="1284"/>
      <c r="Y188" s="1284"/>
      <c r="Z188" s="480"/>
      <c r="AA188" s="1284"/>
      <c r="AB188" s="1284"/>
      <c r="AC188" s="1284"/>
      <c r="AD188" s="1284"/>
      <c r="AE188" s="1284"/>
      <c r="AF188" s="1550"/>
      <c r="AG188" s="558"/>
      <c r="AH188" s="558"/>
      <c r="AI188" s="558"/>
      <c r="AJ188" s="558"/>
      <c r="AK188" s="1559">
        <v>11</v>
      </c>
    </row>
    <row r="189" spans="1:37" s="2431" customFormat="1" ht="11.45" customHeight="1">
      <c r="A189" s="911"/>
      <c r="B189" s="911"/>
      <c r="C189" s="911"/>
      <c r="D189" s="911"/>
      <c r="E189" s="911"/>
      <c r="F189" s="1554"/>
      <c r="G189" s="1554"/>
      <c r="H189" s="287"/>
      <c r="N189" s="1284"/>
      <c r="P189" s="1284"/>
      <c r="Q189" s="1554"/>
      <c r="R189" s="1554"/>
      <c r="S189" s="1284"/>
      <c r="T189" s="1284"/>
      <c r="U189" s="1284"/>
      <c r="V189" s="1284"/>
      <c r="W189" s="1554"/>
      <c r="X189" s="1284"/>
      <c r="Y189" s="1284"/>
      <c r="Z189" s="480"/>
      <c r="AA189" s="1284"/>
      <c r="AB189" s="1284"/>
      <c r="AC189" s="1284"/>
      <c r="AD189" s="1284"/>
      <c r="AE189" s="1284"/>
      <c r="AF189" s="1550"/>
      <c r="AG189" s="558"/>
      <c r="AH189" s="558"/>
      <c r="AI189" s="558"/>
      <c r="AJ189" s="558"/>
      <c r="AK189" s="1559">
        <v>11</v>
      </c>
    </row>
    <row r="190" spans="1:37" ht="11.45" customHeight="1">
      <c r="AK190" s="1549">
        <v>11</v>
      </c>
    </row>
    <row r="191" spans="1:37" ht="11.45" customHeight="1">
      <c r="AK191" s="1549">
        <v>11</v>
      </c>
    </row>
    <row r="192" spans="1:37" ht="11.45" customHeight="1">
      <c r="AK192" s="1549">
        <v>11</v>
      </c>
    </row>
    <row r="193" spans="1:37" ht="11.45" customHeight="1">
      <c r="A193" s="914"/>
      <c r="B193" s="914"/>
      <c r="C193" s="914"/>
      <c r="D193" s="914"/>
      <c r="E193" s="914"/>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4"/>
      <c r="B194" s="914"/>
      <c r="C194" s="914"/>
      <c r="D194" s="914"/>
      <c r="E194" s="914"/>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4"/>
      <c r="B195" s="914"/>
      <c r="C195" s="914"/>
      <c r="D195" s="914"/>
      <c r="E195" s="914"/>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4"/>
      <c r="B196" s="914"/>
      <c r="C196" s="914"/>
      <c r="D196" s="914"/>
      <c r="E196" s="914"/>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4"/>
      <c r="B197" s="914"/>
      <c r="C197" s="914"/>
      <c r="D197" s="914"/>
      <c r="E197" s="914"/>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4"/>
      <c r="B198" s="914"/>
      <c r="C198" s="914"/>
      <c r="D198" s="914"/>
      <c r="E198" s="914"/>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4"/>
      <c r="B199" s="914"/>
      <c r="C199" s="914"/>
      <c r="D199" s="914"/>
      <c r="E199" s="914"/>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4"/>
      <c r="B200" s="914"/>
      <c r="C200" s="914"/>
      <c r="D200" s="914"/>
      <c r="E200" s="914"/>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4"/>
      <c r="B201" s="914"/>
      <c r="C201" s="914"/>
      <c r="D201" s="914"/>
      <c r="E201" s="914"/>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4"/>
      <c r="B202" s="914"/>
      <c r="C202" s="914"/>
      <c r="D202" s="914"/>
      <c r="E202" s="914"/>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4"/>
      <c r="B203" s="914"/>
      <c r="C203" s="914"/>
      <c r="D203" s="914"/>
      <c r="E203" s="914"/>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1" t="s">
        <v>78</v>
      </c>
      <c r="B204" s="911" t="s">
        <v>142</v>
      </c>
      <c r="C204" s="911" t="s">
        <v>142</v>
      </c>
      <c r="D204" s="911" t="s">
        <v>142</v>
      </c>
      <c r="E204" s="911" t="s">
        <v>142</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80">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400" hidden="1"/>
    <col min="5" max="5" width="9.140625" style="2434" hidden="1" customWidth="1"/>
    <col min="6" max="7" width="9.140625" style="2406" hidden="1" customWidth="1"/>
    <col min="8" max="8" width="3" style="2435" customWidth="1"/>
    <col min="9" max="9" width="6" style="2400" customWidth="1"/>
    <col min="10" max="10" width="63" style="2400" customWidth="1"/>
    <col min="11" max="11" width="9" style="2400" customWidth="1"/>
    <col min="12" max="12" width="39" style="2400" customWidth="1"/>
    <col min="13" max="13" width="89" style="2400" customWidth="1"/>
    <col min="14" max="14" width="10" style="2400" customWidth="1"/>
    <col min="15" max="16" width="10" style="2413" customWidth="1"/>
    <col min="17" max="22" width="10" style="2400" customWidth="1"/>
    <col min="23" max="23" width="10.5703125" style="2400" hidden="1"/>
  </cols>
  <sheetData>
    <row r="1" spans="1:23" ht="22.5" hidden="1" customHeight="1">
      <c r="S1" s="192"/>
      <c r="T1" s="192"/>
      <c r="V1" s="192"/>
      <c r="W1" s="1549" t="s">
        <v>14</v>
      </c>
    </row>
    <row r="2" spans="1:23" ht="22.5" hidden="1" customHeight="1">
      <c r="B2" s="1965" t="s">
        <v>678</v>
      </c>
      <c r="C2" s="1965" t="s">
        <v>679</v>
      </c>
      <c r="D2" s="1964" t="s">
        <v>618</v>
      </c>
      <c r="E2" s="1970">
        <f>I2-3</f>
        <v>-3</v>
      </c>
      <c r="F2" s="1970">
        <f>J2</f>
        <v>0</v>
      </c>
      <c r="H2" s="1647" t="s">
        <v>680</v>
      </c>
      <c r="I2" s="1936"/>
      <c r="J2" s="1600"/>
      <c r="K2" s="1930" t="s">
        <v>297</v>
      </c>
      <c r="L2" s="1082"/>
      <c r="M2" s="234"/>
      <c r="N2" s="1542"/>
      <c r="P2" s="1549"/>
      <c r="W2" s="1549">
        <v>0</v>
      </c>
    </row>
    <row r="3" spans="1:23" ht="14.25" hidden="1" customHeight="1">
      <c r="W3" s="1549">
        <v>0</v>
      </c>
    </row>
    <row r="4" spans="1:23" ht="6.4" customHeight="1">
      <c r="H4" s="312"/>
      <c r="I4" s="393"/>
      <c r="J4" s="393"/>
      <c r="K4" s="393"/>
      <c r="L4" s="25"/>
      <c r="M4" s="25"/>
      <c r="W4" s="1549">
        <v>6</v>
      </c>
    </row>
    <row r="5" spans="1:23" ht="50.25" customHeight="1">
      <c r="H5" s="312"/>
      <c r="I5" s="2623" t="s">
        <v>681</v>
      </c>
      <c r="J5" s="2623"/>
      <c r="K5" s="2623"/>
      <c r="L5" s="2623"/>
      <c r="M5" s="203"/>
      <c r="W5" s="1549">
        <v>48</v>
      </c>
    </row>
    <row r="6" spans="1:23" ht="18" customHeight="1">
      <c r="H6" s="312"/>
      <c r="I6" s="2595" t="str">
        <f>IF(org=0,"Не определено",org)</f>
        <v>ПАО "ТГК-1" (филиал "Кольский")</v>
      </c>
      <c r="J6" s="2595"/>
      <c r="K6" s="2595"/>
      <c r="L6" s="2595"/>
      <c r="M6" s="203"/>
      <c r="W6" s="1549">
        <v>17</v>
      </c>
    </row>
    <row r="7" spans="1:23" ht="14.65" customHeight="1">
      <c r="H7" s="312"/>
      <c r="I7" s="393"/>
      <c r="J7" s="399"/>
      <c r="K7" s="399"/>
      <c r="L7" s="688"/>
      <c r="M7" s="130"/>
      <c r="W7" s="1549">
        <v>14</v>
      </c>
    </row>
    <row r="8" spans="1:23" ht="14.65" customHeight="1">
      <c r="H8" s="312"/>
      <c r="I8" s="2743" t="s">
        <v>291</v>
      </c>
      <c r="J8" s="2744"/>
      <c r="K8" s="2744"/>
      <c r="L8" s="2745"/>
      <c r="M8" s="2746" t="s">
        <v>292</v>
      </c>
      <c r="W8" s="1549">
        <v>14</v>
      </c>
    </row>
    <row r="9" spans="1:23" ht="35.65" customHeight="1">
      <c r="E9" s="1963" t="s">
        <v>609</v>
      </c>
      <c r="F9" s="1963" t="s">
        <v>615</v>
      </c>
      <c r="H9" s="312"/>
      <c r="I9" s="1937" t="s">
        <v>84</v>
      </c>
      <c r="J9" s="1938" t="s">
        <v>293</v>
      </c>
      <c r="K9" s="1976" t="s">
        <v>557</v>
      </c>
      <c r="L9" s="1977" t="s">
        <v>294</v>
      </c>
      <c r="M9" s="2746"/>
      <c r="W9" s="1549">
        <v>34</v>
      </c>
    </row>
    <row r="10" spans="1:23" ht="35.65" customHeight="1">
      <c r="B10" s="1965" t="s">
        <v>682</v>
      </c>
      <c r="C10" s="1965" t="s">
        <v>683</v>
      </c>
      <c r="D10" s="1964" t="s">
        <v>618</v>
      </c>
      <c r="E10" s="1968" t="s">
        <v>619</v>
      </c>
      <c r="F10" s="1968" t="s">
        <v>619</v>
      </c>
      <c r="H10" s="312"/>
      <c r="I10" s="1936" t="s">
        <v>102</v>
      </c>
      <c r="J10" s="1801" t="s">
        <v>684</v>
      </c>
      <c r="K10" s="1930" t="s">
        <v>297</v>
      </c>
      <c r="L10" s="748"/>
      <c r="M10" s="234" t="s">
        <v>685</v>
      </c>
      <c r="W10" s="1549">
        <v>34</v>
      </c>
    </row>
    <row r="11" spans="1:23" ht="50.25" customHeight="1">
      <c r="B11" s="1965" t="s">
        <v>686</v>
      </c>
      <c r="C11" s="1965" t="s">
        <v>687</v>
      </c>
      <c r="D11" s="1964" t="s">
        <v>618</v>
      </c>
      <c r="E11" s="1968" t="s">
        <v>619</v>
      </c>
      <c r="F11" s="1968" t="s">
        <v>619</v>
      </c>
      <c r="H11" s="312"/>
      <c r="I11" s="1936" t="s">
        <v>103</v>
      </c>
      <c r="J11" s="1801" t="s">
        <v>688</v>
      </c>
      <c r="K11" s="1930" t="s">
        <v>297</v>
      </c>
      <c r="L11" s="748"/>
      <c r="M11" s="234" t="s">
        <v>685</v>
      </c>
      <c r="W11" s="1549">
        <v>48</v>
      </c>
    </row>
    <row r="12" spans="1:23" ht="48.2" customHeight="1">
      <c r="B12" s="1965" t="s">
        <v>689</v>
      </c>
      <c r="C12" s="1965" t="s">
        <v>690</v>
      </c>
      <c r="D12" s="1964" t="s">
        <v>618</v>
      </c>
      <c r="E12" s="1968" t="s">
        <v>619</v>
      </c>
      <c r="F12" s="1968" t="s">
        <v>619</v>
      </c>
      <c r="H12" s="1606"/>
      <c r="I12" s="1936" t="s">
        <v>86</v>
      </c>
      <c r="J12" s="1943" t="s">
        <v>691</v>
      </c>
      <c r="K12" s="1930" t="s">
        <v>297</v>
      </c>
      <c r="L12" s="748"/>
      <c r="M12" s="234" t="s">
        <v>692</v>
      </c>
      <c r="N12" s="1542"/>
      <c r="P12" s="1549"/>
      <c r="W12" s="1549">
        <v>46</v>
      </c>
    </row>
    <row r="13" spans="1:23" ht="14.65" customHeight="1">
      <c r="E13" s="280"/>
      <c r="H13" s="312"/>
      <c r="I13" s="284"/>
      <c r="J13" s="587" t="s">
        <v>693</v>
      </c>
      <c r="K13" s="507"/>
      <c r="L13" s="151"/>
      <c r="M13" s="234"/>
      <c r="W13" s="1549">
        <v>14</v>
      </c>
    </row>
    <row r="14" spans="1:23" ht="14.65" customHeight="1">
      <c r="E14" s="280"/>
      <c r="H14" s="312"/>
      <c r="I14" s="980"/>
      <c r="J14" s="1595"/>
      <c r="K14" s="1596"/>
      <c r="L14" s="1597"/>
      <c r="M14" s="1940"/>
      <c r="W14" s="1549">
        <v>14</v>
      </c>
    </row>
    <row r="15" spans="1:23" ht="14.65" customHeight="1">
      <c r="I15" s="1599"/>
      <c r="J15" s="2641"/>
      <c r="K15" s="2641"/>
      <c r="L15" s="2641"/>
      <c r="M15" s="2641"/>
      <c r="W15" s="1549">
        <v>14</v>
      </c>
    </row>
    <row r="16" spans="1:23" ht="21" hidden="1" customHeight="1">
      <c r="A16" s="1942" t="s">
        <v>78</v>
      </c>
      <c r="B16" s="1549">
        <v>9</v>
      </c>
      <c r="C16" s="1549">
        <v>9</v>
      </c>
      <c r="D16" s="1549">
        <v>9</v>
      </c>
      <c r="E16" s="1942" t="s">
        <v>141</v>
      </c>
      <c r="F16" s="1967" t="s">
        <v>141</v>
      </c>
      <c r="G16" s="1969"/>
      <c r="H16" s="281">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440" hidden="1" customWidth="1"/>
    <col min="2" max="2" width="16.85546875" style="2406" hidden="1" customWidth="1"/>
    <col min="3" max="3" width="5.5703125" style="2407" hidden="1" customWidth="1"/>
    <col min="4" max="4" width="3" style="2400" customWidth="1"/>
    <col min="5" max="5" width="7" style="2400" customWidth="1"/>
    <col min="6" max="6" width="56" style="2400" customWidth="1"/>
    <col min="7" max="7" width="10" style="2400" customWidth="1"/>
    <col min="8" max="8" width="40.7109375" style="2400" hidden="1" customWidth="1"/>
    <col min="9" max="9" width="40" style="2400" customWidth="1"/>
    <col min="10" max="10" width="102" style="2400" customWidth="1"/>
    <col min="11" max="11" width="9" style="2406" customWidth="1"/>
    <col min="12" max="12" width="5" style="2407" customWidth="1"/>
    <col min="13" max="13" width="3" style="2407" customWidth="1"/>
    <col min="14" max="17" width="3" style="2406" customWidth="1"/>
    <col min="18" max="18" width="10" style="2407" customWidth="1"/>
    <col min="19" max="19" width="34" style="2406" customWidth="1"/>
    <col min="20" max="20" width="9" style="2406" customWidth="1"/>
    <col min="21" max="21" width="8" style="2441" customWidth="1"/>
    <col min="22" max="26" width="8" style="2406" customWidth="1"/>
    <col min="27" max="31" width="8" style="2398" customWidth="1"/>
    <col min="32" max="32" width="10.42578125" style="2400" hidden="1" customWidth="1"/>
  </cols>
  <sheetData>
    <row r="1" spans="1:32" s="2406" customFormat="1" ht="22.5" hidden="1" customHeight="1">
      <c r="A1" s="911"/>
      <c r="C1" s="1554"/>
      <c r="D1" s="473"/>
      <c r="H1" s="1078">
        <v>4</v>
      </c>
      <c r="I1" s="1078">
        <v>4</v>
      </c>
      <c r="L1" s="1554"/>
      <c r="M1" s="1554"/>
      <c r="R1" s="1554"/>
      <c r="AF1" s="1078" t="s">
        <v>14</v>
      </c>
    </row>
    <row r="2" spans="1:32" s="2406" customFormat="1" ht="22.5" hidden="1" customHeight="1">
      <c r="A2" s="911"/>
      <c r="C2" s="1554"/>
      <c r="D2" s="474"/>
      <c r="E2" s="1555"/>
      <c r="F2" s="476"/>
      <c r="G2" s="1557" t="s">
        <v>543</v>
      </c>
      <c r="H2" s="477"/>
      <c r="I2" s="477"/>
      <c r="J2" s="478" t="s">
        <v>694</v>
      </c>
      <c r="K2" s="479"/>
      <c r="L2" s="1554"/>
      <c r="M2" s="1554"/>
      <c r="R2" s="1554"/>
      <c r="U2" s="480"/>
      <c r="AA2" s="1550"/>
      <c r="AB2" s="1550"/>
      <c r="AC2" s="1550"/>
      <c r="AD2" s="1550"/>
      <c r="AE2" s="1550"/>
      <c r="AF2" s="1078">
        <v>0</v>
      </c>
    </row>
    <row r="3" spans="1:32" ht="11.25" hidden="1" customHeight="1">
      <c r="AF3" s="1549">
        <v>0</v>
      </c>
    </row>
    <row r="4" spans="1:32" s="2398" customFormat="1" ht="11.25" hidden="1" customHeight="1">
      <c r="A4" s="911"/>
      <c r="B4" s="1078"/>
      <c r="C4" s="1554"/>
      <c r="D4" s="298"/>
      <c r="J4" s="1550">
        <v>4</v>
      </c>
      <c r="K4" s="1078"/>
      <c r="L4" s="1554"/>
      <c r="M4" s="1554"/>
      <c r="N4" s="1078"/>
      <c r="O4" s="1078"/>
      <c r="P4" s="1078"/>
      <c r="Q4" s="1078"/>
      <c r="R4" s="1554"/>
      <c r="S4" s="1078"/>
      <c r="T4" s="1078"/>
      <c r="U4" s="480"/>
      <c r="V4" s="1078"/>
      <c r="W4" s="1078"/>
      <c r="X4" s="1078"/>
      <c r="Y4" s="1078"/>
      <c r="Z4" s="1078"/>
      <c r="AF4" s="1550">
        <v>0</v>
      </c>
    </row>
    <row r="5" spans="1:32" ht="11.45" customHeight="1">
      <c r="AF5" s="1549">
        <v>11</v>
      </c>
    </row>
    <row r="6" spans="1:32" ht="31.5" customHeight="1">
      <c r="E6" s="2572" t="s">
        <v>695</v>
      </c>
      <c r="F6" s="2572"/>
      <c r="G6" s="2572"/>
      <c r="H6" s="2572"/>
      <c r="I6" s="2572"/>
      <c r="J6" s="492"/>
      <c r="AF6" s="1549">
        <v>30</v>
      </c>
    </row>
    <row r="7" spans="1:32" ht="11.45" customHeight="1">
      <c r="E7" s="2595" t="str">
        <f>IF(org=0,"Не определено",org)</f>
        <v>ПАО "ТГК-1" (филиал "Кольский")</v>
      </c>
      <c r="F7" s="2595"/>
      <c r="G7" s="2595"/>
      <c r="H7" s="2595"/>
      <c r="I7" s="2595"/>
      <c r="AF7" s="1549">
        <v>11</v>
      </c>
    </row>
    <row r="8" spans="1:32" ht="11.45" customHeight="1">
      <c r="E8" s="1054"/>
      <c r="F8" s="1054"/>
      <c r="G8" s="1054"/>
      <c r="H8" s="1054"/>
      <c r="I8" s="1054"/>
      <c r="AF8" s="1549">
        <v>11</v>
      </c>
    </row>
    <row r="9" spans="1:32" s="2407" customFormat="1" ht="4.1500000000000004" customHeight="1">
      <c r="A9" s="1085"/>
      <c r="D9" s="1560"/>
      <c r="H9" s="814"/>
      <c r="I9" s="814" t="s">
        <v>110</v>
      </c>
      <c r="AF9" s="1554">
        <v>4</v>
      </c>
    </row>
    <row r="10" spans="1:32" ht="11.45" customHeight="1">
      <c r="E10" s="647"/>
      <c r="F10" s="2729" t="s">
        <v>98</v>
      </c>
      <c r="G10" s="2730"/>
      <c r="H10" s="1470" t="str">
        <f>IF(H9="","",INDEX(DIFFERENTIATION_UNMERGE_VD,MATCH(H9,DIFFERENTIATION_ID_DIFF,0)))</f>
        <v/>
      </c>
      <c r="I10" s="1470">
        <f>IF(I9="","",INDEX(DIFFERENTIATION_UNMERGE_VD,MATCH(I9,DIFFERENTIATION_ID_DIFF,0)))</f>
        <v>0</v>
      </c>
      <c r="J10" s="2514"/>
      <c r="AF10" s="1549">
        <v>11</v>
      </c>
    </row>
    <row r="11" spans="1:32" ht="11.45" customHeight="1">
      <c r="E11" s="647"/>
      <c r="F11" s="2729" t="s">
        <v>555</v>
      </c>
      <c r="G11" s="2730"/>
      <c r="H11" s="1470" t="str">
        <f>IF(H9="","",INDEX(DIFFERENTIATION_UNMERGE_AREA,MATCH(H9,DIFFERENTIATION_ID_DIFF,0)))</f>
        <v/>
      </c>
      <c r="I11" s="1470" t="str">
        <f>IF(I9="","",INDEX(DIFFERENTIATION_UNMERGE_AREA,MATCH(I9,DIFFERENTIATION_ID_DIFF,0)))</f>
        <v/>
      </c>
      <c r="J11" s="2514"/>
      <c r="AF11" s="1549">
        <v>11</v>
      </c>
    </row>
    <row r="12" spans="1:32" ht="1.1499999999999999" customHeight="1">
      <c r="E12" s="1580"/>
      <c r="F12" s="2747" t="s">
        <v>556</v>
      </c>
      <c r="G12" s="2748"/>
      <c r="H12" s="1581" t="str">
        <f>IF(H9="","",INDEX(DIFFERENTIATION_UNMERGE_SYSTEM,MATCH(H9,DIFFERENTIATION_ID_DIFF,0)))</f>
        <v/>
      </c>
      <c r="I12" s="1581" t="str">
        <f>IF(I9="","",INDEX(DIFFERENTIATION_UNMERGE_SYSTEM,MATCH(I9,DIFFERENTIATION_ID_DIFF,0)))</f>
        <v>без дифференциации</v>
      </c>
      <c r="J12" s="2514"/>
      <c r="AF12" s="1549">
        <v>1</v>
      </c>
    </row>
    <row r="13" spans="1:32" ht="11.45" customHeight="1">
      <c r="E13" s="2731" t="s">
        <v>291</v>
      </c>
      <c r="F13" s="2732"/>
      <c r="G13" s="2732"/>
      <c r="H13" s="1469"/>
      <c r="I13" s="1469"/>
      <c r="J13" s="2514"/>
      <c r="AF13" s="1549">
        <v>11</v>
      </c>
    </row>
    <row r="14" spans="1:32" ht="24" customHeight="1">
      <c r="E14" s="1557" t="s">
        <v>84</v>
      </c>
      <c r="F14" s="1552" t="s">
        <v>293</v>
      </c>
      <c r="G14" s="1552" t="s">
        <v>557</v>
      </c>
      <c r="H14" s="1552" t="s">
        <v>294</v>
      </c>
      <c r="I14" s="1552" t="s">
        <v>294</v>
      </c>
      <c r="J14" s="2514"/>
      <c r="AF14" s="1549">
        <v>23</v>
      </c>
    </row>
    <row r="15" spans="1:32" ht="19.899999999999999" customHeight="1">
      <c r="D15" s="1556"/>
      <c r="E15" s="1548" t="s">
        <v>102</v>
      </c>
      <c r="F15" s="643" t="s">
        <v>696</v>
      </c>
      <c r="G15" s="1564" t="s">
        <v>543</v>
      </c>
      <c r="H15" s="493"/>
      <c r="I15" s="493"/>
      <c r="J15" s="226" t="s">
        <v>697</v>
      </c>
      <c r="K15" s="479" t="s">
        <v>621</v>
      </c>
      <c r="AF15" s="1549">
        <v>19</v>
      </c>
    </row>
    <row r="16" spans="1:32" ht="35.65" customHeight="1">
      <c r="D16" s="1556"/>
      <c r="E16" s="1548" t="s">
        <v>103</v>
      </c>
      <c r="F16" s="643" t="s">
        <v>698</v>
      </c>
      <c r="G16" s="1564" t="s">
        <v>543</v>
      </c>
      <c r="H16" s="494">
        <f>SUM(H17,H20:H32)</f>
        <v>0</v>
      </c>
      <c r="I16" s="494">
        <f>SUM(I17,I20,I23,I26,I29:I32)</f>
        <v>0</v>
      </c>
      <c r="J16" s="226" t="s">
        <v>699</v>
      </c>
      <c r="K16" s="479" t="s">
        <v>621</v>
      </c>
      <c r="AF16" s="1549">
        <v>34</v>
      </c>
    </row>
    <row r="17" spans="1:32" ht="19.899999999999999" customHeight="1">
      <c r="D17" s="1556"/>
      <c r="E17" s="1582" t="s">
        <v>700</v>
      </c>
      <c r="F17" s="879" t="s">
        <v>701</v>
      </c>
      <c r="G17" s="1561" t="s">
        <v>543</v>
      </c>
      <c r="H17" s="493"/>
      <c r="I17" s="493"/>
      <c r="J17" s="226" t="s">
        <v>702</v>
      </c>
      <c r="K17" s="479"/>
      <c r="AF17" s="1549">
        <v>19</v>
      </c>
    </row>
    <row r="18" spans="1:32" ht="24" customHeight="1">
      <c r="D18" s="1556"/>
      <c r="E18" s="1582" t="s">
        <v>703</v>
      </c>
      <c r="F18" s="1568" t="s">
        <v>704</v>
      </c>
      <c r="G18" s="1561" t="s">
        <v>543</v>
      </c>
      <c r="H18" s="493"/>
      <c r="I18" s="493"/>
      <c r="J18" s="226" t="s">
        <v>705</v>
      </c>
      <c r="K18" s="479"/>
      <c r="AF18" s="1549">
        <v>23</v>
      </c>
    </row>
    <row r="19" spans="1:32" ht="35.65" customHeight="1">
      <c r="D19" s="1556"/>
      <c r="E19" s="1582" t="s">
        <v>706</v>
      </c>
      <c r="F19" s="1568" t="s">
        <v>707</v>
      </c>
      <c r="G19" s="1561" t="s">
        <v>543</v>
      </c>
      <c r="H19" s="493"/>
      <c r="I19" s="493"/>
      <c r="J19" s="226"/>
      <c r="K19" s="479"/>
      <c r="AF19" s="1549">
        <v>34</v>
      </c>
    </row>
    <row r="20" spans="1:32" ht="19.899999999999999" customHeight="1">
      <c r="D20" s="1556"/>
      <c r="E20" s="1582" t="s">
        <v>298</v>
      </c>
      <c r="F20" s="879" t="s">
        <v>708</v>
      </c>
      <c r="G20" s="1561" t="s">
        <v>543</v>
      </c>
      <c r="H20" s="493"/>
      <c r="I20" s="493"/>
      <c r="J20" s="226" t="s">
        <v>709</v>
      </c>
      <c r="K20" s="479"/>
      <c r="AF20" s="1549">
        <v>19</v>
      </c>
    </row>
    <row r="21" spans="1:32" ht="19.899999999999999" customHeight="1">
      <c r="D21" s="1556"/>
      <c r="E21" s="1582" t="s">
        <v>710</v>
      </c>
      <c r="F21" s="1568" t="s">
        <v>711</v>
      </c>
      <c r="G21" s="1561" t="s">
        <v>543</v>
      </c>
      <c r="H21" s="493"/>
      <c r="I21" s="493"/>
      <c r="J21" s="226"/>
      <c r="K21" s="479"/>
      <c r="AF21" s="1549">
        <v>19</v>
      </c>
    </row>
    <row r="22" spans="1:32" ht="19.899999999999999" customHeight="1">
      <c r="D22" s="1556"/>
      <c r="E22" s="1582" t="s">
        <v>712</v>
      </c>
      <c r="F22" s="1568" t="s">
        <v>713</v>
      </c>
      <c r="G22" s="1561" t="s">
        <v>543</v>
      </c>
      <c r="H22" s="493"/>
      <c r="I22" s="493"/>
      <c r="J22" s="226"/>
      <c r="K22" s="479"/>
      <c r="AF22" s="1549">
        <v>19</v>
      </c>
    </row>
    <row r="23" spans="1:32" ht="24" customHeight="1">
      <c r="D23" s="1556"/>
      <c r="E23" s="1582" t="s">
        <v>301</v>
      </c>
      <c r="F23" s="879" t="s">
        <v>714</v>
      </c>
      <c r="G23" s="1561" t="s">
        <v>543</v>
      </c>
      <c r="H23" s="493"/>
      <c r="I23" s="493"/>
      <c r="J23" s="226" t="s">
        <v>715</v>
      </c>
      <c r="K23" s="479"/>
      <c r="AF23" s="1549">
        <v>23</v>
      </c>
    </row>
    <row r="24" spans="1:32" ht="19.899999999999999" customHeight="1">
      <c r="D24" s="1556"/>
      <c r="E24" s="1582" t="s">
        <v>716</v>
      </c>
      <c r="F24" s="1568" t="s">
        <v>717</v>
      </c>
      <c r="G24" s="1561" t="s">
        <v>543</v>
      </c>
      <c r="H24" s="493"/>
      <c r="I24" s="493"/>
      <c r="J24" s="226"/>
      <c r="K24" s="479"/>
      <c r="AF24" s="1549">
        <v>19</v>
      </c>
    </row>
    <row r="25" spans="1:32" ht="35.65" customHeight="1">
      <c r="D25" s="1556"/>
      <c r="E25" s="1582" t="s">
        <v>718</v>
      </c>
      <c r="F25" s="1568" t="s">
        <v>719</v>
      </c>
      <c r="G25" s="1561" t="s">
        <v>543</v>
      </c>
      <c r="H25" s="493"/>
      <c r="I25" s="493"/>
      <c r="J25" s="226"/>
      <c r="K25" s="479"/>
      <c r="AF25" s="1549">
        <v>34</v>
      </c>
    </row>
    <row r="26" spans="1:32" ht="24" customHeight="1">
      <c r="D26" s="1556"/>
      <c r="E26" s="1582" t="s">
        <v>720</v>
      </c>
      <c r="F26" s="879" t="s">
        <v>721</v>
      </c>
      <c r="G26" s="1561" t="s">
        <v>543</v>
      </c>
      <c r="H26" s="493"/>
      <c r="I26" s="493"/>
      <c r="J26" s="226" t="s">
        <v>722</v>
      </c>
      <c r="K26" s="479"/>
      <c r="AF26" s="1549">
        <v>23</v>
      </c>
    </row>
    <row r="27" spans="1:32" ht="19.899999999999999" customHeight="1">
      <c r="D27" s="1556"/>
      <c r="E27" s="1593" t="s">
        <v>723</v>
      </c>
      <c r="F27" s="1568" t="s">
        <v>724</v>
      </c>
      <c r="G27" s="1572" t="s">
        <v>543</v>
      </c>
      <c r="H27" s="1594"/>
      <c r="I27" s="1594"/>
      <c r="J27" s="226"/>
      <c r="K27" s="479"/>
      <c r="AF27" s="1549">
        <v>19</v>
      </c>
    </row>
    <row r="28" spans="1:32" ht="19.899999999999999" customHeight="1">
      <c r="D28" s="1556"/>
      <c r="E28" s="1593" t="s">
        <v>725</v>
      </c>
      <c r="F28" s="1568" t="s">
        <v>726</v>
      </c>
      <c r="G28" s="1572" t="s">
        <v>543</v>
      </c>
      <c r="H28" s="1594"/>
      <c r="I28" s="1594"/>
      <c r="J28" s="226"/>
      <c r="K28" s="479"/>
      <c r="AF28" s="1549">
        <v>19</v>
      </c>
    </row>
    <row r="29" spans="1:32" ht="19.899999999999999" customHeight="1">
      <c r="D29" s="1556"/>
      <c r="E29" s="1593" t="s">
        <v>727</v>
      </c>
      <c r="F29" s="879" t="s">
        <v>728</v>
      </c>
      <c r="G29" s="1572" t="s">
        <v>543</v>
      </c>
      <c r="H29" s="1594"/>
      <c r="I29" s="1594"/>
      <c r="J29" s="226"/>
      <c r="K29" s="479"/>
      <c r="AF29" s="1549">
        <v>19</v>
      </c>
    </row>
    <row r="30" spans="1:32" ht="19.899999999999999" customHeight="1">
      <c r="D30" s="1556"/>
      <c r="E30" s="1593" t="s">
        <v>729</v>
      </c>
      <c r="F30" s="879" t="s">
        <v>730</v>
      </c>
      <c r="G30" s="1572" t="s">
        <v>543</v>
      </c>
      <c r="H30" s="1594"/>
      <c r="I30" s="1594"/>
      <c r="J30" s="226"/>
      <c r="K30" s="479"/>
      <c r="AF30" s="1549">
        <v>19</v>
      </c>
    </row>
    <row r="31" spans="1:32" ht="19.899999999999999" customHeight="1">
      <c r="D31" s="1556"/>
      <c r="E31" s="1593" t="s">
        <v>731</v>
      </c>
      <c r="F31" s="879" t="s">
        <v>732</v>
      </c>
      <c r="G31" s="1572" t="s">
        <v>543</v>
      </c>
      <c r="H31" s="1594"/>
      <c r="I31" s="1594"/>
      <c r="J31" s="226"/>
      <c r="K31" s="479"/>
      <c r="AF31" s="1549">
        <v>19</v>
      </c>
    </row>
    <row r="32" spans="1:32" s="2406" customFormat="1" ht="35.65" customHeight="1">
      <c r="A32" s="911"/>
      <c r="C32" s="1554"/>
      <c r="D32" s="1556"/>
      <c r="E32" s="1593" t="s">
        <v>733</v>
      </c>
      <c r="F32" s="879" t="s">
        <v>734</v>
      </c>
      <c r="G32" s="1562" t="s">
        <v>543</v>
      </c>
      <c r="H32" s="515">
        <f>SUM(H33:H34)</f>
        <v>0</v>
      </c>
      <c r="I32" s="515">
        <f>SUM(I33:I34)</f>
        <v>0</v>
      </c>
      <c r="J32" s="226" t="s">
        <v>735</v>
      </c>
      <c r="K32" s="479"/>
      <c r="L32" s="1554"/>
      <c r="M32" s="1554"/>
      <c r="R32" s="1554"/>
      <c r="U32" s="480"/>
      <c r="AA32" s="1550"/>
      <c r="AB32" s="1550"/>
      <c r="AC32" s="1550"/>
      <c r="AD32" s="1550"/>
      <c r="AE32" s="1550"/>
      <c r="AF32" s="1078">
        <v>34</v>
      </c>
    </row>
    <row r="33" spans="1:32" s="2407" customFormat="1" ht="1.1499999999999999" customHeight="1">
      <c r="A33" s="1085"/>
      <c r="D33" s="484"/>
      <c r="E33" s="732" t="str">
        <f>E32&amp;".0"</f>
        <v>2.8.0</v>
      </c>
      <c r="F33" s="915"/>
      <c r="G33" s="487"/>
      <c r="H33" s="916"/>
      <c r="I33" s="916"/>
      <c r="J33" s="917"/>
      <c r="AF33" s="1554">
        <v>1</v>
      </c>
    </row>
    <row r="34" spans="1:32" s="2406" customFormat="1" ht="19.899999999999999" customHeight="1">
      <c r="A34" s="911"/>
      <c r="C34" s="1554"/>
      <c r="D34" s="1551"/>
      <c r="E34" s="506"/>
      <c r="F34" s="1584" t="s">
        <v>568</v>
      </c>
      <c r="G34" s="508"/>
      <c r="H34" s="509"/>
      <c r="I34" s="509"/>
      <c r="J34" s="238" t="s">
        <v>736</v>
      </c>
      <c r="K34" s="479"/>
      <c r="L34" s="1554"/>
      <c r="M34" s="1554"/>
      <c r="R34" s="1554"/>
      <c r="U34" s="480"/>
      <c r="AA34" s="1550"/>
      <c r="AB34" s="1550"/>
      <c r="AC34" s="1550"/>
      <c r="AD34" s="1550"/>
      <c r="AE34" s="1550"/>
      <c r="AF34" s="1078">
        <v>19</v>
      </c>
    </row>
    <row r="35" spans="1:32" ht="60" customHeight="1">
      <c r="D35" s="1556"/>
      <c r="E35" s="1593" t="s">
        <v>737</v>
      </c>
      <c r="F35" s="879" t="s">
        <v>738</v>
      </c>
      <c r="G35" s="1572" t="s">
        <v>543</v>
      </c>
      <c r="H35" s="1594"/>
      <c r="I35" s="1594"/>
      <c r="J35" s="226" t="s">
        <v>739</v>
      </c>
      <c r="K35" s="479"/>
      <c r="AF35" s="1549">
        <v>57</v>
      </c>
    </row>
    <row r="36" spans="1:32" s="2406" customFormat="1" ht="24" customHeight="1">
      <c r="A36" s="913" t="s">
        <v>569</v>
      </c>
      <c r="C36" s="1554"/>
      <c r="D36" s="1556"/>
      <c r="E36" s="1582" t="s">
        <v>86</v>
      </c>
      <c r="F36" s="643" t="s">
        <v>740</v>
      </c>
      <c r="G36" s="1561" t="s">
        <v>543</v>
      </c>
      <c r="H36" s="493"/>
      <c r="I36" s="493"/>
      <c r="J36" s="226" t="s">
        <v>741</v>
      </c>
      <c r="K36" s="479"/>
      <c r="L36" s="1554"/>
      <c r="M36" s="1554"/>
      <c r="R36" s="1554"/>
      <c r="U36" s="480"/>
      <c r="AA36" s="1550"/>
      <c r="AB36" s="1550"/>
      <c r="AC36" s="1550"/>
      <c r="AD36" s="1550"/>
      <c r="AE36" s="1550"/>
      <c r="AF36" s="1078">
        <v>23</v>
      </c>
    </row>
    <row r="37" spans="1:32" s="2406" customFormat="1" ht="35.65" customHeight="1">
      <c r="A37" s="913"/>
      <c r="C37" s="1554"/>
      <c r="D37" s="1556"/>
      <c r="E37" s="1582" t="s">
        <v>315</v>
      </c>
      <c r="F37" s="879" t="s">
        <v>742</v>
      </c>
      <c r="G37" s="1572"/>
      <c r="H37" s="493"/>
      <c r="I37" s="493"/>
      <c r="J37" s="226"/>
      <c r="K37" s="479"/>
      <c r="L37" s="1554"/>
      <c r="M37" s="1554"/>
      <c r="R37" s="1554"/>
      <c r="U37" s="480"/>
      <c r="AA37" s="1550"/>
      <c r="AB37" s="1550"/>
      <c r="AC37" s="1550"/>
      <c r="AD37" s="1550"/>
      <c r="AE37" s="1550"/>
      <c r="AF37" s="1078">
        <v>34</v>
      </c>
    </row>
    <row r="38" spans="1:32" s="2406" customFormat="1" ht="19.899999999999999" customHeight="1">
      <c r="A38" s="911"/>
      <c r="C38" s="1554"/>
      <c r="D38" s="511"/>
      <c r="E38" s="1582" t="s">
        <v>87</v>
      </c>
      <c r="F38" s="643" t="s">
        <v>743</v>
      </c>
      <c r="G38" s="1561" t="s">
        <v>543</v>
      </c>
      <c r="H38" s="493"/>
      <c r="I38" s="493"/>
      <c r="J38" s="226" t="s">
        <v>744</v>
      </c>
      <c r="K38" s="479"/>
      <c r="L38" s="1554"/>
      <c r="M38" s="1554"/>
      <c r="R38" s="1554"/>
      <c r="U38" s="480"/>
      <c r="AA38" s="1550"/>
      <c r="AB38" s="1550"/>
      <c r="AC38" s="1550"/>
      <c r="AD38" s="1550"/>
      <c r="AE38" s="1550"/>
      <c r="AF38" s="1078">
        <v>19</v>
      </c>
    </row>
    <row r="39" spans="1:32" s="2406" customFormat="1" ht="24" customHeight="1">
      <c r="A39" s="911"/>
      <c r="C39" s="1554"/>
      <c r="D39" s="511"/>
      <c r="E39" s="1582" t="s">
        <v>745</v>
      </c>
      <c r="F39" s="879" t="s">
        <v>746</v>
      </c>
      <c r="G39" s="1572" t="s">
        <v>543</v>
      </c>
      <c r="H39" s="493"/>
      <c r="I39" s="493"/>
      <c r="J39" s="226" t="s">
        <v>747</v>
      </c>
      <c r="K39" s="479"/>
      <c r="L39" s="1554"/>
      <c r="M39" s="1554"/>
      <c r="R39" s="1554"/>
      <c r="U39" s="480"/>
      <c r="AA39" s="1550"/>
      <c r="AB39" s="1550"/>
      <c r="AC39" s="1550"/>
      <c r="AD39" s="1550"/>
      <c r="AE39" s="1550"/>
      <c r="AF39" s="1078">
        <v>23</v>
      </c>
    </row>
    <row r="40" spans="1:32" s="2406" customFormat="1" ht="24" customHeight="1">
      <c r="A40" s="911"/>
      <c r="C40" s="1554"/>
      <c r="D40" s="1556"/>
      <c r="E40" s="1582" t="s">
        <v>748</v>
      </c>
      <c r="F40" s="1568" t="s">
        <v>749</v>
      </c>
      <c r="G40" s="1561" t="s">
        <v>543</v>
      </c>
      <c r="H40" s="493"/>
      <c r="I40" s="493"/>
      <c r="J40" s="226" t="s">
        <v>750</v>
      </c>
      <c r="K40" s="479"/>
      <c r="L40" s="1554"/>
      <c r="M40" s="1554"/>
      <c r="R40" s="1554"/>
      <c r="U40" s="480"/>
      <c r="AA40" s="1550"/>
      <c r="AB40" s="1550"/>
      <c r="AC40" s="1550"/>
      <c r="AD40" s="1550"/>
      <c r="AE40" s="1550"/>
      <c r="AF40" s="1078">
        <v>23</v>
      </c>
    </row>
    <row r="41" spans="1:32" s="2406" customFormat="1" ht="24" customHeight="1">
      <c r="A41" s="911"/>
      <c r="C41" s="1554"/>
      <c r="D41" s="1556"/>
      <c r="E41" s="1582" t="s">
        <v>751</v>
      </c>
      <c r="F41" s="1568" t="s">
        <v>752</v>
      </c>
      <c r="G41" s="1561" t="s">
        <v>543</v>
      </c>
      <c r="H41" s="493"/>
      <c r="I41" s="493"/>
      <c r="J41" s="226" t="s">
        <v>753</v>
      </c>
      <c r="K41" s="479"/>
      <c r="L41" s="1554"/>
      <c r="M41" s="1554"/>
      <c r="R41" s="1554"/>
      <c r="U41" s="480"/>
      <c r="AA41" s="1550"/>
      <c r="AB41" s="1550"/>
      <c r="AC41" s="1550"/>
      <c r="AD41" s="1550"/>
      <c r="AE41" s="1550"/>
      <c r="AF41" s="1078">
        <v>23</v>
      </c>
    </row>
    <row r="42" spans="1:32" s="2406" customFormat="1" ht="24" customHeight="1">
      <c r="A42" s="911"/>
      <c r="C42" s="1554"/>
      <c r="D42" s="1556"/>
      <c r="E42" s="1582" t="s">
        <v>754</v>
      </c>
      <c r="F42" s="1568" t="s">
        <v>755</v>
      </c>
      <c r="G42" s="1561" t="s">
        <v>543</v>
      </c>
      <c r="H42" s="493"/>
      <c r="I42" s="493"/>
      <c r="J42" s="226" t="s">
        <v>756</v>
      </c>
      <c r="K42" s="479"/>
      <c r="L42" s="1554"/>
      <c r="M42" s="1554"/>
      <c r="R42" s="1554"/>
      <c r="U42" s="480"/>
      <c r="AA42" s="1550"/>
      <c r="AB42" s="1550"/>
      <c r="AC42" s="1550"/>
      <c r="AD42" s="1550"/>
      <c r="AE42" s="1550"/>
      <c r="AF42" s="1078">
        <v>23</v>
      </c>
    </row>
    <row r="43" spans="1:32" s="2406" customFormat="1" ht="35.65" customHeight="1">
      <c r="A43" s="911"/>
      <c r="C43" s="1554" t="s">
        <v>579</v>
      </c>
      <c r="D43" s="1556"/>
      <c r="E43" s="1582" t="s">
        <v>104</v>
      </c>
      <c r="F43" s="643" t="s">
        <v>620</v>
      </c>
      <c r="G43" s="1564" t="s">
        <v>757</v>
      </c>
      <c r="H43" s="337"/>
      <c r="I43" s="337"/>
      <c r="J43" s="226" t="s">
        <v>758</v>
      </c>
      <c r="K43" s="479"/>
      <c r="L43" s="1554"/>
      <c r="M43" s="1554"/>
      <c r="R43" s="1554"/>
      <c r="U43" s="480"/>
      <c r="AA43" s="1550"/>
      <c r="AB43" s="1550"/>
      <c r="AC43" s="1550"/>
      <c r="AD43" s="1550"/>
      <c r="AE43" s="1550"/>
      <c r="AF43" s="1078">
        <v>34</v>
      </c>
    </row>
    <row r="44" spans="1:32" s="2406" customFormat="1" ht="35.65" customHeight="1">
      <c r="A44" s="911"/>
      <c r="C44" s="1554"/>
      <c r="D44" s="1556"/>
      <c r="E44" s="1582" t="s">
        <v>88</v>
      </c>
      <c r="F44" s="643" t="s">
        <v>759</v>
      </c>
      <c r="G44" s="1561" t="s">
        <v>760</v>
      </c>
      <c r="H44" s="481"/>
      <c r="I44" s="481"/>
      <c r="J44" s="226" t="s">
        <v>761</v>
      </c>
      <c r="K44" s="479"/>
      <c r="L44" s="1554"/>
      <c r="M44" s="1554"/>
      <c r="R44" s="1554"/>
      <c r="U44" s="480"/>
      <c r="AA44" s="1550"/>
      <c r="AB44" s="1550"/>
      <c r="AC44" s="1550"/>
      <c r="AD44" s="1550"/>
      <c r="AE44" s="1550"/>
      <c r="AF44" s="1078">
        <v>34</v>
      </c>
    </row>
    <row r="45" spans="1:32" s="2406" customFormat="1" ht="24" customHeight="1">
      <c r="A45" s="911"/>
      <c r="C45" s="1554"/>
      <c r="D45" s="1556"/>
      <c r="E45" s="1582" t="s">
        <v>89</v>
      </c>
      <c r="F45" s="643" t="s">
        <v>762</v>
      </c>
      <c r="G45" s="1572" t="s">
        <v>763</v>
      </c>
      <c r="H45" s="481"/>
      <c r="I45" s="481"/>
      <c r="J45" s="226" t="s">
        <v>764</v>
      </c>
      <c r="K45" s="479"/>
      <c r="L45" s="1554"/>
      <c r="M45" s="1554"/>
      <c r="R45" s="1554"/>
      <c r="U45" s="480"/>
      <c r="AA45" s="1550"/>
      <c r="AB45" s="1550"/>
      <c r="AC45" s="1550"/>
      <c r="AD45" s="1550"/>
      <c r="AE45" s="1550"/>
      <c r="AF45" s="1078">
        <v>23</v>
      </c>
    </row>
    <row r="46" spans="1:32" s="2406" customFormat="1" ht="19.899999999999999" customHeight="1">
      <c r="A46" s="911"/>
      <c r="C46" s="1554"/>
      <c r="D46" s="1556"/>
      <c r="E46" s="1582" t="s">
        <v>105</v>
      </c>
      <c r="F46" s="643" t="s">
        <v>765</v>
      </c>
      <c r="G46" s="1561" t="s">
        <v>581</v>
      </c>
      <c r="H46" s="513"/>
      <c r="I46" s="513"/>
      <c r="J46" s="226"/>
      <c r="K46" s="479"/>
      <c r="L46" s="1554"/>
      <c r="M46" s="1554"/>
      <c r="R46" s="1554"/>
      <c r="U46" s="480"/>
      <c r="AA46" s="1550"/>
      <c r="AB46" s="1550"/>
      <c r="AC46" s="1550"/>
      <c r="AD46" s="1550"/>
      <c r="AE46" s="1550"/>
      <c r="AF46" s="1078">
        <v>19</v>
      </c>
    </row>
    <row r="47" spans="1:32" ht="11.45" customHeight="1">
      <c r="D47" s="1556"/>
      <c r="AF47" s="1549">
        <v>11</v>
      </c>
    </row>
    <row r="48" spans="1:32" s="2431" customFormat="1" ht="11.45" customHeight="1">
      <c r="A48" s="911"/>
      <c r="B48" s="1554"/>
      <c r="C48" s="1554"/>
      <c r="D48" s="287"/>
      <c r="K48" s="1078"/>
      <c r="L48" s="1554"/>
      <c r="M48" s="1554"/>
      <c r="N48" s="1078"/>
      <c r="O48" s="1078"/>
      <c r="P48" s="1078"/>
      <c r="Q48" s="1078"/>
      <c r="R48" s="1554"/>
      <c r="S48" s="1078"/>
      <c r="T48" s="1078"/>
      <c r="U48" s="480"/>
      <c r="V48" s="1078"/>
      <c r="W48" s="1078"/>
      <c r="X48" s="1078"/>
      <c r="Y48" s="1078"/>
      <c r="Z48" s="1078"/>
      <c r="AA48" s="1550"/>
      <c r="AB48" s="502"/>
      <c r="AC48" s="502"/>
      <c r="AD48" s="502"/>
      <c r="AE48" s="502"/>
      <c r="AF48" s="1559">
        <v>11</v>
      </c>
    </row>
    <row r="49" spans="1:32" s="2431" customFormat="1" ht="11.45" customHeight="1">
      <c r="A49" s="911"/>
      <c r="B49" s="1554"/>
      <c r="C49" s="1554"/>
      <c r="D49" s="287"/>
      <c r="K49" s="1078"/>
      <c r="L49" s="1554"/>
      <c r="M49" s="1554"/>
      <c r="N49" s="1078"/>
      <c r="O49" s="1078"/>
      <c r="P49" s="1078"/>
      <c r="Q49" s="1078"/>
      <c r="R49" s="1554"/>
      <c r="S49" s="1078"/>
      <c r="T49" s="1078"/>
      <c r="U49" s="480"/>
      <c r="V49" s="1078"/>
      <c r="W49" s="1078"/>
      <c r="X49" s="1078"/>
      <c r="Y49" s="1078"/>
      <c r="Z49" s="1078"/>
      <c r="AA49" s="1550"/>
      <c r="AB49" s="502"/>
      <c r="AC49" s="502"/>
      <c r="AD49" s="502"/>
      <c r="AE49" s="502"/>
      <c r="AF49" s="1559">
        <v>11</v>
      </c>
    </row>
    <row r="50" spans="1:32" s="2431" customFormat="1" ht="11.45" customHeight="1">
      <c r="A50" s="911"/>
      <c r="B50" s="1554"/>
      <c r="C50" s="1554"/>
      <c r="D50" s="287"/>
      <c r="H50" s="502"/>
      <c r="I50" s="502"/>
      <c r="K50" s="1078"/>
      <c r="L50" s="1554"/>
      <c r="M50" s="1554"/>
      <c r="N50" s="1078"/>
      <c r="O50" s="1078"/>
      <c r="P50" s="1078"/>
      <c r="Q50" s="1078"/>
      <c r="R50" s="1554"/>
      <c r="S50" s="1078"/>
      <c r="T50" s="1078"/>
      <c r="U50" s="480"/>
      <c r="V50" s="1078"/>
      <c r="W50" s="1078"/>
      <c r="X50" s="1078"/>
      <c r="Y50" s="1078"/>
      <c r="Z50" s="1078"/>
      <c r="AA50" s="1550"/>
      <c r="AB50" s="502"/>
      <c r="AC50" s="502"/>
      <c r="AD50" s="502"/>
      <c r="AE50" s="502"/>
      <c r="AF50" s="1559">
        <v>11</v>
      </c>
    </row>
    <row r="51" spans="1:32" s="2431" customFormat="1" ht="11.45" customHeight="1">
      <c r="A51" s="911"/>
      <c r="B51" s="1554"/>
      <c r="C51" s="1554"/>
      <c r="D51" s="287"/>
      <c r="K51" s="1078"/>
      <c r="L51" s="1554"/>
      <c r="M51" s="1554"/>
      <c r="N51" s="1078"/>
      <c r="O51" s="1078"/>
      <c r="P51" s="1078"/>
      <c r="Q51" s="1078"/>
      <c r="R51" s="1554"/>
      <c r="S51" s="1078"/>
      <c r="T51" s="1078"/>
      <c r="U51" s="480"/>
      <c r="V51" s="1078"/>
      <c r="W51" s="1078"/>
      <c r="X51" s="1078"/>
      <c r="Y51" s="1078"/>
      <c r="Z51" s="1078"/>
      <c r="AA51" s="1550"/>
      <c r="AB51" s="502"/>
      <c r="AC51" s="502"/>
      <c r="AD51" s="502"/>
      <c r="AE51" s="502"/>
      <c r="AF51" s="1559">
        <v>11</v>
      </c>
    </row>
    <row r="52" spans="1:32" s="2431" customFormat="1" ht="11.45" customHeight="1">
      <c r="A52" s="911"/>
      <c r="B52" s="1554"/>
      <c r="C52" s="1554"/>
      <c r="D52" s="287"/>
      <c r="K52" s="1078"/>
      <c r="L52" s="1554"/>
      <c r="M52" s="1554"/>
      <c r="N52" s="1078"/>
      <c r="O52" s="1078"/>
      <c r="P52" s="1078"/>
      <c r="Q52" s="1078"/>
      <c r="R52" s="1554"/>
      <c r="S52" s="1078"/>
      <c r="T52" s="1078"/>
      <c r="U52" s="480"/>
      <c r="V52" s="1078"/>
      <c r="W52" s="1078"/>
      <c r="X52" s="1078"/>
      <c r="Y52" s="1078"/>
      <c r="Z52" s="1078"/>
      <c r="AA52" s="1550"/>
      <c r="AB52" s="502"/>
      <c r="AC52" s="502"/>
      <c r="AD52" s="502"/>
      <c r="AE52" s="502"/>
      <c r="AF52" s="1559">
        <v>11</v>
      </c>
    </row>
    <row r="53" spans="1:32" s="2431" customFormat="1" ht="11.45" customHeight="1">
      <c r="A53" s="911"/>
      <c r="B53" s="1554"/>
      <c r="C53" s="1554"/>
      <c r="D53" s="287"/>
      <c r="K53" s="1078"/>
      <c r="L53" s="1554"/>
      <c r="M53" s="1554"/>
      <c r="N53" s="1078"/>
      <c r="O53" s="1078"/>
      <c r="P53" s="1078"/>
      <c r="Q53" s="1078"/>
      <c r="R53" s="1554"/>
      <c r="S53" s="1078"/>
      <c r="T53" s="1078"/>
      <c r="U53" s="480"/>
      <c r="V53" s="1078"/>
      <c r="W53" s="1078"/>
      <c r="X53" s="1078"/>
      <c r="Y53" s="1078"/>
      <c r="Z53" s="1078"/>
      <c r="AA53" s="1550"/>
      <c r="AB53" s="502"/>
      <c r="AC53" s="502"/>
      <c r="AD53" s="502"/>
      <c r="AE53" s="502"/>
      <c r="AF53" s="1559">
        <v>11</v>
      </c>
    </row>
    <row r="54" spans="1:32" s="2431" customFormat="1" ht="11.45" customHeight="1">
      <c r="A54" s="911"/>
      <c r="B54" s="1554"/>
      <c r="C54" s="1554"/>
      <c r="D54" s="287"/>
      <c r="K54" s="1078"/>
      <c r="L54" s="1554"/>
      <c r="M54" s="1554"/>
      <c r="N54" s="1078"/>
      <c r="O54" s="1078"/>
      <c r="P54" s="1078"/>
      <c r="Q54" s="1078"/>
      <c r="R54" s="1554"/>
      <c r="S54" s="1078"/>
      <c r="T54" s="1078"/>
      <c r="U54" s="480"/>
      <c r="V54" s="1078"/>
      <c r="W54" s="1078"/>
      <c r="X54" s="1078"/>
      <c r="Y54" s="1078"/>
      <c r="Z54" s="1078"/>
      <c r="AA54" s="1550"/>
      <c r="AB54" s="502"/>
      <c r="AC54" s="502"/>
      <c r="AD54" s="502"/>
      <c r="AE54" s="502"/>
      <c r="AF54" s="1559">
        <v>11</v>
      </c>
    </row>
    <row r="55" spans="1:32" s="2431" customFormat="1" ht="11.45" customHeight="1">
      <c r="A55" s="911"/>
      <c r="B55" s="1554"/>
      <c r="C55" s="1554"/>
      <c r="D55" s="287"/>
      <c r="K55" s="1078"/>
      <c r="L55" s="1554"/>
      <c r="M55" s="1554"/>
      <c r="N55" s="1078"/>
      <c r="O55" s="1078"/>
      <c r="P55" s="1078"/>
      <c r="Q55" s="1078"/>
      <c r="R55" s="1554"/>
      <c r="S55" s="1078"/>
      <c r="T55" s="1078"/>
      <c r="U55" s="480"/>
      <c r="V55" s="1078"/>
      <c r="W55" s="1078"/>
      <c r="X55" s="1078"/>
      <c r="Y55" s="1078"/>
      <c r="Z55" s="1078"/>
      <c r="AA55" s="1550"/>
      <c r="AB55" s="502"/>
      <c r="AC55" s="502"/>
      <c r="AD55" s="502"/>
      <c r="AE55" s="502"/>
      <c r="AF55" s="1559">
        <v>11</v>
      </c>
    </row>
    <row r="56" spans="1:32" s="2431" customFormat="1" ht="11.45" customHeight="1">
      <c r="A56" s="911"/>
      <c r="B56" s="1554"/>
      <c r="C56" s="1554"/>
      <c r="D56" s="287"/>
      <c r="K56" s="1078"/>
      <c r="L56" s="1554"/>
      <c r="M56" s="1554"/>
      <c r="N56" s="1078"/>
      <c r="O56" s="1078"/>
      <c r="P56" s="1078"/>
      <c r="Q56" s="1078"/>
      <c r="R56" s="1554"/>
      <c r="S56" s="1078"/>
      <c r="T56" s="1078"/>
      <c r="U56" s="480"/>
      <c r="V56" s="1078"/>
      <c r="W56" s="1078"/>
      <c r="X56" s="1078"/>
      <c r="Y56" s="1078"/>
      <c r="Z56" s="1078"/>
      <c r="AA56" s="1550"/>
      <c r="AB56" s="502"/>
      <c r="AC56" s="502"/>
      <c r="AD56" s="502"/>
      <c r="AE56" s="502"/>
      <c r="AF56" s="1559">
        <v>11</v>
      </c>
    </row>
    <row r="57" spans="1:32" s="2431" customFormat="1" ht="11.45" customHeight="1">
      <c r="A57" s="911"/>
      <c r="B57" s="1554"/>
      <c r="C57" s="1554"/>
      <c r="D57" s="287"/>
      <c r="K57" s="1078"/>
      <c r="L57" s="1554"/>
      <c r="M57" s="1554"/>
      <c r="N57" s="1078"/>
      <c r="O57" s="1078"/>
      <c r="P57" s="1078"/>
      <c r="Q57" s="1078"/>
      <c r="R57" s="1554"/>
      <c r="S57" s="1078"/>
      <c r="T57" s="1078"/>
      <c r="U57" s="480"/>
      <c r="V57" s="1078"/>
      <c r="W57" s="1078"/>
      <c r="X57" s="1078"/>
      <c r="Y57" s="1078"/>
      <c r="Z57" s="1078"/>
      <c r="AA57" s="1550"/>
      <c r="AB57" s="502"/>
      <c r="AC57" s="502"/>
      <c r="AD57" s="502"/>
      <c r="AE57" s="502"/>
      <c r="AF57" s="1559">
        <v>11</v>
      </c>
    </row>
    <row r="58" spans="1:32" s="2431" customFormat="1" ht="11.45" customHeight="1">
      <c r="A58" s="911"/>
      <c r="B58" s="1554"/>
      <c r="C58" s="1554"/>
      <c r="D58" s="287"/>
      <c r="K58" s="1078"/>
      <c r="L58" s="1554"/>
      <c r="M58" s="1554"/>
      <c r="N58" s="1078"/>
      <c r="O58" s="1078"/>
      <c r="P58" s="1078"/>
      <c r="Q58" s="1078"/>
      <c r="R58" s="1554"/>
      <c r="S58" s="1078"/>
      <c r="T58" s="1078"/>
      <c r="U58" s="480"/>
      <c r="V58" s="1078"/>
      <c r="W58" s="1078"/>
      <c r="X58" s="1078"/>
      <c r="Y58" s="1078"/>
      <c r="Z58" s="1078"/>
      <c r="AA58" s="1550"/>
      <c r="AB58" s="502"/>
      <c r="AC58" s="502"/>
      <c r="AD58" s="502"/>
      <c r="AE58" s="502"/>
      <c r="AF58" s="1559">
        <v>11</v>
      </c>
    </row>
    <row r="59" spans="1:32" s="2431" customFormat="1" ht="11.45" customHeight="1">
      <c r="A59" s="911"/>
      <c r="B59" s="1554"/>
      <c r="C59" s="1554"/>
      <c r="D59" s="287"/>
      <c r="K59" s="1078"/>
      <c r="L59" s="1554"/>
      <c r="M59" s="1554"/>
      <c r="N59" s="1078"/>
      <c r="O59" s="1078"/>
      <c r="P59" s="1078"/>
      <c r="Q59" s="1078"/>
      <c r="R59" s="1554"/>
      <c r="S59" s="1078"/>
      <c r="T59" s="1078"/>
      <c r="U59" s="480"/>
      <c r="V59" s="1078"/>
      <c r="W59" s="1078"/>
      <c r="X59" s="1078"/>
      <c r="Y59" s="1078"/>
      <c r="Z59" s="1078"/>
      <c r="AA59" s="1550"/>
      <c r="AB59" s="502"/>
      <c r="AC59" s="502"/>
      <c r="AD59" s="502"/>
      <c r="AE59" s="502"/>
      <c r="AF59" s="1559">
        <v>11</v>
      </c>
    </row>
    <row r="60" spans="1:32" s="2431" customFormat="1" ht="11.45" customHeight="1">
      <c r="A60" s="911"/>
      <c r="B60" s="1554"/>
      <c r="C60" s="1554"/>
      <c r="D60" s="287"/>
      <c r="K60" s="1078"/>
      <c r="L60" s="1554"/>
      <c r="M60" s="1554"/>
      <c r="N60" s="1078"/>
      <c r="O60" s="1078"/>
      <c r="P60" s="1078"/>
      <c r="Q60" s="1078"/>
      <c r="R60" s="1554"/>
      <c r="S60" s="1078"/>
      <c r="T60" s="1078"/>
      <c r="U60" s="480"/>
      <c r="V60" s="1078"/>
      <c r="W60" s="1078"/>
      <c r="X60" s="1078"/>
      <c r="Y60" s="1078"/>
      <c r="Z60" s="1078"/>
      <c r="AA60" s="1550"/>
      <c r="AB60" s="502"/>
      <c r="AC60" s="502"/>
      <c r="AD60" s="502"/>
      <c r="AE60" s="502"/>
      <c r="AF60" s="1559">
        <v>11</v>
      </c>
    </row>
    <row r="61" spans="1:32" s="2431" customFormat="1" ht="11.45" customHeight="1">
      <c r="A61" s="911"/>
      <c r="B61" s="1554"/>
      <c r="C61" s="1554"/>
      <c r="D61" s="287"/>
      <c r="K61" s="1078"/>
      <c r="L61" s="1554"/>
      <c r="M61" s="1554"/>
      <c r="N61" s="1078"/>
      <c r="O61" s="1078"/>
      <c r="P61" s="1078"/>
      <c r="Q61" s="1078"/>
      <c r="R61" s="1554"/>
      <c r="S61" s="1078"/>
      <c r="T61" s="1078"/>
      <c r="U61" s="480"/>
      <c r="V61" s="1078"/>
      <c r="W61" s="1078"/>
      <c r="X61" s="1078"/>
      <c r="Y61" s="1078"/>
      <c r="Z61" s="1078"/>
      <c r="AA61" s="1550"/>
      <c r="AB61" s="502"/>
      <c r="AC61" s="502"/>
      <c r="AD61" s="502"/>
      <c r="AE61" s="502"/>
      <c r="AF61" s="1559">
        <v>11</v>
      </c>
    </row>
    <row r="62" spans="1:32" s="2431" customFormat="1" ht="11.45" customHeight="1">
      <c r="A62" s="911"/>
      <c r="B62" s="1554"/>
      <c r="C62" s="1554"/>
      <c r="D62" s="287"/>
      <c r="K62" s="1078"/>
      <c r="L62" s="1554"/>
      <c r="M62" s="1554"/>
      <c r="N62" s="1078"/>
      <c r="O62" s="1078"/>
      <c r="P62" s="1078"/>
      <c r="Q62" s="1078"/>
      <c r="R62" s="1554"/>
      <c r="S62" s="1078"/>
      <c r="T62" s="1078"/>
      <c r="U62" s="480"/>
      <c r="V62" s="1078"/>
      <c r="W62" s="1078"/>
      <c r="X62" s="1078"/>
      <c r="Y62" s="1078"/>
      <c r="Z62" s="1078"/>
      <c r="AA62" s="1550"/>
      <c r="AB62" s="502"/>
      <c r="AC62" s="502"/>
      <c r="AD62" s="502"/>
      <c r="AE62" s="502"/>
      <c r="AF62" s="1559">
        <v>11</v>
      </c>
    </row>
    <row r="63" spans="1:32" s="2431" customFormat="1" ht="11.45" customHeight="1">
      <c r="A63" s="911"/>
      <c r="B63" s="1554"/>
      <c r="C63" s="1554"/>
      <c r="D63" s="287"/>
      <c r="K63" s="1078"/>
      <c r="L63" s="1554"/>
      <c r="M63" s="1554"/>
      <c r="N63" s="1078"/>
      <c r="O63" s="1078"/>
      <c r="P63" s="1078"/>
      <c r="Q63" s="1078"/>
      <c r="R63" s="1554"/>
      <c r="S63" s="1078"/>
      <c r="T63" s="1078"/>
      <c r="U63" s="480"/>
      <c r="V63" s="1078"/>
      <c r="W63" s="1078"/>
      <c r="X63" s="1078"/>
      <c r="Y63" s="1078"/>
      <c r="Z63" s="1078"/>
      <c r="AA63" s="1550"/>
      <c r="AB63" s="502"/>
      <c r="AC63" s="502"/>
      <c r="AD63" s="502"/>
      <c r="AE63" s="502"/>
      <c r="AF63" s="1559">
        <v>11</v>
      </c>
    </row>
    <row r="64" spans="1:32" s="2431" customFormat="1" ht="11.45" customHeight="1">
      <c r="A64" s="911"/>
      <c r="B64" s="1554"/>
      <c r="C64" s="1554"/>
      <c r="D64" s="287"/>
      <c r="K64" s="1078"/>
      <c r="L64" s="1554"/>
      <c r="M64" s="1554"/>
      <c r="N64" s="1078"/>
      <c r="O64" s="1078"/>
      <c r="P64" s="1078"/>
      <c r="Q64" s="1078"/>
      <c r="R64" s="1554"/>
      <c r="S64" s="1078"/>
      <c r="T64" s="1078"/>
      <c r="U64" s="480"/>
      <c r="V64" s="1078"/>
      <c r="W64" s="1078"/>
      <c r="X64" s="1078"/>
      <c r="Y64" s="1078"/>
      <c r="Z64" s="1078"/>
      <c r="AA64" s="1550"/>
      <c r="AB64" s="502"/>
      <c r="AC64" s="502"/>
      <c r="AD64" s="502"/>
      <c r="AE64" s="502"/>
      <c r="AF64" s="1559">
        <v>11</v>
      </c>
    </row>
    <row r="65" spans="1:32" s="2431" customFormat="1" ht="11.45" customHeight="1">
      <c r="A65" s="911"/>
      <c r="B65" s="1554"/>
      <c r="C65" s="1554"/>
      <c r="D65" s="287"/>
      <c r="K65" s="1078"/>
      <c r="L65" s="1554"/>
      <c r="M65" s="1554"/>
      <c r="N65" s="1078"/>
      <c r="O65" s="1078"/>
      <c r="P65" s="1078"/>
      <c r="Q65" s="1078"/>
      <c r="R65" s="1554"/>
      <c r="S65" s="1078"/>
      <c r="T65" s="1078"/>
      <c r="U65" s="480"/>
      <c r="V65" s="1078"/>
      <c r="W65" s="1078"/>
      <c r="X65" s="1078"/>
      <c r="Y65" s="1078"/>
      <c r="Z65" s="1078"/>
      <c r="AA65" s="1550"/>
      <c r="AB65" s="502"/>
      <c r="AC65" s="502"/>
      <c r="AD65" s="502"/>
      <c r="AE65" s="502"/>
      <c r="AF65" s="1559">
        <v>11</v>
      </c>
    </row>
    <row r="66" spans="1:32" s="2431" customFormat="1" ht="11.45" customHeight="1">
      <c r="A66" s="911"/>
      <c r="B66" s="1554"/>
      <c r="C66" s="1554"/>
      <c r="D66" s="287"/>
      <c r="K66" s="1078"/>
      <c r="L66" s="1554"/>
      <c r="M66" s="1554"/>
      <c r="N66" s="1078"/>
      <c r="O66" s="1078"/>
      <c r="P66" s="1078"/>
      <c r="Q66" s="1078"/>
      <c r="R66" s="1554"/>
      <c r="S66" s="1078"/>
      <c r="T66" s="1078"/>
      <c r="U66" s="480"/>
      <c r="V66" s="1078"/>
      <c r="W66" s="1078"/>
      <c r="X66" s="1078"/>
      <c r="Y66" s="1078"/>
      <c r="Z66" s="1078"/>
      <c r="AA66" s="1550"/>
      <c r="AB66" s="502"/>
      <c r="AC66" s="502"/>
      <c r="AD66" s="502"/>
      <c r="AE66" s="502"/>
      <c r="AF66" s="1559">
        <v>11</v>
      </c>
    </row>
    <row r="67" spans="1:32" s="2431" customFormat="1" ht="11.45" customHeight="1">
      <c r="A67" s="911"/>
      <c r="B67" s="1554"/>
      <c r="C67" s="1554"/>
      <c r="D67" s="287"/>
      <c r="K67" s="1078"/>
      <c r="L67" s="1554"/>
      <c r="M67" s="1554"/>
      <c r="N67" s="1078"/>
      <c r="O67" s="1078"/>
      <c r="P67" s="1078"/>
      <c r="Q67" s="1078"/>
      <c r="R67" s="1554"/>
      <c r="S67" s="1078"/>
      <c r="T67" s="1078"/>
      <c r="U67" s="480"/>
      <c r="V67" s="1078"/>
      <c r="W67" s="1078"/>
      <c r="X67" s="1078"/>
      <c r="Y67" s="1078"/>
      <c r="Z67" s="1078"/>
      <c r="AA67" s="1550"/>
      <c r="AB67" s="502"/>
      <c r="AC67" s="502"/>
      <c r="AD67" s="502"/>
      <c r="AE67" s="502"/>
      <c r="AF67" s="1559">
        <v>11</v>
      </c>
    </row>
    <row r="68" spans="1:32" s="2431" customFormat="1" ht="11.45" customHeight="1">
      <c r="A68" s="911"/>
      <c r="B68" s="1554"/>
      <c r="C68" s="1554"/>
      <c r="D68" s="287"/>
      <c r="K68" s="1078"/>
      <c r="L68" s="1554"/>
      <c r="M68" s="1554"/>
      <c r="N68" s="1078"/>
      <c r="O68" s="1078"/>
      <c r="P68" s="1078"/>
      <c r="Q68" s="1078"/>
      <c r="R68" s="1554"/>
      <c r="S68" s="1078"/>
      <c r="T68" s="1078"/>
      <c r="U68" s="480"/>
      <c r="V68" s="1078"/>
      <c r="W68" s="1078"/>
      <c r="X68" s="1078"/>
      <c r="Y68" s="1078"/>
      <c r="Z68" s="1078"/>
      <c r="AA68" s="1550"/>
      <c r="AB68" s="502"/>
      <c r="AC68" s="502"/>
      <c r="AD68" s="502"/>
      <c r="AE68" s="502"/>
      <c r="AF68" s="1559">
        <v>11</v>
      </c>
    </row>
    <row r="69" spans="1:32" s="2431" customFormat="1" ht="11.45" customHeight="1">
      <c r="A69" s="911"/>
      <c r="B69" s="1554"/>
      <c r="C69" s="1554"/>
      <c r="D69" s="287"/>
      <c r="K69" s="1078"/>
      <c r="L69" s="1554"/>
      <c r="M69" s="1554"/>
      <c r="N69" s="1078"/>
      <c r="O69" s="1078"/>
      <c r="P69" s="1078"/>
      <c r="Q69" s="1078"/>
      <c r="R69" s="1554"/>
      <c r="S69" s="1078"/>
      <c r="T69" s="1078"/>
      <c r="U69" s="480"/>
      <c r="V69" s="1078"/>
      <c r="W69" s="1078"/>
      <c r="X69" s="1078"/>
      <c r="Y69" s="1078"/>
      <c r="Z69" s="1078"/>
      <c r="AA69" s="1550"/>
      <c r="AB69" s="502"/>
      <c r="AC69" s="502"/>
      <c r="AD69" s="502"/>
      <c r="AE69" s="502"/>
      <c r="AF69" s="1559">
        <v>11</v>
      </c>
    </row>
    <row r="70" spans="1:32" s="2431" customFormat="1" ht="11.45" customHeight="1">
      <c r="A70" s="911"/>
      <c r="B70" s="1554"/>
      <c r="C70" s="1554"/>
      <c r="D70" s="287"/>
      <c r="K70" s="1078"/>
      <c r="L70" s="1554"/>
      <c r="M70" s="1554"/>
      <c r="N70" s="1078"/>
      <c r="O70" s="1078"/>
      <c r="P70" s="1078"/>
      <c r="Q70" s="1078"/>
      <c r="R70" s="1554"/>
      <c r="S70" s="1078"/>
      <c r="T70" s="1078"/>
      <c r="U70" s="480"/>
      <c r="V70" s="1078"/>
      <c r="W70" s="1078"/>
      <c r="X70" s="1078"/>
      <c r="Y70" s="1078"/>
      <c r="Z70" s="1078"/>
      <c r="AA70" s="1550"/>
      <c r="AB70" s="502"/>
      <c r="AC70" s="502"/>
      <c r="AD70" s="502"/>
      <c r="AE70" s="502"/>
      <c r="AF70" s="1559">
        <v>11</v>
      </c>
    </row>
    <row r="71" spans="1:32" s="2431" customFormat="1" ht="11.45" customHeight="1">
      <c r="A71" s="911"/>
      <c r="B71" s="1554"/>
      <c r="C71" s="1554"/>
      <c r="D71" s="287"/>
      <c r="K71" s="1078"/>
      <c r="L71" s="1554"/>
      <c r="M71" s="1554"/>
      <c r="N71" s="1078"/>
      <c r="O71" s="1078"/>
      <c r="P71" s="1078"/>
      <c r="Q71" s="1078"/>
      <c r="R71" s="1554"/>
      <c r="S71" s="1078"/>
      <c r="T71" s="1078"/>
      <c r="U71" s="480"/>
      <c r="V71" s="1078"/>
      <c r="W71" s="1078"/>
      <c r="X71" s="1078"/>
      <c r="Y71" s="1078"/>
      <c r="Z71" s="1078"/>
      <c r="AA71" s="1550"/>
      <c r="AB71" s="502"/>
      <c r="AC71" s="502"/>
      <c r="AD71" s="502"/>
      <c r="AE71" s="502"/>
      <c r="AF71" s="1559">
        <v>11</v>
      </c>
    </row>
    <row r="72" spans="1:32" s="2431" customFormat="1" ht="11.45" customHeight="1">
      <c r="A72" s="911"/>
      <c r="B72" s="1554"/>
      <c r="C72" s="1554"/>
      <c r="D72" s="287"/>
      <c r="K72" s="1078"/>
      <c r="L72" s="1554"/>
      <c r="M72" s="1554"/>
      <c r="N72" s="1078"/>
      <c r="O72" s="1078"/>
      <c r="P72" s="1078"/>
      <c r="Q72" s="1078"/>
      <c r="R72" s="1554"/>
      <c r="S72" s="1078"/>
      <c r="T72" s="1078"/>
      <c r="U72" s="480"/>
      <c r="V72" s="1078"/>
      <c r="W72" s="1078"/>
      <c r="X72" s="1078"/>
      <c r="Y72" s="1078"/>
      <c r="Z72" s="1078"/>
      <c r="AA72" s="1550"/>
      <c r="AB72" s="502"/>
      <c r="AC72" s="502"/>
      <c r="AD72" s="502"/>
      <c r="AE72" s="502"/>
      <c r="AF72" s="1559">
        <v>11</v>
      </c>
    </row>
    <row r="73" spans="1:32" s="2431" customFormat="1" ht="11.45" customHeight="1">
      <c r="A73" s="911"/>
      <c r="B73" s="1554"/>
      <c r="C73" s="1554"/>
      <c r="D73" s="287"/>
      <c r="K73" s="1078"/>
      <c r="L73" s="1554"/>
      <c r="M73" s="1554"/>
      <c r="N73" s="1078"/>
      <c r="O73" s="1078"/>
      <c r="P73" s="1078"/>
      <c r="Q73" s="1078"/>
      <c r="R73" s="1554"/>
      <c r="S73" s="1078"/>
      <c r="T73" s="1078"/>
      <c r="U73" s="480"/>
      <c r="V73" s="1078"/>
      <c r="W73" s="1078"/>
      <c r="X73" s="1078"/>
      <c r="Y73" s="1078"/>
      <c r="Z73" s="1078"/>
      <c r="AA73" s="1550"/>
      <c r="AB73" s="502"/>
      <c r="AC73" s="502"/>
      <c r="AD73" s="502"/>
      <c r="AE73" s="502"/>
      <c r="AF73" s="1559">
        <v>11</v>
      </c>
    </row>
    <row r="74" spans="1:32" s="2431" customFormat="1" ht="11.45" customHeight="1">
      <c r="A74" s="911"/>
      <c r="B74" s="1554"/>
      <c r="C74" s="1554"/>
      <c r="D74" s="287"/>
      <c r="K74" s="1078"/>
      <c r="L74" s="1554"/>
      <c r="M74" s="1554"/>
      <c r="N74" s="1078"/>
      <c r="O74" s="1078"/>
      <c r="P74" s="1078"/>
      <c r="Q74" s="1078"/>
      <c r="R74" s="1554"/>
      <c r="S74" s="1078"/>
      <c r="T74" s="1078"/>
      <c r="U74" s="480"/>
      <c r="V74" s="1078"/>
      <c r="W74" s="1078"/>
      <c r="X74" s="1078"/>
      <c r="Y74" s="1078"/>
      <c r="Z74" s="1078"/>
      <c r="AA74" s="1550"/>
      <c r="AB74" s="502"/>
      <c r="AC74" s="502"/>
      <c r="AD74" s="502"/>
      <c r="AE74" s="502"/>
      <c r="AF74" s="1559">
        <v>11</v>
      </c>
    </row>
    <row r="75" spans="1:32" s="2431" customFormat="1" ht="11.45" customHeight="1">
      <c r="A75" s="911"/>
      <c r="B75" s="1554"/>
      <c r="C75" s="1554"/>
      <c r="D75" s="287"/>
      <c r="K75" s="1078"/>
      <c r="L75" s="1554"/>
      <c r="M75" s="1554"/>
      <c r="N75" s="1078"/>
      <c r="O75" s="1078"/>
      <c r="P75" s="1078"/>
      <c r="Q75" s="1078"/>
      <c r="R75" s="1554"/>
      <c r="S75" s="1078"/>
      <c r="T75" s="1078"/>
      <c r="U75" s="480"/>
      <c r="V75" s="1078"/>
      <c r="W75" s="1078"/>
      <c r="X75" s="1078"/>
      <c r="Y75" s="1078"/>
      <c r="Z75" s="1078"/>
      <c r="AA75" s="1550"/>
      <c r="AB75" s="502"/>
      <c r="AC75" s="502"/>
      <c r="AD75" s="502"/>
      <c r="AE75" s="502"/>
      <c r="AF75" s="1559">
        <v>11</v>
      </c>
    </row>
    <row r="76" spans="1:32" s="2431" customFormat="1" ht="11.45" customHeight="1">
      <c r="A76" s="911"/>
      <c r="B76" s="1554"/>
      <c r="C76" s="1554"/>
      <c r="D76" s="287"/>
      <c r="K76" s="1078"/>
      <c r="L76" s="1554"/>
      <c r="M76" s="1554"/>
      <c r="N76" s="1078"/>
      <c r="O76" s="1078"/>
      <c r="P76" s="1078"/>
      <c r="Q76" s="1078"/>
      <c r="R76" s="1554"/>
      <c r="S76" s="1078"/>
      <c r="T76" s="1078"/>
      <c r="U76" s="480"/>
      <c r="V76" s="1078"/>
      <c r="W76" s="1078"/>
      <c r="X76" s="1078"/>
      <c r="Y76" s="1078"/>
      <c r="Z76" s="1078"/>
      <c r="AA76" s="1550"/>
      <c r="AB76" s="502"/>
      <c r="AC76" s="502"/>
      <c r="AD76" s="502"/>
      <c r="AE76" s="502"/>
      <c r="AF76" s="1559">
        <v>11</v>
      </c>
    </row>
    <row r="77" spans="1:32" s="2431" customFormat="1" ht="11.45" customHeight="1">
      <c r="A77" s="911"/>
      <c r="B77" s="1554"/>
      <c r="C77" s="1554"/>
      <c r="D77" s="287"/>
      <c r="K77" s="1078"/>
      <c r="L77" s="1554"/>
      <c r="M77" s="1554"/>
      <c r="N77" s="1078"/>
      <c r="O77" s="1078"/>
      <c r="P77" s="1078"/>
      <c r="Q77" s="1078"/>
      <c r="R77" s="1554"/>
      <c r="S77" s="1078"/>
      <c r="T77" s="1078"/>
      <c r="U77" s="480"/>
      <c r="V77" s="1078"/>
      <c r="W77" s="1078"/>
      <c r="X77" s="1078"/>
      <c r="Y77" s="1078"/>
      <c r="Z77" s="1078"/>
      <c r="AA77" s="1550"/>
      <c r="AB77" s="502"/>
      <c r="AC77" s="502"/>
      <c r="AD77" s="502"/>
      <c r="AE77" s="502"/>
      <c r="AF77" s="1559">
        <v>11</v>
      </c>
    </row>
    <row r="78" spans="1:32" s="2431" customFormat="1" ht="11.45" customHeight="1">
      <c r="A78" s="911"/>
      <c r="B78" s="1554"/>
      <c r="C78" s="1554"/>
      <c r="D78" s="287"/>
      <c r="K78" s="1078"/>
      <c r="L78" s="1554"/>
      <c r="M78" s="1554"/>
      <c r="N78" s="1078"/>
      <c r="O78" s="1078"/>
      <c r="P78" s="1078"/>
      <c r="Q78" s="1078"/>
      <c r="R78" s="1554"/>
      <c r="S78" s="1078"/>
      <c r="T78" s="1078"/>
      <c r="U78" s="480"/>
      <c r="V78" s="1078"/>
      <c r="W78" s="1078"/>
      <c r="X78" s="1078"/>
      <c r="Y78" s="1078"/>
      <c r="Z78" s="1078"/>
      <c r="AA78" s="1550"/>
      <c r="AB78" s="502"/>
      <c r="AC78" s="502"/>
      <c r="AD78" s="502"/>
      <c r="AE78" s="502"/>
      <c r="AF78" s="1559">
        <v>11</v>
      </c>
    </row>
    <row r="79" spans="1:32" s="2431" customFormat="1" ht="11.45" customHeight="1">
      <c r="A79" s="911"/>
      <c r="B79" s="1554"/>
      <c r="C79" s="1554"/>
      <c r="D79" s="287"/>
      <c r="K79" s="1078"/>
      <c r="L79" s="1554"/>
      <c r="M79" s="1554"/>
      <c r="N79" s="1078"/>
      <c r="O79" s="1078"/>
      <c r="P79" s="1078"/>
      <c r="Q79" s="1078"/>
      <c r="R79" s="1554"/>
      <c r="S79" s="1078"/>
      <c r="T79" s="1078"/>
      <c r="U79" s="480"/>
      <c r="V79" s="1078"/>
      <c r="W79" s="1078"/>
      <c r="X79" s="1078"/>
      <c r="Y79" s="1078"/>
      <c r="Z79" s="1078"/>
      <c r="AA79" s="1550"/>
      <c r="AB79" s="502"/>
      <c r="AC79" s="502"/>
      <c r="AD79" s="502"/>
      <c r="AE79" s="502"/>
      <c r="AF79" s="1559">
        <v>11</v>
      </c>
    </row>
    <row r="80" spans="1:32" s="2431" customFormat="1" ht="11.45" customHeight="1">
      <c r="A80" s="911"/>
      <c r="B80" s="1554"/>
      <c r="C80" s="1554"/>
      <c r="D80" s="287"/>
      <c r="K80" s="1078"/>
      <c r="L80" s="1554"/>
      <c r="M80" s="1554"/>
      <c r="N80" s="1078"/>
      <c r="O80" s="1078"/>
      <c r="P80" s="1078"/>
      <c r="Q80" s="1078"/>
      <c r="R80" s="1554"/>
      <c r="S80" s="1078"/>
      <c r="T80" s="1078"/>
      <c r="U80" s="480"/>
      <c r="V80" s="1078"/>
      <c r="W80" s="1078"/>
      <c r="X80" s="1078"/>
      <c r="Y80" s="1078"/>
      <c r="Z80" s="1078"/>
      <c r="AA80" s="1550"/>
      <c r="AB80" s="502"/>
      <c r="AC80" s="502"/>
      <c r="AD80" s="502"/>
      <c r="AE80" s="502"/>
      <c r="AF80" s="1559">
        <v>11</v>
      </c>
    </row>
    <row r="81" spans="1:32" s="2431" customFormat="1" ht="11.45" customHeight="1">
      <c r="A81" s="911"/>
      <c r="B81" s="1554"/>
      <c r="C81" s="1554"/>
      <c r="D81" s="287"/>
      <c r="K81" s="1078"/>
      <c r="L81" s="1554"/>
      <c r="M81" s="1554"/>
      <c r="N81" s="1078"/>
      <c r="O81" s="1078"/>
      <c r="P81" s="1078"/>
      <c r="Q81" s="1078"/>
      <c r="R81" s="1554"/>
      <c r="S81" s="1078"/>
      <c r="T81" s="1078"/>
      <c r="U81" s="480"/>
      <c r="V81" s="1078"/>
      <c r="W81" s="1078"/>
      <c r="X81" s="1078"/>
      <c r="Y81" s="1078"/>
      <c r="Z81" s="1078"/>
      <c r="AA81" s="1550"/>
      <c r="AB81" s="502"/>
      <c r="AC81" s="502"/>
      <c r="AD81" s="502"/>
      <c r="AE81" s="502"/>
      <c r="AF81" s="1559">
        <v>11</v>
      </c>
    </row>
    <row r="82" spans="1:32" s="2431" customFormat="1" ht="11.45" customHeight="1">
      <c r="A82" s="911"/>
      <c r="B82" s="1554"/>
      <c r="C82" s="1554"/>
      <c r="D82" s="287"/>
      <c r="K82" s="1078"/>
      <c r="L82" s="1554"/>
      <c r="M82" s="1554"/>
      <c r="N82" s="1078"/>
      <c r="O82" s="1078"/>
      <c r="P82" s="1078"/>
      <c r="Q82" s="1078"/>
      <c r="R82" s="1554"/>
      <c r="S82" s="1078"/>
      <c r="T82" s="1078"/>
      <c r="U82" s="480"/>
      <c r="V82" s="1078"/>
      <c r="W82" s="1078"/>
      <c r="X82" s="1078"/>
      <c r="Y82" s="1078"/>
      <c r="Z82" s="1078"/>
      <c r="AA82" s="1550"/>
      <c r="AB82" s="502"/>
      <c r="AC82" s="502"/>
      <c r="AD82" s="502"/>
      <c r="AE82" s="502"/>
      <c r="AF82" s="1559">
        <v>11</v>
      </c>
    </row>
    <row r="83" spans="1:32" s="2431" customFormat="1" ht="11.45" customHeight="1">
      <c r="A83" s="911"/>
      <c r="B83" s="1554"/>
      <c r="C83" s="1554"/>
      <c r="D83" s="287"/>
      <c r="K83" s="1078"/>
      <c r="L83" s="1554"/>
      <c r="M83" s="1554"/>
      <c r="N83" s="1078"/>
      <c r="O83" s="1078"/>
      <c r="P83" s="1078"/>
      <c r="Q83" s="1078"/>
      <c r="R83" s="1554"/>
      <c r="S83" s="1078"/>
      <c r="T83" s="1078"/>
      <c r="U83" s="480"/>
      <c r="V83" s="1078"/>
      <c r="W83" s="1078"/>
      <c r="X83" s="1078"/>
      <c r="Y83" s="1078"/>
      <c r="Z83" s="1078"/>
      <c r="AA83" s="1550"/>
      <c r="AB83" s="502"/>
      <c r="AC83" s="502"/>
      <c r="AD83" s="502"/>
      <c r="AE83" s="502"/>
      <c r="AF83" s="1559">
        <v>11</v>
      </c>
    </row>
    <row r="84" spans="1:32" s="2431" customFormat="1" ht="11.45" customHeight="1">
      <c r="A84" s="911"/>
      <c r="B84" s="1554"/>
      <c r="C84" s="1554"/>
      <c r="D84" s="287"/>
      <c r="K84" s="1078"/>
      <c r="L84" s="1554"/>
      <c r="M84" s="1554"/>
      <c r="N84" s="1078"/>
      <c r="O84" s="1078"/>
      <c r="P84" s="1078"/>
      <c r="Q84" s="1078"/>
      <c r="R84" s="1554"/>
      <c r="S84" s="1078"/>
      <c r="T84" s="1078"/>
      <c r="U84" s="480"/>
      <c r="V84" s="1078"/>
      <c r="W84" s="1078"/>
      <c r="X84" s="1078"/>
      <c r="Y84" s="1078"/>
      <c r="Z84" s="1078"/>
      <c r="AA84" s="1550"/>
      <c r="AB84" s="502"/>
      <c r="AC84" s="502"/>
      <c r="AD84" s="502"/>
      <c r="AE84" s="502"/>
      <c r="AF84" s="1559">
        <v>11</v>
      </c>
    </row>
    <row r="85" spans="1:32" s="2431" customFormat="1" ht="11.45" customHeight="1">
      <c r="A85" s="911"/>
      <c r="B85" s="1554"/>
      <c r="C85" s="1554"/>
      <c r="D85" s="287"/>
      <c r="K85" s="1078"/>
      <c r="L85" s="1554"/>
      <c r="M85" s="1554"/>
      <c r="N85" s="1078"/>
      <c r="O85" s="1078"/>
      <c r="P85" s="1078"/>
      <c r="Q85" s="1078"/>
      <c r="R85" s="1554"/>
      <c r="S85" s="1078"/>
      <c r="T85" s="1078"/>
      <c r="U85" s="480"/>
      <c r="V85" s="1078"/>
      <c r="W85" s="1078"/>
      <c r="X85" s="1078"/>
      <c r="Y85" s="1078"/>
      <c r="Z85" s="1078"/>
      <c r="AA85" s="1550"/>
      <c r="AB85" s="502"/>
      <c r="AC85" s="502"/>
      <c r="AD85" s="502"/>
      <c r="AE85" s="502"/>
      <c r="AF85" s="1559">
        <v>11</v>
      </c>
    </row>
    <row r="86" spans="1:32" s="2431" customFormat="1" ht="11.45" customHeight="1">
      <c r="A86" s="911"/>
      <c r="B86" s="1554"/>
      <c r="C86" s="1554"/>
      <c r="D86" s="287"/>
      <c r="K86" s="1078"/>
      <c r="L86" s="1554"/>
      <c r="M86" s="1554"/>
      <c r="N86" s="1078"/>
      <c r="O86" s="1078"/>
      <c r="P86" s="1078"/>
      <c r="Q86" s="1078"/>
      <c r="R86" s="1554"/>
      <c r="S86" s="1078"/>
      <c r="T86" s="1078"/>
      <c r="U86" s="480"/>
      <c r="V86" s="1078"/>
      <c r="W86" s="1078"/>
      <c r="X86" s="1078"/>
      <c r="Y86" s="1078"/>
      <c r="Z86" s="1078"/>
      <c r="AA86" s="1550"/>
      <c r="AB86" s="502"/>
      <c r="AC86" s="502"/>
      <c r="AD86" s="502"/>
      <c r="AE86" s="502"/>
      <c r="AF86" s="1559">
        <v>11</v>
      </c>
    </row>
    <row r="87" spans="1:32" s="2431" customFormat="1" ht="11.45" customHeight="1">
      <c r="A87" s="911"/>
      <c r="B87" s="1554"/>
      <c r="C87" s="1554"/>
      <c r="D87" s="287"/>
      <c r="K87" s="1078"/>
      <c r="L87" s="1554"/>
      <c r="M87" s="1554"/>
      <c r="N87" s="1078"/>
      <c r="O87" s="1078"/>
      <c r="P87" s="1078"/>
      <c r="Q87" s="1078"/>
      <c r="R87" s="1554"/>
      <c r="S87" s="1078"/>
      <c r="T87" s="1078"/>
      <c r="U87" s="480"/>
      <c r="V87" s="1078"/>
      <c r="W87" s="1078"/>
      <c r="X87" s="1078"/>
      <c r="Y87" s="1078"/>
      <c r="Z87" s="1078"/>
      <c r="AA87" s="1550"/>
      <c r="AB87" s="502"/>
      <c r="AC87" s="502"/>
      <c r="AD87" s="502"/>
      <c r="AE87" s="502"/>
      <c r="AF87" s="1559">
        <v>11</v>
      </c>
    </row>
    <row r="88" spans="1:32" s="2431" customFormat="1" ht="11.45" customHeight="1">
      <c r="A88" s="911"/>
      <c r="B88" s="1554"/>
      <c r="C88" s="1554"/>
      <c r="D88" s="287"/>
      <c r="K88" s="1078"/>
      <c r="L88" s="1554"/>
      <c r="M88" s="1554"/>
      <c r="N88" s="1078"/>
      <c r="O88" s="1078"/>
      <c r="P88" s="1078"/>
      <c r="Q88" s="1078"/>
      <c r="R88" s="1554"/>
      <c r="S88" s="1078"/>
      <c r="T88" s="1078"/>
      <c r="U88" s="480"/>
      <c r="V88" s="1078"/>
      <c r="W88" s="1078"/>
      <c r="X88" s="1078"/>
      <c r="Y88" s="1078"/>
      <c r="Z88" s="1078"/>
      <c r="AA88" s="1550"/>
      <c r="AB88" s="502"/>
      <c r="AC88" s="502"/>
      <c r="AD88" s="502"/>
      <c r="AE88" s="502"/>
      <c r="AF88" s="1559">
        <v>11</v>
      </c>
    </row>
    <row r="89" spans="1:32" s="2431" customFormat="1" ht="11.45" customHeight="1">
      <c r="A89" s="911"/>
      <c r="B89" s="1554"/>
      <c r="C89" s="1554"/>
      <c r="D89" s="287"/>
      <c r="K89" s="1078"/>
      <c r="L89" s="1554"/>
      <c r="M89" s="1554"/>
      <c r="N89" s="1078"/>
      <c r="O89" s="1078"/>
      <c r="P89" s="1078"/>
      <c r="Q89" s="1078"/>
      <c r="R89" s="1554"/>
      <c r="S89" s="1078"/>
      <c r="T89" s="1078"/>
      <c r="U89" s="480"/>
      <c r="V89" s="1078"/>
      <c r="W89" s="1078"/>
      <c r="X89" s="1078"/>
      <c r="Y89" s="1078"/>
      <c r="Z89" s="1078"/>
      <c r="AA89" s="1550"/>
      <c r="AB89" s="502"/>
      <c r="AC89" s="502"/>
      <c r="AD89" s="502"/>
      <c r="AE89" s="502"/>
      <c r="AF89" s="1559">
        <v>11</v>
      </c>
    </row>
    <row r="90" spans="1:32" s="2431" customFormat="1" ht="11.45" customHeight="1">
      <c r="A90" s="911"/>
      <c r="B90" s="1554"/>
      <c r="C90" s="1554"/>
      <c r="D90" s="287"/>
      <c r="K90" s="1078"/>
      <c r="L90" s="1554"/>
      <c r="M90" s="1554"/>
      <c r="N90" s="1078"/>
      <c r="O90" s="1078"/>
      <c r="P90" s="1078"/>
      <c r="Q90" s="1078"/>
      <c r="R90" s="1554"/>
      <c r="S90" s="1078"/>
      <c r="T90" s="1078"/>
      <c r="U90" s="480"/>
      <c r="V90" s="1078"/>
      <c r="W90" s="1078"/>
      <c r="X90" s="1078"/>
      <c r="Y90" s="1078"/>
      <c r="Z90" s="1078"/>
      <c r="AA90" s="1550"/>
      <c r="AB90" s="502"/>
      <c r="AC90" s="502"/>
      <c r="AD90" s="502"/>
      <c r="AE90" s="502"/>
      <c r="AF90" s="1559">
        <v>11</v>
      </c>
    </row>
    <row r="91" spans="1:32" s="2431" customFormat="1" ht="11.45" customHeight="1">
      <c r="A91" s="911"/>
      <c r="B91" s="1554"/>
      <c r="C91" s="1554"/>
      <c r="D91" s="287"/>
      <c r="K91" s="1078"/>
      <c r="L91" s="1554"/>
      <c r="M91" s="1554"/>
      <c r="N91" s="1078"/>
      <c r="O91" s="1078"/>
      <c r="P91" s="1078"/>
      <c r="Q91" s="1078"/>
      <c r="R91" s="1554"/>
      <c r="S91" s="1078"/>
      <c r="T91" s="1078"/>
      <c r="U91" s="480"/>
      <c r="V91" s="1078"/>
      <c r="W91" s="1078"/>
      <c r="X91" s="1078"/>
      <c r="Y91" s="1078"/>
      <c r="Z91" s="1078"/>
      <c r="AA91" s="1550"/>
      <c r="AB91" s="502"/>
      <c r="AC91" s="502"/>
      <c r="AD91" s="502"/>
      <c r="AE91" s="502"/>
      <c r="AF91" s="1559">
        <v>11</v>
      </c>
    </row>
    <row r="92" spans="1:32" s="2431" customFormat="1" ht="11.45" customHeight="1">
      <c r="A92" s="911"/>
      <c r="B92" s="1554"/>
      <c r="C92" s="1554"/>
      <c r="D92" s="287"/>
      <c r="K92" s="1078"/>
      <c r="L92" s="1554"/>
      <c r="M92" s="1554"/>
      <c r="N92" s="1078"/>
      <c r="O92" s="1078"/>
      <c r="P92" s="1078"/>
      <c r="Q92" s="1078"/>
      <c r="R92" s="1554"/>
      <c r="S92" s="1078"/>
      <c r="T92" s="1078"/>
      <c r="U92" s="480"/>
      <c r="V92" s="1078"/>
      <c r="W92" s="1078"/>
      <c r="X92" s="1078"/>
      <c r="Y92" s="1078"/>
      <c r="Z92" s="1078"/>
      <c r="AA92" s="1550"/>
      <c r="AB92" s="502"/>
      <c r="AC92" s="502"/>
      <c r="AD92" s="502"/>
      <c r="AE92" s="502"/>
      <c r="AF92" s="1559">
        <v>11</v>
      </c>
    </row>
    <row r="93" spans="1:32" s="2431" customFormat="1" ht="11.45" customHeight="1">
      <c r="A93" s="911"/>
      <c r="B93" s="1554"/>
      <c r="C93" s="1554"/>
      <c r="D93" s="287"/>
      <c r="K93" s="1078"/>
      <c r="L93" s="1554"/>
      <c r="M93" s="1554"/>
      <c r="N93" s="1078"/>
      <c r="O93" s="1078"/>
      <c r="P93" s="1078"/>
      <c r="Q93" s="1078"/>
      <c r="R93" s="1554"/>
      <c r="S93" s="1078"/>
      <c r="T93" s="1078"/>
      <c r="U93" s="480"/>
      <c r="V93" s="1078"/>
      <c r="W93" s="1078"/>
      <c r="X93" s="1078"/>
      <c r="Y93" s="1078"/>
      <c r="Z93" s="1078"/>
      <c r="AA93" s="1550"/>
      <c r="AB93" s="502"/>
      <c r="AC93" s="502"/>
      <c r="AD93" s="502"/>
      <c r="AE93" s="502"/>
      <c r="AF93" s="1559">
        <v>11</v>
      </c>
    </row>
    <row r="94" spans="1:32" s="2431" customFormat="1" ht="11.45" customHeight="1">
      <c r="A94" s="911"/>
      <c r="B94" s="1554"/>
      <c r="C94" s="1554"/>
      <c r="D94" s="287"/>
      <c r="K94" s="1078"/>
      <c r="L94" s="1554"/>
      <c r="M94" s="1554"/>
      <c r="N94" s="1078"/>
      <c r="O94" s="1078"/>
      <c r="P94" s="1078"/>
      <c r="Q94" s="1078"/>
      <c r="R94" s="1554"/>
      <c r="S94" s="1078"/>
      <c r="T94" s="1078"/>
      <c r="U94" s="480"/>
      <c r="V94" s="1078"/>
      <c r="W94" s="1078"/>
      <c r="X94" s="1078"/>
      <c r="Y94" s="1078"/>
      <c r="Z94" s="1078"/>
      <c r="AA94" s="1550"/>
      <c r="AB94" s="502"/>
      <c r="AC94" s="502"/>
      <c r="AD94" s="502"/>
      <c r="AE94" s="502"/>
      <c r="AF94" s="1559">
        <v>11</v>
      </c>
    </row>
    <row r="95" spans="1:32" s="2431" customFormat="1" ht="11.45" customHeight="1">
      <c r="A95" s="911"/>
      <c r="B95" s="1554"/>
      <c r="C95" s="1554"/>
      <c r="D95" s="287"/>
      <c r="K95" s="1078"/>
      <c r="L95" s="1554"/>
      <c r="M95" s="1554"/>
      <c r="N95" s="1078"/>
      <c r="O95" s="1078"/>
      <c r="P95" s="1078"/>
      <c r="Q95" s="1078"/>
      <c r="R95" s="1554"/>
      <c r="S95" s="1078"/>
      <c r="T95" s="1078"/>
      <c r="U95" s="480"/>
      <c r="V95" s="1078"/>
      <c r="W95" s="1078"/>
      <c r="X95" s="1078"/>
      <c r="Y95" s="1078"/>
      <c r="Z95" s="1078"/>
      <c r="AA95" s="1550"/>
      <c r="AB95" s="502"/>
      <c r="AC95" s="502"/>
      <c r="AD95" s="502"/>
      <c r="AE95" s="502"/>
      <c r="AF95" s="1559">
        <v>11</v>
      </c>
    </row>
    <row r="96" spans="1:32" s="2431" customFormat="1" ht="11.45" customHeight="1">
      <c r="A96" s="911"/>
      <c r="B96" s="1554"/>
      <c r="C96" s="1554"/>
      <c r="D96" s="287"/>
      <c r="K96" s="1078"/>
      <c r="L96" s="1554"/>
      <c r="M96" s="1554"/>
      <c r="N96" s="1078"/>
      <c r="O96" s="1078"/>
      <c r="P96" s="1078"/>
      <c r="Q96" s="1078"/>
      <c r="R96" s="1554"/>
      <c r="S96" s="1078"/>
      <c r="T96" s="1078"/>
      <c r="U96" s="480"/>
      <c r="V96" s="1078"/>
      <c r="W96" s="1078"/>
      <c r="X96" s="1078"/>
      <c r="Y96" s="1078"/>
      <c r="Z96" s="1078"/>
      <c r="AA96" s="1550"/>
      <c r="AB96" s="502"/>
      <c r="AC96" s="502"/>
      <c r="AD96" s="502"/>
      <c r="AE96" s="502"/>
      <c r="AF96" s="1559">
        <v>11</v>
      </c>
    </row>
    <row r="97" spans="1:32" s="2431" customFormat="1" ht="11.45" customHeight="1">
      <c r="A97" s="911"/>
      <c r="B97" s="1554"/>
      <c r="C97" s="1554"/>
      <c r="D97" s="287"/>
      <c r="K97" s="1078"/>
      <c r="L97" s="1554"/>
      <c r="M97" s="1554"/>
      <c r="N97" s="1078"/>
      <c r="O97" s="1078"/>
      <c r="P97" s="1078"/>
      <c r="Q97" s="1078"/>
      <c r="R97" s="1554"/>
      <c r="S97" s="1078"/>
      <c r="T97" s="1078"/>
      <c r="U97" s="480"/>
      <c r="V97" s="1078"/>
      <c r="W97" s="1078"/>
      <c r="X97" s="1078"/>
      <c r="Y97" s="1078"/>
      <c r="Z97" s="1078"/>
      <c r="AA97" s="1550"/>
      <c r="AB97" s="502"/>
      <c r="AC97" s="502"/>
      <c r="AD97" s="502"/>
      <c r="AE97" s="502"/>
      <c r="AF97" s="1559">
        <v>11</v>
      </c>
    </row>
    <row r="98" spans="1:32" s="2431" customFormat="1" ht="11.45" customHeight="1">
      <c r="A98" s="911"/>
      <c r="B98" s="1554"/>
      <c r="C98" s="1554"/>
      <c r="D98" s="287"/>
      <c r="K98" s="1078"/>
      <c r="L98" s="1554"/>
      <c r="M98" s="1554"/>
      <c r="N98" s="1078"/>
      <c r="O98" s="1078"/>
      <c r="P98" s="1078"/>
      <c r="Q98" s="1078"/>
      <c r="R98" s="1554"/>
      <c r="S98" s="1078"/>
      <c r="T98" s="1078"/>
      <c r="U98" s="480"/>
      <c r="V98" s="1078"/>
      <c r="W98" s="1078"/>
      <c r="X98" s="1078"/>
      <c r="Y98" s="1078"/>
      <c r="Z98" s="1078"/>
      <c r="AA98" s="1550"/>
      <c r="AB98" s="502"/>
      <c r="AC98" s="502"/>
      <c r="AD98" s="502"/>
      <c r="AE98" s="502"/>
      <c r="AF98" s="1559">
        <v>11</v>
      </c>
    </row>
    <row r="99" spans="1:32" s="2431" customFormat="1" ht="11.45" customHeight="1">
      <c r="A99" s="911"/>
      <c r="B99" s="1554"/>
      <c r="C99" s="1554"/>
      <c r="D99" s="287"/>
      <c r="K99" s="1078"/>
      <c r="L99" s="1554"/>
      <c r="M99" s="1554"/>
      <c r="N99" s="1078"/>
      <c r="O99" s="1078"/>
      <c r="P99" s="1078"/>
      <c r="Q99" s="1078"/>
      <c r="R99" s="1554"/>
      <c r="S99" s="1078"/>
      <c r="T99" s="1078"/>
      <c r="U99" s="480"/>
      <c r="V99" s="1078"/>
      <c r="W99" s="1078"/>
      <c r="X99" s="1078"/>
      <c r="Y99" s="1078"/>
      <c r="Z99" s="1078"/>
      <c r="AA99" s="1550"/>
      <c r="AB99" s="502"/>
      <c r="AC99" s="502"/>
      <c r="AD99" s="502"/>
      <c r="AE99" s="502"/>
      <c r="AF99" s="1559">
        <v>11</v>
      </c>
    </row>
    <row r="100" spans="1:32" s="2431" customFormat="1" ht="11.45" customHeight="1">
      <c r="A100" s="911"/>
      <c r="B100" s="1554"/>
      <c r="C100" s="1554"/>
      <c r="D100" s="287"/>
      <c r="K100" s="1078"/>
      <c r="L100" s="1554"/>
      <c r="M100" s="1554"/>
      <c r="N100" s="1078"/>
      <c r="O100" s="1078"/>
      <c r="P100" s="1078"/>
      <c r="Q100" s="1078"/>
      <c r="R100" s="1554"/>
      <c r="S100" s="1078"/>
      <c r="T100" s="1078"/>
      <c r="U100" s="480"/>
      <c r="V100" s="1078"/>
      <c r="W100" s="1078"/>
      <c r="X100" s="1078"/>
      <c r="Y100" s="1078"/>
      <c r="Z100" s="1078"/>
      <c r="AA100" s="1550"/>
      <c r="AB100" s="502"/>
      <c r="AC100" s="502"/>
      <c r="AD100" s="502"/>
      <c r="AE100" s="502"/>
      <c r="AF100" s="1559">
        <v>11</v>
      </c>
    </row>
    <row r="101" spans="1:32" s="2431" customFormat="1" ht="11.45" customHeight="1">
      <c r="A101" s="911"/>
      <c r="B101" s="1554"/>
      <c r="C101" s="1554"/>
      <c r="D101" s="287"/>
      <c r="K101" s="1078"/>
      <c r="L101" s="1554"/>
      <c r="M101" s="1554"/>
      <c r="N101" s="1078"/>
      <c r="O101" s="1078"/>
      <c r="P101" s="1078"/>
      <c r="Q101" s="1078"/>
      <c r="R101" s="1554"/>
      <c r="S101" s="1078"/>
      <c r="T101" s="1078"/>
      <c r="U101" s="480"/>
      <c r="V101" s="1078"/>
      <c r="W101" s="1078"/>
      <c r="X101" s="1078"/>
      <c r="Y101" s="1078"/>
      <c r="Z101" s="1078"/>
      <c r="AA101" s="1550"/>
      <c r="AB101" s="502"/>
      <c r="AC101" s="502"/>
      <c r="AD101" s="502"/>
      <c r="AE101" s="502"/>
      <c r="AF101" s="1559">
        <v>11</v>
      </c>
    </row>
    <row r="102" spans="1:32" s="2431" customFormat="1" ht="11.45" customHeight="1">
      <c r="A102" s="911"/>
      <c r="B102" s="1554"/>
      <c r="C102" s="1554"/>
      <c r="D102" s="287"/>
      <c r="K102" s="1078"/>
      <c r="L102" s="1554"/>
      <c r="M102" s="1554"/>
      <c r="N102" s="1078"/>
      <c r="O102" s="1078"/>
      <c r="P102" s="1078"/>
      <c r="Q102" s="1078"/>
      <c r="R102" s="1554"/>
      <c r="S102" s="1078"/>
      <c r="T102" s="1078"/>
      <c r="U102" s="480"/>
      <c r="V102" s="1078"/>
      <c r="W102" s="1078"/>
      <c r="X102" s="1078"/>
      <c r="Y102" s="1078"/>
      <c r="Z102" s="1078"/>
      <c r="AA102" s="1550"/>
      <c r="AB102" s="502"/>
      <c r="AC102" s="502"/>
      <c r="AD102" s="502"/>
      <c r="AE102" s="502"/>
      <c r="AF102" s="1559">
        <v>11</v>
      </c>
    </row>
    <row r="103" spans="1:32" s="2431" customFormat="1" ht="11.45" customHeight="1">
      <c r="A103" s="911"/>
      <c r="B103" s="1554"/>
      <c r="C103" s="1554"/>
      <c r="D103" s="287"/>
      <c r="K103" s="1078"/>
      <c r="L103" s="1554"/>
      <c r="M103" s="1554"/>
      <c r="N103" s="1078"/>
      <c r="O103" s="1078"/>
      <c r="P103" s="1078"/>
      <c r="Q103" s="1078"/>
      <c r="R103" s="1554"/>
      <c r="S103" s="1078"/>
      <c r="T103" s="1078"/>
      <c r="U103" s="480"/>
      <c r="V103" s="1078"/>
      <c r="W103" s="1078"/>
      <c r="X103" s="1078"/>
      <c r="Y103" s="1078"/>
      <c r="Z103" s="1078"/>
      <c r="AA103" s="1550"/>
      <c r="AB103" s="502"/>
      <c r="AC103" s="502"/>
      <c r="AD103" s="502"/>
      <c r="AE103" s="502"/>
      <c r="AF103" s="1559">
        <v>11</v>
      </c>
    </row>
    <row r="104" spans="1:32" s="2431" customFormat="1" ht="11.45" customHeight="1">
      <c r="A104" s="911"/>
      <c r="B104" s="1554"/>
      <c r="C104" s="1554"/>
      <c r="D104" s="287"/>
      <c r="K104" s="1078"/>
      <c r="L104" s="1554"/>
      <c r="M104" s="1554"/>
      <c r="N104" s="1078"/>
      <c r="O104" s="1078"/>
      <c r="P104" s="1078"/>
      <c r="Q104" s="1078"/>
      <c r="R104" s="1554"/>
      <c r="S104" s="1078"/>
      <c r="T104" s="1078"/>
      <c r="U104" s="480"/>
      <c r="V104" s="1078"/>
      <c r="W104" s="1078"/>
      <c r="X104" s="1078"/>
      <c r="Y104" s="1078"/>
      <c r="Z104" s="1078"/>
      <c r="AA104" s="1550"/>
      <c r="AB104" s="502"/>
      <c r="AC104" s="502"/>
      <c r="AD104" s="502"/>
      <c r="AE104" s="502"/>
      <c r="AF104" s="1559">
        <v>11</v>
      </c>
    </row>
    <row r="105" spans="1:32" s="2431" customFormat="1" ht="11.45" customHeight="1">
      <c r="A105" s="911"/>
      <c r="B105" s="1554"/>
      <c r="C105" s="1554"/>
      <c r="D105" s="287"/>
      <c r="K105" s="1078"/>
      <c r="L105" s="1554"/>
      <c r="M105" s="1554"/>
      <c r="N105" s="1078"/>
      <c r="O105" s="1078"/>
      <c r="P105" s="1078"/>
      <c r="Q105" s="1078"/>
      <c r="R105" s="1554"/>
      <c r="S105" s="1078"/>
      <c r="T105" s="1078"/>
      <c r="U105" s="480"/>
      <c r="V105" s="1078"/>
      <c r="W105" s="1078"/>
      <c r="X105" s="1078"/>
      <c r="Y105" s="1078"/>
      <c r="Z105" s="1078"/>
      <c r="AA105" s="1550"/>
      <c r="AB105" s="502"/>
      <c r="AC105" s="502"/>
      <c r="AD105" s="502"/>
      <c r="AE105" s="502"/>
      <c r="AF105" s="1559">
        <v>11</v>
      </c>
    </row>
    <row r="106" spans="1:32" s="2431" customFormat="1" ht="11.45" customHeight="1">
      <c r="A106" s="911"/>
      <c r="B106" s="1554"/>
      <c r="C106" s="1554"/>
      <c r="D106" s="287"/>
      <c r="K106" s="1078"/>
      <c r="L106" s="1554"/>
      <c r="M106" s="1554"/>
      <c r="N106" s="1078"/>
      <c r="O106" s="1078"/>
      <c r="P106" s="1078"/>
      <c r="Q106" s="1078"/>
      <c r="R106" s="1554"/>
      <c r="S106" s="1078"/>
      <c r="T106" s="1078"/>
      <c r="U106" s="480"/>
      <c r="V106" s="1078"/>
      <c r="W106" s="1078"/>
      <c r="X106" s="1078"/>
      <c r="Y106" s="1078"/>
      <c r="Z106" s="1078"/>
      <c r="AA106" s="1550"/>
      <c r="AB106" s="502"/>
      <c r="AC106" s="502"/>
      <c r="AD106" s="502"/>
      <c r="AE106" s="502"/>
      <c r="AF106" s="1559">
        <v>11</v>
      </c>
    </row>
    <row r="107" spans="1:32" s="2431" customFormat="1" ht="11.45" customHeight="1">
      <c r="A107" s="911"/>
      <c r="B107" s="1554"/>
      <c r="C107" s="1554"/>
      <c r="D107" s="287"/>
      <c r="K107" s="1078"/>
      <c r="L107" s="1554"/>
      <c r="M107" s="1554"/>
      <c r="N107" s="1078"/>
      <c r="O107" s="1078"/>
      <c r="P107" s="1078"/>
      <c r="Q107" s="1078"/>
      <c r="R107" s="1554"/>
      <c r="S107" s="1078"/>
      <c r="T107" s="1078"/>
      <c r="U107" s="480"/>
      <c r="V107" s="1078"/>
      <c r="W107" s="1078"/>
      <c r="X107" s="1078"/>
      <c r="Y107" s="1078"/>
      <c r="Z107" s="1078"/>
      <c r="AA107" s="1550"/>
      <c r="AB107" s="502"/>
      <c r="AC107" s="502"/>
      <c r="AD107" s="502"/>
      <c r="AE107" s="502"/>
      <c r="AF107" s="1559">
        <v>11</v>
      </c>
    </row>
    <row r="108" spans="1:32" s="2431" customFormat="1" ht="11.45" customHeight="1">
      <c r="A108" s="911"/>
      <c r="B108" s="1554"/>
      <c r="C108" s="1554"/>
      <c r="D108" s="287"/>
      <c r="K108" s="1078"/>
      <c r="L108" s="1554"/>
      <c r="M108" s="1554"/>
      <c r="N108" s="1078"/>
      <c r="O108" s="1078"/>
      <c r="P108" s="1078"/>
      <c r="Q108" s="1078"/>
      <c r="R108" s="1554"/>
      <c r="S108" s="1078"/>
      <c r="T108" s="1078"/>
      <c r="U108" s="480"/>
      <c r="V108" s="1078"/>
      <c r="W108" s="1078"/>
      <c r="X108" s="1078"/>
      <c r="Y108" s="1078"/>
      <c r="Z108" s="1078"/>
      <c r="AA108" s="1550"/>
      <c r="AB108" s="502"/>
      <c r="AC108" s="502"/>
      <c r="AD108" s="502"/>
      <c r="AE108" s="502"/>
      <c r="AF108" s="1559">
        <v>11</v>
      </c>
    </row>
    <row r="109" spans="1:32" s="2431" customFormat="1" ht="11.45" customHeight="1">
      <c r="A109" s="911"/>
      <c r="B109" s="1554"/>
      <c r="C109" s="1554"/>
      <c r="D109" s="287"/>
      <c r="K109" s="1078"/>
      <c r="L109" s="1554"/>
      <c r="M109" s="1554"/>
      <c r="N109" s="1078"/>
      <c r="O109" s="1078"/>
      <c r="P109" s="1078"/>
      <c r="Q109" s="1078"/>
      <c r="R109" s="1554"/>
      <c r="S109" s="1078"/>
      <c r="T109" s="1078"/>
      <c r="U109" s="480"/>
      <c r="V109" s="1078"/>
      <c r="W109" s="1078"/>
      <c r="X109" s="1078"/>
      <c r="Y109" s="1078"/>
      <c r="Z109" s="1078"/>
      <c r="AA109" s="1550"/>
      <c r="AB109" s="502"/>
      <c r="AC109" s="502"/>
      <c r="AD109" s="502"/>
      <c r="AE109" s="502"/>
      <c r="AF109" s="1559">
        <v>11</v>
      </c>
    </row>
    <row r="110" spans="1:32" s="2431" customFormat="1" ht="11.45" customHeight="1">
      <c r="A110" s="911"/>
      <c r="B110" s="1554"/>
      <c r="C110" s="1554"/>
      <c r="D110" s="287"/>
      <c r="K110" s="1078"/>
      <c r="L110" s="1554"/>
      <c r="M110" s="1554"/>
      <c r="N110" s="1078"/>
      <c r="O110" s="1078"/>
      <c r="P110" s="1078"/>
      <c r="Q110" s="1078"/>
      <c r="R110" s="1554"/>
      <c r="S110" s="1078"/>
      <c r="T110" s="1078"/>
      <c r="U110" s="480"/>
      <c r="V110" s="1078"/>
      <c r="W110" s="1078"/>
      <c r="X110" s="1078"/>
      <c r="Y110" s="1078"/>
      <c r="Z110" s="1078"/>
      <c r="AA110" s="1550"/>
      <c r="AB110" s="502"/>
      <c r="AC110" s="502"/>
      <c r="AD110" s="502"/>
      <c r="AE110" s="502"/>
      <c r="AF110" s="1559">
        <v>11</v>
      </c>
    </row>
    <row r="111" spans="1:32" s="2431" customFormat="1" ht="11.45" customHeight="1">
      <c r="A111" s="911"/>
      <c r="B111" s="1554"/>
      <c r="C111" s="1554"/>
      <c r="D111" s="287"/>
      <c r="K111" s="1078"/>
      <c r="L111" s="1554"/>
      <c r="M111" s="1554"/>
      <c r="N111" s="1078"/>
      <c r="O111" s="1078"/>
      <c r="P111" s="1078"/>
      <c r="Q111" s="1078"/>
      <c r="R111" s="1554"/>
      <c r="S111" s="1078"/>
      <c r="T111" s="1078"/>
      <c r="U111" s="480"/>
      <c r="V111" s="1078"/>
      <c r="W111" s="1078"/>
      <c r="X111" s="1078"/>
      <c r="Y111" s="1078"/>
      <c r="Z111" s="1078"/>
      <c r="AA111" s="1550"/>
      <c r="AB111" s="502"/>
      <c r="AC111" s="502"/>
      <c r="AD111" s="502"/>
      <c r="AE111" s="502"/>
      <c r="AF111" s="1559">
        <v>11</v>
      </c>
    </row>
    <row r="112" spans="1:32" s="2431" customFormat="1" ht="11.45" customHeight="1">
      <c r="A112" s="911"/>
      <c r="B112" s="1554"/>
      <c r="C112" s="1554"/>
      <c r="D112" s="287"/>
      <c r="K112" s="1078"/>
      <c r="L112" s="1554"/>
      <c r="M112" s="1554"/>
      <c r="N112" s="1078"/>
      <c r="O112" s="1078"/>
      <c r="P112" s="1078"/>
      <c r="Q112" s="1078"/>
      <c r="R112" s="1554"/>
      <c r="S112" s="1078"/>
      <c r="T112" s="1078"/>
      <c r="U112" s="480"/>
      <c r="V112" s="1078"/>
      <c r="W112" s="1078"/>
      <c r="X112" s="1078"/>
      <c r="Y112" s="1078"/>
      <c r="Z112" s="1078"/>
      <c r="AA112" s="1550"/>
      <c r="AB112" s="502"/>
      <c r="AC112" s="502"/>
      <c r="AD112" s="502"/>
      <c r="AE112" s="502"/>
      <c r="AF112" s="1559">
        <v>11</v>
      </c>
    </row>
    <row r="113" spans="1:32" s="2431" customFormat="1" ht="11.45" customHeight="1">
      <c r="A113" s="911"/>
      <c r="B113" s="1554"/>
      <c r="C113" s="1554"/>
      <c r="D113" s="287"/>
      <c r="K113" s="1078"/>
      <c r="L113" s="1554"/>
      <c r="M113" s="1554"/>
      <c r="N113" s="1078"/>
      <c r="O113" s="1078"/>
      <c r="P113" s="1078"/>
      <c r="Q113" s="1078"/>
      <c r="R113" s="1554"/>
      <c r="S113" s="1078"/>
      <c r="T113" s="1078"/>
      <c r="U113" s="480"/>
      <c r="V113" s="1078"/>
      <c r="W113" s="1078"/>
      <c r="X113" s="1078"/>
      <c r="Y113" s="1078"/>
      <c r="Z113" s="1078"/>
      <c r="AA113" s="1550"/>
      <c r="AB113" s="502"/>
      <c r="AC113" s="502"/>
      <c r="AD113" s="502"/>
      <c r="AE113" s="502"/>
      <c r="AF113" s="1559">
        <v>11</v>
      </c>
    </row>
    <row r="114" spans="1:32" s="2431" customFormat="1" ht="11.45" customHeight="1">
      <c r="A114" s="911"/>
      <c r="B114" s="1554"/>
      <c r="C114" s="1554"/>
      <c r="D114" s="287"/>
      <c r="K114" s="1078"/>
      <c r="L114" s="1554"/>
      <c r="M114" s="1554"/>
      <c r="N114" s="1078"/>
      <c r="O114" s="1078"/>
      <c r="P114" s="1078"/>
      <c r="Q114" s="1078"/>
      <c r="R114" s="1554"/>
      <c r="S114" s="1078"/>
      <c r="T114" s="1078"/>
      <c r="U114" s="480"/>
      <c r="V114" s="1078"/>
      <c r="W114" s="1078"/>
      <c r="X114" s="1078"/>
      <c r="Y114" s="1078"/>
      <c r="Z114" s="1078"/>
      <c r="AA114" s="1550"/>
      <c r="AB114" s="502"/>
      <c r="AC114" s="502"/>
      <c r="AD114" s="502"/>
      <c r="AE114" s="502"/>
      <c r="AF114" s="1559">
        <v>11</v>
      </c>
    </row>
    <row r="115" spans="1:32" s="2431" customFormat="1" ht="11.45" customHeight="1">
      <c r="A115" s="911"/>
      <c r="B115" s="1554"/>
      <c r="C115" s="1554"/>
      <c r="D115" s="287"/>
      <c r="K115" s="1078"/>
      <c r="L115" s="1554"/>
      <c r="M115" s="1554"/>
      <c r="N115" s="1078"/>
      <c r="O115" s="1078"/>
      <c r="P115" s="1078"/>
      <c r="Q115" s="1078"/>
      <c r="R115" s="1554"/>
      <c r="S115" s="1078"/>
      <c r="T115" s="1078"/>
      <c r="U115" s="480"/>
      <c r="V115" s="1078"/>
      <c r="W115" s="1078"/>
      <c r="X115" s="1078"/>
      <c r="Y115" s="1078"/>
      <c r="Z115" s="1078"/>
      <c r="AA115" s="1550"/>
      <c r="AB115" s="502"/>
      <c r="AC115" s="502"/>
      <c r="AD115" s="502"/>
      <c r="AE115" s="502"/>
      <c r="AF115" s="1559">
        <v>11</v>
      </c>
    </row>
    <row r="116" spans="1:32" s="2431" customFormat="1" ht="11.45" customHeight="1">
      <c r="A116" s="911"/>
      <c r="B116" s="1554"/>
      <c r="C116" s="1554"/>
      <c r="D116" s="287"/>
      <c r="K116" s="1078"/>
      <c r="L116" s="1554"/>
      <c r="M116" s="1554"/>
      <c r="N116" s="1078"/>
      <c r="O116" s="1078"/>
      <c r="P116" s="1078"/>
      <c r="Q116" s="1078"/>
      <c r="R116" s="1554"/>
      <c r="S116" s="1078"/>
      <c r="T116" s="1078"/>
      <c r="U116" s="480"/>
      <c r="V116" s="1078"/>
      <c r="W116" s="1078"/>
      <c r="X116" s="1078"/>
      <c r="Y116" s="1078"/>
      <c r="Z116" s="1078"/>
      <c r="AA116" s="1550"/>
      <c r="AB116" s="502"/>
      <c r="AC116" s="502"/>
      <c r="AD116" s="502"/>
      <c r="AE116" s="502"/>
      <c r="AF116" s="1559">
        <v>11</v>
      </c>
    </row>
    <row r="117" spans="1:32" s="2431" customFormat="1" ht="11.45" customHeight="1">
      <c r="A117" s="911"/>
      <c r="B117" s="1554"/>
      <c r="C117" s="1554"/>
      <c r="D117" s="287"/>
      <c r="K117" s="1078"/>
      <c r="L117" s="1554"/>
      <c r="M117" s="1554"/>
      <c r="N117" s="1078"/>
      <c r="O117" s="1078"/>
      <c r="P117" s="1078"/>
      <c r="Q117" s="1078"/>
      <c r="R117" s="1554"/>
      <c r="S117" s="1078"/>
      <c r="T117" s="1078"/>
      <c r="U117" s="480"/>
      <c r="V117" s="1078"/>
      <c r="W117" s="1078"/>
      <c r="X117" s="1078"/>
      <c r="Y117" s="1078"/>
      <c r="Z117" s="1078"/>
      <c r="AA117" s="1550"/>
      <c r="AB117" s="502"/>
      <c r="AC117" s="502"/>
      <c r="AD117" s="502"/>
      <c r="AE117" s="502"/>
      <c r="AF117" s="1559">
        <v>11</v>
      </c>
    </row>
    <row r="118" spans="1:32" s="2431" customFormat="1" ht="11.45" customHeight="1">
      <c r="A118" s="911"/>
      <c r="B118" s="1554"/>
      <c r="C118" s="1554"/>
      <c r="D118" s="287"/>
      <c r="K118" s="1078"/>
      <c r="L118" s="1554"/>
      <c r="M118" s="1554"/>
      <c r="N118" s="1078"/>
      <c r="O118" s="1078"/>
      <c r="P118" s="1078"/>
      <c r="Q118" s="1078"/>
      <c r="R118" s="1554"/>
      <c r="S118" s="1078"/>
      <c r="T118" s="1078"/>
      <c r="U118" s="480"/>
      <c r="V118" s="1078"/>
      <c r="W118" s="1078"/>
      <c r="X118" s="1078"/>
      <c r="Y118" s="1078"/>
      <c r="Z118" s="1078"/>
      <c r="AA118" s="1550"/>
      <c r="AB118" s="502"/>
      <c r="AC118" s="502"/>
      <c r="AD118" s="502"/>
      <c r="AE118" s="502"/>
      <c r="AF118" s="1559">
        <v>11</v>
      </c>
    </row>
    <row r="119" spans="1:32" s="2431" customFormat="1" ht="11.45" customHeight="1">
      <c r="A119" s="911"/>
      <c r="B119" s="1554"/>
      <c r="C119" s="1554"/>
      <c r="D119" s="287"/>
      <c r="K119" s="1078"/>
      <c r="L119" s="1554"/>
      <c r="M119" s="1554"/>
      <c r="N119" s="1078"/>
      <c r="O119" s="1078"/>
      <c r="P119" s="1078"/>
      <c r="Q119" s="1078"/>
      <c r="R119" s="1554"/>
      <c r="S119" s="1078"/>
      <c r="T119" s="1078"/>
      <c r="U119" s="480"/>
      <c r="V119" s="1078"/>
      <c r="W119" s="1078"/>
      <c r="X119" s="1078"/>
      <c r="Y119" s="1078"/>
      <c r="Z119" s="1078"/>
      <c r="AA119" s="1550"/>
      <c r="AB119" s="502"/>
      <c r="AC119" s="502"/>
      <c r="AD119" s="502"/>
      <c r="AE119" s="502"/>
      <c r="AF119" s="1559">
        <v>11</v>
      </c>
    </row>
    <row r="120" spans="1:32" s="2431" customFormat="1" ht="11.45" customHeight="1">
      <c r="A120" s="911"/>
      <c r="B120" s="1554"/>
      <c r="C120" s="1554"/>
      <c r="D120" s="287"/>
      <c r="K120" s="1078"/>
      <c r="L120" s="1554"/>
      <c r="M120" s="1554"/>
      <c r="N120" s="1078"/>
      <c r="O120" s="1078"/>
      <c r="P120" s="1078"/>
      <c r="Q120" s="1078"/>
      <c r="R120" s="1554"/>
      <c r="S120" s="1078"/>
      <c r="T120" s="1078"/>
      <c r="U120" s="480"/>
      <c r="V120" s="1078"/>
      <c r="W120" s="1078"/>
      <c r="X120" s="1078"/>
      <c r="Y120" s="1078"/>
      <c r="Z120" s="1078"/>
      <c r="AA120" s="1550"/>
      <c r="AB120" s="502"/>
      <c r="AC120" s="502"/>
      <c r="AD120" s="502"/>
      <c r="AE120" s="502"/>
      <c r="AF120" s="1559">
        <v>11</v>
      </c>
    </row>
    <row r="121" spans="1:32" s="2431" customFormat="1" ht="11.45" customHeight="1">
      <c r="A121" s="911"/>
      <c r="B121" s="1554"/>
      <c r="C121" s="1554"/>
      <c r="D121" s="287"/>
      <c r="K121" s="1078"/>
      <c r="L121" s="1554"/>
      <c r="M121" s="1554"/>
      <c r="N121" s="1078"/>
      <c r="O121" s="1078"/>
      <c r="P121" s="1078"/>
      <c r="Q121" s="1078"/>
      <c r="R121" s="1554"/>
      <c r="S121" s="1078"/>
      <c r="T121" s="1078"/>
      <c r="U121" s="480"/>
      <c r="V121" s="1078"/>
      <c r="W121" s="1078"/>
      <c r="X121" s="1078"/>
      <c r="Y121" s="1078"/>
      <c r="Z121" s="1078"/>
      <c r="AA121" s="1550"/>
      <c r="AB121" s="502"/>
      <c r="AC121" s="502"/>
      <c r="AD121" s="502"/>
      <c r="AE121" s="502"/>
      <c r="AF121" s="1559">
        <v>11</v>
      </c>
    </row>
    <row r="122" spans="1:32" s="2431" customFormat="1" ht="11.45" customHeight="1">
      <c r="A122" s="911"/>
      <c r="B122" s="1554"/>
      <c r="C122" s="1554"/>
      <c r="D122" s="287"/>
      <c r="K122" s="1078"/>
      <c r="L122" s="1554"/>
      <c r="M122" s="1554"/>
      <c r="N122" s="1078"/>
      <c r="O122" s="1078"/>
      <c r="P122" s="1078"/>
      <c r="Q122" s="1078"/>
      <c r="R122" s="1554"/>
      <c r="S122" s="1078"/>
      <c r="T122" s="1078"/>
      <c r="U122" s="480"/>
      <c r="V122" s="1078"/>
      <c r="W122" s="1078"/>
      <c r="X122" s="1078"/>
      <c r="Y122" s="1078"/>
      <c r="Z122" s="1078"/>
      <c r="AA122" s="1550"/>
      <c r="AB122" s="502"/>
      <c r="AC122" s="502"/>
      <c r="AD122" s="502"/>
      <c r="AE122" s="502"/>
      <c r="AF122" s="1559">
        <v>11</v>
      </c>
    </row>
    <row r="123" spans="1:32" s="2431" customFormat="1" ht="11.45" customHeight="1">
      <c r="A123" s="911"/>
      <c r="B123" s="1554"/>
      <c r="C123" s="1554"/>
      <c r="D123" s="287"/>
      <c r="K123" s="1078"/>
      <c r="L123" s="1554"/>
      <c r="M123" s="1554"/>
      <c r="N123" s="1078"/>
      <c r="O123" s="1078"/>
      <c r="P123" s="1078"/>
      <c r="Q123" s="1078"/>
      <c r="R123" s="1554"/>
      <c r="S123" s="1078"/>
      <c r="T123" s="1078"/>
      <c r="U123" s="480"/>
      <c r="V123" s="1078"/>
      <c r="W123" s="1078"/>
      <c r="X123" s="1078"/>
      <c r="Y123" s="1078"/>
      <c r="Z123" s="1078"/>
      <c r="AA123" s="1550"/>
      <c r="AB123" s="502"/>
      <c r="AC123" s="502"/>
      <c r="AD123" s="502"/>
      <c r="AE123" s="502"/>
      <c r="AF123" s="1559">
        <v>11</v>
      </c>
    </row>
    <row r="124" spans="1:32" s="2431" customFormat="1" ht="11.45" customHeight="1">
      <c r="A124" s="911"/>
      <c r="B124" s="1554"/>
      <c r="C124" s="1554"/>
      <c r="D124" s="287"/>
      <c r="K124" s="1078"/>
      <c r="L124" s="1554"/>
      <c r="M124" s="1554"/>
      <c r="N124" s="1078"/>
      <c r="O124" s="1078"/>
      <c r="P124" s="1078"/>
      <c r="Q124" s="1078"/>
      <c r="R124" s="1554"/>
      <c r="S124" s="1078"/>
      <c r="T124" s="1078"/>
      <c r="U124" s="480"/>
      <c r="V124" s="1078"/>
      <c r="W124" s="1078"/>
      <c r="X124" s="1078"/>
      <c r="Y124" s="1078"/>
      <c r="Z124" s="1078"/>
      <c r="AA124" s="1550"/>
      <c r="AB124" s="502"/>
      <c r="AC124" s="502"/>
      <c r="AD124" s="502"/>
      <c r="AE124" s="502"/>
      <c r="AF124" s="1559">
        <v>11</v>
      </c>
    </row>
    <row r="125" spans="1:32" s="2431" customFormat="1" ht="11.45" customHeight="1">
      <c r="A125" s="911"/>
      <c r="B125" s="1554"/>
      <c r="C125" s="1554"/>
      <c r="D125" s="287"/>
      <c r="K125" s="1078"/>
      <c r="L125" s="1554"/>
      <c r="M125" s="1554"/>
      <c r="N125" s="1078"/>
      <c r="O125" s="1078"/>
      <c r="P125" s="1078"/>
      <c r="Q125" s="1078"/>
      <c r="R125" s="1554"/>
      <c r="S125" s="1078"/>
      <c r="T125" s="1078"/>
      <c r="U125" s="480"/>
      <c r="V125" s="1078"/>
      <c r="W125" s="1078"/>
      <c r="X125" s="1078"/>
      <c r="Y125" s="1078"/>
      <c r="Z125" s="1078"/>
      <c r="AA125" s="1550"/>
      <c r="AB125" s="502"/>
      <c r="AC125" s="502"/>
      <c r="AD125" s="502"/>
      <c r="AE125" s="502"/>
      <c r="AF125" s="1559">
        <v>11</v>
      </c>
    </row>
    <row r="126" spans="1:32" s="2431" customFormat="1" ht="11.45" customHeight="1">
      <c r="A126" s="911"/>
      <c r="B126" s="1554"/>
      <c r="C126" s="1554"/>
      <c r="D126" s="287"/>
      <c r="K126" s="1078"/>
      <c r="L126" s="1554"/>
      <c r="M126" s="1554"/>
      <c r="N126" s="1078"/>
      <c r="O126" s="1078"/>
      <c r="P126" s="1078"/>
      <c r="Q126" s="1078"/>
      <c r="R126" s="1554"/>
      <c r="S126" s="1078"/>
      <c r="T126" s="1078"/>
      <c r="U126" s="480"/>
      <c r="V126" s="1078"/>
      <c r="W126" s="1078"/>
      <c r="X126" s="1078"/>
      <c r="Y126" s="1078"/>
      <c r="Z126" s="1078"/>
      <c r="AA126" s="1550"/>
      <c r="AB126" s="502"/>
      <c r="AC126" s="502"/>
      <c r="AD126" s="502"/>
      <c r="AE126" s="502"/>
      <c r="AF126" s="1559">
        <v>11</v>
      </c>
    </row>
    <row r="127" spans="1:32" s="2431" customFormat="1" ht="11.45" customHeight="1">
      <c r="A127" s="911"/>
      <c r="B127" s="1554"/>
      <c r="C127" s="1554"/>
      <c r="D127" s="287"/>
      <c r="K127" s="1078"/>
      <c r="L127" s="1554"/>
      <c r="M127" s="1554"/>
      <c r="N127" s="1078"/>
      <c r="O127" s="1078"/>
      <c r="P127" s="1078"/>
      <c r="Q127" s="1078"/>
      <c r="R127" s="1554"/>
      <c r="S127" s="1078"/>
      <c r="T127" s="1078"/>
      <c r="U127" s="480"/>
      <c r="V127" s="1078"/>
      <c r="W127" s="1078"/>
      <c r="X127" s="1078"/>
      <c r="Y127" s="1078"/>
      <c r="Z127" s="1078"/>
      <c r="AA127" s="1550"/>
      <c r="AB127" s="502"/>
      <c r="AC127" s="502"/>
      <c r="AD127" s="502"/>
      <c r="AE127" s="502"/>
      <c r="AF127" s="1559">
        <v>11</v>
      </c>
    </row>
    <row r="128" spans="1:32" s="2431" customFormat="1" ht="11.45" customHeight="1">
      <c r="A128" s="911"/>
      <c r="B128" s="1554"/>
      <c r="C128" s="1554"/>
      <c r="D128" s="287"/>
      <c r="K128" s="1078"/>
      <c r="L128" s="1554"/>
      <c r="M128" s="1554"/>
      <c r="N128" s="1078"/>
      <c r="O128" s="1078"/>
      <c r="P128" s="1078"/>
      <c r="Q128" s="1078"/>
      <c r="R128" s="1554"/>
      <c r="S128" s="1078"/>
      <c r="T128" s="1078"/>
      <c r="U128" s="480"/>
      <c r="V128" s="1078"/>
      <c r="W128" s="1078"/>
      <c r="X128" s="1078"/>
      <c r="Y128" s="1078"/>
      <c r="Z128" s="1078"/>
      <c r="AA128" s="1550"/>
      <c r="AB128" s="502"/>
      <c r="AC128" s="502"/>
      <c r="AD128" s="502"/>
      <c r="AE128" s="502"/>
      <c r="AF128" s="1559">
        <v>11</v>
      </c>
    </row>
    <row r="129" spans="1:32" s="2431" customFormat="1" ht="11.45" customHeight="1">
      <c r="A129" s="911"/>
      <c r="B129" s="1554"/>
      <c r="C129" s="1554"/>
      <c r="D129" s="287"/>
      <c r="K129" s="1078"/>
      <c r="L129" s="1554"/>
      <c r="M129" s="1554"/>
      <c r="N129" s="1078"/>
      <c r="O129" s="1078"/>
      <c r="P129" s="1078"/>
      <c r="Q129" s="1078"/>
      <c r="R129" s="1554"/>
      <c r="S129" s="1078"/>
      <c r="T129" s="1078"/>
      <c r="U129" s="480"/>
      <c r="V129" s="1078"/>
      <c r="W129" s="1078"/>
      <c r="X129" s="1078"/>
      <c r="Y129" s="1078"/>
      <c r="Z129" s="1078"/>
      <c r="AA129" s="1550"/>
      <c r="AB129" s="502"/>
      <c r="AC129" s="502"/>
      <c r="AD129" s="502"/>
      <c r="AE129" s="502"/>
      <c r="AF129" s="1559">
        <v>11</v>
      </c>
    </row>
    <row r="130" spans="1:32" s="2431" customFormat="1" ht="11.45" customHeight="1">
      <c r="A130" s="911"/>
      <c r="B130" s="1554"/>
      <c r="C130" s="1554"/>
      <c r="D130" s="287"/>
      <c r="K130" s="1078"/>
      <c r="L130" s="1554"/>
      <c r="M130" s="1554"/>
      <c r="N130" s="1078"/>
      <c r="O130" s="1078"/>
      <c r="P130" s="1078"/>
      <c r="Q130" s="1078"/>
      <c r="R130" s="1554"/>
      <c r="S130" s="1078"/>
      <c r="T130" s="1078"/>
      <c r="U130" s="480"/>
      <c r="V130" s="1078"/>
      <c r="W130" s="1078"/>
      <c r="X130" s="1078"/>
      <c r="Y130" s="1078"/>
      <c r="Z130" s="1078"/>
      <c r="AA130" s="1550"/>
      <c r="AB130" s="502"/>
      <c r="AC130" s="502"/>
      <c r="AD130" s="502"/>
      <c r="AE130" s="502"/>
      <c r="AF130" s="1559">
        <v>11</v>
      </c>
    </row>
    <row r="131" spans="1:32" s="2431" customFormat="1" ht="11.45" customHeight="1">
      <c r="A131" s="911"/>
      <c r="B131" s="1554"/>
      <c r="C131" s="1554"/>
      <c r="D131" s="287"/>
      <c r="K131" s="1078"/>
      <c r="L131" s="1554"/>
      <c r="M131" s="1554"/>
      <c r="N131" s="1078"/>
      <c r="O131" s="1078"/>
      <c r="P131" s="1078"/>
      <c r="Q131" s="1078"/>
      <c r="R131" s="1554"/>
      <c r="S131" s="1078"/>
      <c r="T131" s="1078"/>
      <c r="U131" s="480"/>
      <c r="V131" s="1078"/>
      <c r="W131" s="1078"/>
      <c r="X131" s="1078"/>
      <c r="Y131" s="1078"/>
      <c r="Z131" s="1078"/>
      <c r="AA131" s="1550"/>
      <c r="AB131" s="502"/>
      <c r="AC131" s="502"/>
      <c r="AD131" s="502"/>
      <c r="AE131" s="502"/>
      <c r="AF131" s="1559">
        <v>11</v>
      </c>
    </row>
    <row r="132" spans="1:32" s="2431" customFormat="1" ht="11.45" customHeight="1">
      <c r="A132" s="911"/>
      <c r="B132" s="1554"/>
      <c r="C132" s="1554"/>
      <c r="D132" s="287"/>
      <c r="K132" s="1078"/>
      <c r="L132" s="1554"/>
      <c r="M132" s="1554"/>
      <c r="N132" s="1078"/>
      <c r="O132" s="1078"/>
      <c r="P132" s="1078"/>
      <c r="Q132" s="1078"/>
      <c r="R132" s="1554"/>
      <c r="S132" s="1078"/>
      <c r="T132" s="1078"/>
      <c r="U132" s="480"/>
      <c r="V132" s="1078"/>
      <c r="W132" s="1078"/>
      <c r="X132" s="1078"/>
      <c r="Y132" s="1078"/>
      <c r="Z132" s="1078"/>
      <c r="AA132" s="1550"/>
      <c r="AB132" s="502"/>
      <c r="AC132" s="502"/>
      <c r="AD132" s="502"/>
      <c r="AE132" s="502"/>
      <c r="AF132" s="1559">
        <v>11</v>
      </c>
    </row>
    <row r="133" spans="1:32" s="2431" customFormat="1" ht="11.45" customHeight="1">
      <c r="A133" s="911"/>
      <c r="B133" s="1554"/>
      <c r="C133" s="1554"/>
      <c r="D133" s="287"/>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431"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431"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431" customFormat="1" ht="11.45" customHeight="1">
      <c r="A136" s="911"/>
      <c r="B136" s="1554"/>
      <c r="C136" s="1554"/>
      <c r="D136" s="287"/>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431"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431"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431"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431"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431"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431"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431"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431"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431"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431"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431"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431"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431"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431"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431"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431"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431"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431"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431"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431"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431"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431"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431"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431"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431"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431"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431"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431"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431"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431"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431"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431"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431"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431"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431"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431"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431"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431"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431"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431"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431"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431"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431"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431"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431"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431"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431"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431"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431"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431"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431"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431"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431"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431"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431"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431"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431"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431"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431"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s="2431" customFormat="1" ht="11.45" customHeight="1">
      <c r="A196" s="911"/>
      <c r="B196" s="1554"/>
      <c r="C196" s="1554"/>
      <c r="D196" s="287"/>
      <c r="K196" s="1078"/>
      <c r="L196" s="1554"/>
      <c r="M196" s="1554"/>
      <c r="N196" s="1078"/>
      <c r="O196" s="1078"/>
      <c r="P196" s="1078"/>
      <c r="Q196" s="1078"/>
      <c r="R196" s="1554"/>
      <c r="S196" s="1078"/>
      <c r="T196" s="1078"/>
      <c r="U196" s="480"/>
      <c r="V196" s="1078"/>
      <c r="W196" s="1078"/>
      <c r="X196" s="1078"/>
      <c r="Y196" s="1078"/>
      <c r="Z196" s="1078"/>
      <c r="AA196" s="1550"/>
      <c r="AB196" s="502"/>
      <c r="AC196" s="502"/>
      <c r="AD196" s="502"/>
      <c r="AE196" s="502"/>
      <c r="AF196" s="1559">
        <v>11</v>
      </c>
    </row>
    <row r="197" spans="1:32" s="2431" customFormat="1" ht="11.45" customHeight="1">
      <c r="A197" s="911"/>
      <c r="B197" s="1554"/>
      <c r="C197" s="1554"/>
      <c r="D197" s="287"/>
      <c r="K197" s="1078"/>
      <c r="L197" s="1554"/>
      <c r="M197" s="1554"/>
      <c r="N197" s="1078"/>
      <c r="O197" s="1078"/>
      <c r="P197" s="1078"/>
      <c r="Q197" s="1078"/>
      <c r="R197" s="1554"/>
      <c r="S197" s="1078"/>
      <c r="T197" s="1078"/>
      <c r="U197" s="480"/>
      <c r="V197" s="1078"/>
      <c r="W197" s="1078"/>
      <c r="X197" s="1078"/>
      <c r="Y197" s="1078"/>
      <c r="Z197" s="1078"/>
      <c r="AA197" s="1550"/>
      <c r="AB197" s="502"/>
      <c r="AC197" s="502"/>
      <c r="AD197" s="502"/>
      <c r="AE197" s="502"/>
      <c r="AF197" s="1559">
        <v>11</v>
      </c>
    </row>
    <row r="198" spans="1:32" s="2431" customFormat="1" ht="11.45" customHeight="1">
      <c r="A198" s="911"/>
      <c r="B198" s="1554"/>
      <c r="C198" s="1554"/>
      <c r="D198" s="287"/>
      <c r="K198" s="1078"/>
      <c r="L198" s="1554"/>
      <c r="M198" s="1554"/>
      <c r="N198" s="1078"/>
      <c r="O198" s="1078"/>
      <c r="P198" s="1078"/>
      <c r="Q198" s="1078"/>
      <c r="R198" s="1554"/>
      <c r="S198" s="1078"/>
      <c r="T198" s="1078"/>
      <c r="U198" s="480"/>
      <c r="V198" s="1078"/>
      <c r="W198" s="1078"/>
      <c r="X198" s="1078"/>
      <c r="Y198" s="1078"/>
      <c r="Z198" s="1078"/>
      <c r="AA198" s="1550"/>
      <c r="AB198" s="502"/>
      <c r="AC198" s="502"/>
      <c r="AD198" s="502"/>
      <c r="AE198" s="502"/>
      <c r="AF198" s="1559">
        <v>11</v>
      </c>
    </row>
    <row r="199" spans="1:32" s="2431" customFormat="1" ht="11.45" customHeight="1">
      <c r="A199" s="911"/>
      <c r="B199" s="1554"/>
      <c r="C199" s="1554"/>
      <c r="D199" s="287"/>
      <c r="K199" s="1078"/>
      <c r="L199" s="1554"/>
      <c r="M199" s="1554"/>
      <c r="N199" s="1078"/>
      <c r="O199" s="1078"/>
      <c r="P199" s="1078"/>
      <c r="Q199" s="1078"/>
      <c r="R199" s="1554"/>
      <c r="S199" s="1078"/>
      <c r="T199" s="1078"/>
      <c r="U199" s="480"/>
      <c r="V199" s="1078"/>
      <c r="W199" s="1078"/>
      <c r="X199" s="1078"/>
      <c r="Y199" s="1078"/>
      <c r="Z199" s="1078"/>
      <c r="AA199" s="1550"/>
      <c r="AB199" s="502"/>
      <c r="AC199" s="502"/>
      <c r="AD199" s="502"/>
      <c r="AE199" s="502"/>
      <c r="AF199" s="1559">
        <v>11</v>
      </c>
    </row>
    <row r="200" spans="1:32" s="2431" customFormat="1" ht="11.45" customHeight="1">
      <c r="A200" s="911"/>
      <c r="B200" s="1554"/>
      <c r="C200" s="1554"/>
      <c r="D200" s="287"/>
      <c r="K200" s="1078"/>
      <c r="L200" s="1554"/>
      <c r="M200" s="1554"/>
      <c r="N200" s="1078"/>
      <c r="O200" s="1078"/>
      <c r="P200" s="1078"/>
      <c r="Q200" s="1078"/>
      <c r="R200" s="1554"/>
      <c r="S200" s="1078"/>
      <c r="T200" s="1078"/>
      <c r="U200" s="480"/>
      <c r="V200" s="1078"/>
      <c r="W200" s="1078"/>
      <c r="X200" s="1078"/>
      <c r="Y200" s="1078"/>
      <c r="Z200" s="1078"/>
      <c r="AA200" s="1550"/>
      <c r="AB200" s="502"/>
      <c r="AC200" s="502"/>
      <c r="AD200" s="502"/>
      <c r="AE200" s="502"/>
      <c r="AF200" s="1559">
        <v>11</v>
      </c>
    </row>
    <row r="201" spans="1:32" s="2431" customFormat="1" ht="11.45" customHeight="1">
      <c r="A201" s="911"/>
      <c r="B201" s="1554"/>
      <c r="C201" s="1554"/>
      <c r="D201" s="287"/>
      <c r="K201" s="1078"/>
      <c r="L201" s="1554"/>
      <c r="M201" s="1554"/>
      <c r="N201" s="1078"/>
      <c r="O201" s="1078"/>
      <c r="P201" s="1078"/>
      <c r="Q201" s="1078"/>
      <c r="R201" s="1554"/>
      <c r="S201" s="1078"/>
      <c r="T201" s="1078"/>
      <c r="U201" s="480"/>
      <c r="V201" s="1078"/>
      <c r="W201" s="1078"/>
      <c r="X201" s="1078"/>
      <c r="Y201" s="1078"/>
      <c r="Z201" s="1078"/>
      <c r="AA201" s="1550"/>
      <c r="AB201" s="502"/>
      <c r="AC201" s="502"/>
      <c r="AD201" s="502"/>
      <c r="AE201" s="502"/>
      <c r="AF201" s="1559">
        <v>11</v>
      </c>
    </row>
    <row r="202" spans="1:32" s="2431" customFormat="1" ht="11.45" customHeight="1">
      <c r="A202" s="911"/>
      <c r="B202" s="1554"/>
      <c r="C202" s="1554"/>
      <c r="D202" s="287"/>
      <c r="K202" s="1078"/>
      <c r="L202" s="1554"/>
      <c r="M202" s="1554"/>
      <c r="N202" s="1078"/>
      <c r="O202" s="1078"/>
      <c r="P202" s="1078"/>
      <c r="Q202" s="1078"/>
      <c r="R202" s="1554"/>
      <c r="S202" s="1078"/>
      <c r="T202" s="1078"/>
      <c r="U202" s="480"/>
      <c r="V202" s="1078"/>
      <c r="W202" s="1078"/>
      <c r="X202" s="1078"/>
      <c r="Y202" s="1078"/>
      <c r="Z202" s="1078"/>
      <c r="AA202" s="1550"/>
      <c r="AB202" s="502"/>
      <c r="AC202" s="502"/>
      <c r="AD202" s="502"/>
      <c r="AE202" s="502"/>
      <c r="AF202" s="1559">
        <v>11</v>
      </c>
    </row>
    <row r="203" spans="1:32" ht="11.45" customHeight="1">
      <c r="AF203" s="1549">
        <v>11</v>
      </c>
    </row>
    <row r="204" spans="1:32" ht="11.45" customHeight="1">
      <c r="AF204" s="1549">
        <v>11</v>
      </c>
    </row>
    <row r="205" spans="1:32" ht="11.45" customHeight="1">
      <c r="AF205" s="1549">
        <v>11</v>
      </c>
    </row>
    <row r="206" spans="1:32" ht="11.45" customHeight="1">
      <c r="A206" s="914"/>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4"/>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4"/>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4"/>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4"/>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4"/>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4"/>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4"/>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4"/>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4"/>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4"/>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1" t="s">
        <v>78</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80">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440" hidden="1" customWidth="1"/>
    <col min="2" max="2" width="16.85546875" style="2406" hidden="1" customWidth="1"/>
    <col min="3" max="3" width="5.5703125" style="2407" hidden="1" customWidth="1"/>
    <col min="4" max="4" width="3" style="2400" customWidth="1"/>
    <col min="5" max="5" width="7" style="2400" customWidth="1"/>
    <col min="6" max="6" width="54" style="2400" customWidth="1"/>
    <col min="7" max="7" width="10" style="2400" customWidth="1"/>
    <col min="8" max="8" width="40.7109375" style="2400" hidden="1" customWidth="1"/>
    <col min="9" max="9" width="40" style="2400" customWidth="1"/>
    <col min="10" max="10" width="102" style="2400" customWidth="1"/>
    <col min="11" max="11" width="9" style="2406" customWidth="1"/>
    <col min="12" max="12" width="5" style="2407" customWidth="1"/>
    <col min="13" max="13" width="3" style="2407" customWidth="1"/>
    <col min="14" max="17" width="3" style="2406" customWidth="1"/>
    <col min="18" max="18" width="10" style="2407" customWidth="1"/>
    <col min="19" max="19" width="34" style="2406" customWidth="1"/>
    <col min="20" max="20" width="9" style="2406" customWidth="1"/>
    <col min="21" max="21" width="8" style="2441" customWidth="1"/>
    <col min="22" max="26" width="8" style="2406" customWidth="1"/>
    <col min="27" max="31" width="8" style="2398" customWidth="1"/>
    <col min="32" max="32" width="9.140625" style="2400" hidden="1"/>
  </cols>
  <sheetData>
    <row r="1" spans="1:32" s="2406" customFormat="1" ht="22.5" hidden="1" customHeight="1">
      <c r="A1" s="911"/>
      <c r="C1" s="1554"/>
      <c r="D1" s="473"/>
      <c r="H1" s="1078">
        <v>4</v>
      </c>
      <c r="I1" s="1078">
        <v>4</v>
      </c>
      <c r="L1" s="1554"/>
      <c r="M1" s="1554"/>
      <c r="R1" s="1554"/>
      <c r="AF1" s="1078" t="s">
        <v>14</v>
      </c>
    </row>
    <row r="2" spans="1:32" s="2406" customFormat="1" ht="22.5" hidden="1" customHeight="1">
      <c r="A2" s="911"/>
      <c r="C2" s="1554"/>
      <c r="D2" s="474"/>
      <c r="E2" s="1576"/>
      <c r="F2" s="476"/>
      <c r="G2" s="1575" t="s">
        <v>543</v>
      </c>
      <c r="H2" s="477"/>
      <c r="I2" s="477"/>
      <c r="J2" s="478" t="s">
        <v>546</v>
      </c>
      <c r="K2" s="479"/>
      <c r="L2" s="1554"/>
      <c r="M2" s="1554"/>
      <c r="R2" s="1554"/>
      <c r="U2" s="480"/>
      <c r="AA2" s="1550"/>
      <c r="AB2" s="1550"/>
      <c r="AC2" s="1550"/>
      <c r="AD2" s="1550"/>
      <c r="AE2" s="1550"/>
      <c r="AF2" s="1078">
        <v>0</v>
      </c>
    </row>
    <row r="3" spans="1:32" ht="11.25" hidden="1" customHeight="1">
      <c r="AF3" s="1549">
        <v>0</v>
      </c>
    </row>
    <row r="4" spans="1:32" s="2398" customFormat="1" ht="11.25" hidden="1" customHeight="1">
      <c r="A4" s="911"/>
      <c r="B4" s="1078"/>
      <c r="C4" s="1554"/>
      <c r="D4" s="298"/>
      <c r="J4" s="1550">
        <v>4</v>
      </c>
      <c r="K4" s="1078"/>
      <c r="L4" s="1554"/>
      <c r="M4" s="1554"/>
      <c r="N4" s="1078"/>
      <c r="O4" s="1078"/>
      <c r="P4" s="1078"/>
      <c r="Q4" s="1078"/>
      <c r="R4" s="1554"/>
      <c r="S4" s="1078"/>
      <c r="T4" s="1078"/>
      <c r="U4" s="480"/>
      <c r="V4" s="1078"/>
      <c r="W4" s="1078"/>
      <c r="X4" s="1078"/>
      <c r="Y4" s="1078"/>
      <c r="Z4" s="1078"/>
      <c r="AF4" s="1550">
        <v>0</v>
      </c>
    </row>
    <row r="5" spans="1:32" ht="11.45" customHeight="1">
      <c r="AF5" s="1549">
        <v>11</v>
      </c>
    </row>
    <row r="6" spans="1:32" ht="33.75" customHeight="1">
      <c r="E6" s="2623" t="s">
        <v>766</v>
      </c>
      <c r="F6" s="2623"/>
      <c r="G6" s="2623"/>
      <c r="H6" s="2623"/>
      <c r="I6" s="2623"/>
      <c r="J6" s="492"/>
      <c r="AF6" s="1549">
        <v>32</v>
      </c>
    </row>
    <row r="7" spans="1:32" ht="25.15" customHeight="1">
      <c r="E7" s="2595" t="str">
        <f>IF(org=0,"Не определено",org)</f>
        <v>ПАО "ТГК-1" (филиал "Кольский")</v>
      </c>
      <c r="F7" s="2595"/>
      <c r="G7" s="2595"/>
      <c r="H7" s="2595"/>
      <c r="I7" s="2595"/>
      <c r="AF7" s="1549">
        <v>24</v>
      </c>
    </row>
    <row r="8" spans="1:32" ht="11.45" customHeight="1">
      <c r="E8" s="1054"/>
      <c r="F8" s="1054"/>
      <c r="G8" s="1054"/>
      <c r="H8" s="1054"/>
      <c r="I8" s="1054"/>
      <c r="AF8" s="1549">
        <v>11</v>
      </c>
    </row>
    <row r="9" spans="1:32" s="2407" customFormat="1" ht="1.1499999999999999" customHeight="1">
      <c r="A9" s="1085"/>
      <c r="D9" s="1560"/>
      <c r="H9" s="814"/>
      <c r="I9" s="814" t="s">
        <v>110</v>
      </c>
      <c r="AF9" s="1554">
        <v>1</v>
      </c>
    </row>
    <row r="10" spans="1:32" ht="11.45" customHeight="1">
      <c r="E10" s="647"/>
      <c r="F10" s="2729" t="s">
        <v>98</v>
      </c>
      <c r="G10" s="2730"/>
      <c r="H10" s="1577" t="str">
        <f>IF(H9="","",INDEX(DIFFERENTIATION_UNMERGE_VD,MATCH(H9,DIFFERENTIATION_ID_DIFF,0)))</f>
        <v/>
      </c>
      <c r="I10" s="1577">
        <f>IF(I9="","",INDEX(DIFFERENTIATION_UNMERGE_VD,MATCH(I9,DIFFERENTIATION_ID_DIFF,0)))</f>
        <v>0</v>
      </c>
      <c r="J10" s="2514"/>
      <c r="AF10" s="1549">
        <v>11</v>
      </c>
    </row>
    <row r="11" spans="1:32" ht="11.45" customHeight="1">
      <c r="E11" s="647"/>
      <c r="F11" s="2729" t="s">
        <v>555</v>
      </c>
      <c r="G11" s="2730"/>
      <c r="H11" s="1577" t="str">
        <f>IF(H9="","",INDEX(DIFFERENTIATION_UNMERGE_AREA,MATCH(H9,DIFFERENTIATION_ID_DIFF,0)))</f>
        <v/>
      </c>
      <c r="I11" s="1577" t="str">
        <f>IF(I9="","",INDEX(DIFFERENTIATION_UNMERGE_AREA,MATCH(I9,DIFFERENTIATION_ID_DIFF,0)))</f>
        <v/>
      </c>
      <c r="J11" s="2514"/>
      <c r="AF11" s="1549">
        <v>11</v>
      </c>
    </row>
    <row r="12" spans="1:32" ht="11.25" hidden="1" customHeight="1">
      <c r="E12" s="1580"/>
      <c r="F12" s="2747" t="s">
        <v>556</v>
      </c>
      <c r="G12" s="2748"/>
      <c r="H12" s="1581" t="str">
        <f>IF(H9="","",INDEX(DIFFERENTIATION_UNMERGE_SYSTEM,MATCH(H9,DIFFERENTIATION_ID_DIFF,0)))</f>
        <v/>
      </c>
      <c r="I12" s="1581" t="str">
        <f>IF(I9="","",INDEX(DIFFERENTIATION_UNMERGE_SYSTEM,MATCH(I9,DIFFERENTIATION_ID_DIFF,0)))</f>
        <v>без дифференциации</v>
      </c>
      <c r="J12" s="2514"/>
      <c r="AF12" s="1549">
        <v>0</v>
      </c>
    </row>
    <row r="13" spans="1:32" ht="11.45" customHeight="1">
      <c r="E13" s="2731" t="s">
        <v>291</v>
      </c>
      <c r="F13" s="2732"/>
      <c r="G13" s="2732"/>
      <c r="H13" s="1574"/>
      <c r="I13" s="1574"/>
      <c r="J13" s="2514"/>
      <c r="AF13" s="1549">
        <v>11</v>
      </c>
    </row>
    <row r="14" spans="1:32" ht="24" customHeight="1">
      <c r="E14" s="1575" t="s">
        <v>84</v>
      </c>
      <c r="F14" s="1578" t="s">
        <v>293</v>
      </c>
      <c r="G14" s="1578" t="s">
        <v>557</v>
      </c>
      <c r="H14" s="1578" t="s">
        <v>294</v>
      </c>
      <c r="I14" s="1578" t="s">
        <v>294</v>
      </c>
      <c r="J14" s="2514"/>
      <c r="AF14" s="1549">
        <v>23</v>
      </c>
    </row>
    <row r="15" spans="1:32" ht="19.899999999999999" customHeight="1">
      <c r="D15" s="1556"/>
      <c r="E15" s="1548" t="s">
        <v>102</v>
      </c>
      <c r="F15" s="643" t="s">
        <v>767</v>
      </c>
      <c r="G15" s="1575" t="s">
        <v>543</v>
      </c>
      <c r="H15" s="493"/>
      <c r="I15" s="493"/>
      <c r="J15" s="226" t="s">
        <v>768</v>
      </c>
      <c r="K15" s="479" t="s">
        <v>621</v>
      </c>
      <c r="AF15" s="1549">
        <v>19</v>
      </c>
    </row>
    <row r="16" spans="1:32" ht="24" customHeight="1">
      <c r="D16" s="1556"/>
      <c r="E16" s="1548" t="s">
        <v>103</v>
      </c>
      <c r="F16" s="1583" t="s">
        <v>769</v>
      </c>
      <c r="G16" s="1575" t="s">
        <v>543</v>
      </c>
      <c r="H16" s="494">
        <f>SUM(H17,H20:H27)</f>
        <v>0</v>
      </c>
      <c r="I16" s="494">
        <f>SUM(I17,I20:I27)</f>
        <v>0</v>
      </c>
      <c r="J16" s="226" t="s">
        <v>770</v>
      </c>
      <c r="K16" s="479" t="s">
        <v>621</v>
      </c>
      <c r="AF16" s="1549">
        <v>23</v>
      </c>
    </row>
    <row r="17" spans="1:32" ht="35.65" customHeight="1">
      <c r="D17" s="1556"/>
      <c r="E17" s="1582" t="s">
        <v>700</v>
      </c>
      <c r="F17" s="1585" t="s">
        <v>771</v>
      </c>
      <c r="G17" s="1572" t="s">
        <v>543</v>
      </c>
      <c r="H17" s="493"/>
      <c r="I17" s="493"/>
      <c r="J17" s="226" t="s">
        <v>772</v>
      </c>
      <c r="K17" s="479"/>
      <c r="AF17" s="1549">
        <v>34</v>
      </c>
    </row>
    <row r="18" spans="1:32" ht="19.899999999999999" customHeight="1">
      <c r="D18" s="1556"/>
      <c r="E18" s="1582" t="s">
        <v>703</v>
      </c>
      <c r="F18" s="1586" t="s">
        <v>773</v>
      </c>
      <c r="G18" s="1572" t="s">
        <v>543</v>
      </c>
      <c r="H18" s="493"/>
      <c r="I18" s="493"/>
      <c r="J18" s="226"/>
      <c r="K18" s="479"/>
      <c r="AF18" s="1549">
        <v>19</v>
      </c>
    </row>
    <row r="19" spans="1:32" ht="24" customHeight="1">
      <c r="D19" s="1556"/>
      <c r="E19" s="1582" t="s">
        <v>706</v>
      </c>
      <c r="F19" s="1586" t="s">
        <v>774</v>
      </c>
      <c r="G19" s="1572" t="s">
        <v>543</v>
      </c>
      <c r="H19" s="493"/>
      <c r="I19" s="493"/>
      <c r="J19" s="226"/>
      <c r="K19" s="479"/>
      <c r="AF19" s="1549">
        <v>23</v>
      </c>
    </row>
    <row r="20" spans="1:32" ht="35.65" customHeight="1">
      <c r="D20" s="1556"/>
      <c r="E20" s="1582" t="s">
        <v>298</v>
      </c>
      <c r="F20" s="1585" t="s">
        <v>775</v>
      </c>
      <c r="G20" s="1572" t="s">
        <v>543</v>
      </c>
      <c r="H20" s="493"/>
      <c r="I20" s="493"/>
      <c r="J20" s="226"/>
      <c r="K20" s="479"/>
      <c r="AF20" s="1549">
        <v>34</v>
      </c>
    </row>
    <row r="21" spans="1:32" ht="48.2" customHeight="1">
      <c r="D21" s="1556"/>
      <c r="E21" s="1582" t="s">
        <v>301</v>
      </c>
      <c r="F21" s="1585" t="s">
        <v>776</v>
      </c>
      <c r="G21" s="1572" t="s">
        <v>543</v>
      </c>
      <c r="H21" s="493"/>
      <c r="I21" s="493"/>
      <c r="J21" s="226"/>
      <c r="K21" s="479"/>
      <c r="AF21" s="1549">
        <v>46</v>
      </c>
    </row>
    <row r="22" spans="1:32" ht="60" customHeight="1">
      <c r="D22" s="1556"/>
      <c r="E22" s="1582" t="s">
        <v>720</v>
      </c>
      <c r="F22" s="1585" t="s">
        <v>777</v>
      </c>
      <c r="G22" s="1572" t="s">
        <v>543</v>
      </c>
      <c r="H22" s="493"/>
      <c r="I22" s="493"/>
      <c r="J22" s="226"/>
      <c r="K22" s="479"/>
      <c r="AF22" s="1549">
        <v>57</v>
      </c>
    </row>
    <row r="23" spans="1:32" ht="35.65" customHeight="1">
      <c r="D23" s="1556"/>
      <c r="E23" s="1582" t="s">
        <v>727</v>
      </c>
      <c r="F23" s="1585" t="s">
        <v>778</v>
      </c>
      <c r="G23" s="1572" t="s">
        <v>543</v>
      </c>
      <c r="H23" s="493"/>
      <c r="I23" s="493"/>
      <c r="J23" s="226"/>
      <c r="K23" s="479"/>
      <c r="AF23" s="1549">
        <v>34</v>
      </c>
    </row>
    <row r="24" spans="1:32" ht="35.65" customHeight="1">
      <c r="D24" s="1556"/>
      <c r="E24" s="1582" t="s">
        <v>729</v>
      </c>
      <c r="F24" s="1585" t="s">
        <v>779</v>
      </c>
      <c r="G24" s="1572" t="s">
        <v>543</v>
      </c>
      <c r="H24" s="493"/>
      <c r="I24" s="493"/>
      <c r="J24" s="226"/>
      <c r="K24" s="479"/>
      <c r="AF24" s="1549">
        <v>34</v>
      </c>
    </row>
    <row r="25" spans="1:32" ht="24" customHeight="1">
      <c r="D25" s="1556"/>
      <c r="E25" s="1582" t="s">
        <v>731</v>
      </c>
      <c r="F25" s="1585" t="s">
        <v>780</v>
      </c>
      <c r="G25" s="1572" t="s">
        <v>543</v>
      </c>
      <c r="H25" s="493"/>
      <c r="I25" s="493"/>
      <c r="J25" s="226"/>
      <c r="K25" s="479"/>
      <c r="AF25" s="1549">
        <v>23</v>
      </c>
    </row>
    <row r="26" spans="1:32" ht="76.5" customHeight="1">
      <c r="D26" s="1556"/>
      <c r="E26" s="1582" t="s">
        <v>733</v>
      </c>
      <c r="F26" s="1585" t="s">
        <v>781</v>
      </c>
      <c r="G26" s="1572" t="s">
        <v>543</v>
      </c>
      <c r="H26" s="493"/>
      <c r="I26" s="493"/>
      <c r="J26" s="226"/>
      <c r="K26" s="479"/>
      <c r="AF26" s="1549">
        <v>73</v>
      </c>
    </row>
    <row r="27" spans="1:32" s="2406" customFormat="1" ht="35.65" customHeight="1">
      <c r="A27" s="911"/>
      <c r="C27" s="1554"/>
      <c r="D27" s="1556"/>
      <c r="E27" s="1547" t="s">
        <v>737</v>
      </c>
      <c r="F27" s="1546" t="s">
        <v>782</v>
      </c>
      <c r="G27" s="1573" t="s">
        <v>543</v>
      </c>
      <c r="H27" s="515">
        <f>SUM(H28:H29)</f>
        <v>0</v>
      </c>
      <c r="I27" s="515">
        <f>SUM(I28:I29)</f>
        <v>0</v>
      </c>
      <c r="J27" s="226" t="s">
        <v>735</v>
      </c>
      <c r="K27" s="479"/>
      <c r="L27" s="1554"/>
      <c r="M27" s="1554"/>
      <c r="R27" s="1554"/>
      <c r="U27" s="480"/>
      <c r="AA27" s="1550"/>
      <c r="AB27" s="1550"/>
      <c r="AC27" s="1550"/>
      <c r="AD27" s="1550"/>
      <c r="AE27" s="1550"/>
      <c r="AF27" s="1078">
        <v>34</v>
      </c>
    </row>
    <row r="28" spans="1:32" s="2407" customFormat="1" ht="1.1499999999999999" customHeight="1">
      <c r="A28" s="1085"/>
      <c r="D28" s="484"/>
      <c r="E28" s="732" t="str">
        <f>E27&amp;".0"</f>
        <v>2.9.0</v>
      </c>
      <c r="F28" s="915"/>
      <c r="G28" s="487"/>
      <c r="H28" s="916"/>
      <c r="I28" s="916"/>
      <c r="J28" s="917"/>
      <c r="AF28" s="1554">
        <v>1</v>
      </c>
    </row>
    <row r="29" spans="1:32" s="2406" customFormat="1" ht="19.899999999999999" customHeight="1">
      <c r="A29" s="911"/>
      <c r="C29" s="1554"/>
      <c r="D29" s="1551"/>
      <c r="E29" s="506"/>
      <c r="F29" s="1584" t="s">
        <v>568</v>
      </c>
      <c r="G29" s="508"/>
      <c r="H29" s="509"/>
      <c r="I29" s="509"/>
      <c r="J29" s="238" t="s">
        <v>736</v>
      </c>
      <c r="K29" s="479"/>
      <c r="L29" s="1554"/>
      <c r="M29" s="1554"/>
      <c r="R29" s="1554"/>
      <c r="U29" s="480"/>
      <c r="AA29" s="1550"/>
      <c r="AB29" s="1550"/>
      <c r="AC29" s="1550"/>
      <c r="AD29" s="1550"/>
      <c r="AE29" s="1550"/>
      <c r="AF29" s="1078">
        <v>19</v>
      </c>
    </row>
    <row r="30" spans="1:32" s="2406" customFormat="1" ht="24" customHeight="1">
      <c r="A30" s="911"/>
      <c r="C30" s="1554"/>
      <c r="D30" s="1556"/>
      <c r="E30" s="1582" t="s">
        <v>86</v>
      </c>
      <c r="F30" s="1579" t="s">
        <v>783</v>
      </c>
      <c r="G30" s="1572" t="s">
        <v>543</v>
      </c>
      <c r="H30" s="493"/>
      <c r="I30" s="493"/>
      <c r="J30" s="226"/>
      <c r="K30" s="479"/>
      <c r="L30" s="1554"/>
      <c r="M30" s="1554"/>
      <c r="R30" s="1554"/>
      <c r="U30" s="480"/>
      <c r="AA30" s="1550"/>
      <c r="AB30" s="1550"/>
      <c r="AC30" s="1550"/>
      <c r="AD30" s="1550"/>
      <c r="AE30" s="1550"/>
      <c r="AF30" s="1078">
        <v>23</v>
      </c>
    </row>
    <row r="31" spans="1:32" s="2406" customFormat="1" ht="35.65" customHeight="1">
      <c r="A31" s="911"/>
      <c r="C31" s="1554"/>
      <c r="D31" s="511"/>
      <c r="E31" s="1582" t="s">
        <v>87</v>
      </c>
      <c r="F31" s="1579" t="s">
        <v>784</v>
      </c>
      <c r="G31" s="1572" t="s">
        <v>543</v>
      </c>
      <c r="H31" s="493"/>
      <c r="I31" s="493"/>
      <c r="J31" s="226" t="s">
        <v>785</v>
      </c>
      <c r="K31" s="479"/>
      <c r="L31" s="1554"/>
      <c r="M31" s="1554"/>
      <c r="R31" s="1554"/>
      <c r="U31" s="480"/>
      <c r="AA31" s="1550"/>
      <c r="AB31" s="1550"/>
      <c r="AC31" s="1550"/>
      <c r="AD31" s="1550"/>
      <c r="AE31" s="1550"/>
      <c r="AF31" s="1078">
        <v>34</v>
      </c>
    </row>
    <row r="32" spans="1:32" s="2406" customFormat="1" ht="24" customHeight="1">
      <c r="A32" s="911"/>
      <c r="C32" s="1554"/>
      <c r="D32" s="1556"/>
      <c r="E32" s="1582" t="s">
        <v>745</v>
      </c>
      <c r="F32" s="626" t="s">
        <v>749</v>
      </c>
      <c r="G32" s="1572" t="s">
        <v>543</v>
      </c>
      <c r="H32" s="493"/>
      <c r="I32" s="493"/>
      <c r="J32" s="226" t="s">
        <v>786</v>
      </c>
      <c r="K32" s="479"/>
      <c r="L32" s="1554"/>
      <c r="M32" s="1554"/>
      <c r="R32" s="1554"/>
      <c r="U32" s="480"/>
      <c r="AA32" s="1550"/>
      <c r="AB32" s="1550"/>
      <c r="AC32" s="1550"/>
      <c r="AD32" s="1550"/>
      <c r="AE32" s="1550"/>
      <c r="AF32" s="1078">
        <v>23</v>
      </c>
    </row>
    <row r="33" spans="1:32" s="2406" customFormat="1" ht="24" customHeight="1">
      <c r="A33" s="911"/>
      <c r="C33" s="1554"/>
      <c r="D33" s="1556"/>
      <c r="E33" s="1582" t="s">
        <v>787</v>
      </c>
      <c r="F33" s="626" t="s">
        <v>788</v>
      </c>
      <c r="G33" s="1572" t="s">
        <v>543</v>
      </c>
      <c r="H33" s="493"/>
      <c r="I33" s="493"/>
      <c r="J33" s="226" t="s">
        <v>789</v>
      </c>
      <c r="K33" s="479"/>
      <c r="L33" s="1554"/>
      <c r="M33" s="1554"/>
      <c r="R33" s="1554"/>
      <c r="U33" s="480"/>
      <c r="AA33" s="1550"/>
      <c r="AB33" s="1550"/>
      <c r="AC33" s="1550"/>
      <c r="AD33" s="1550"/>
      <c r="AE33" s="1550"/>
      <c r="AF33" s="1078">
        <v>23</v>
      </c>
    </row>
    <row r="34" spans="1:32" s="2406" customFormat="1" ht="24" customHeight="1">
      <c r="A34" s="911"/>
      <c r="C34" s="1554"/>
      <c r="D34" s="1556"/>
      <c r="E34" s="1582" t="s">
        <v>790</v>
      </c>
      <c r="F34" s="626" t="s">
        <v>755</v>
      </c>
      <c r="G34" s="1572" t="s">
        <v>543</v>
      </c>
      <c r="H34" s="493"/>
      <c r="I34" s="493"/>
      <c r="J34" s="226" t="s">
        <v>791</v>
      </c>
      <c r="K34" s="479"/>
      <c r="L34" s="1554"/>
      <c r="M34" s="1554"/>
      <c r="R34" s="1554"/>
      <c r="U34" s="480"/>
      <c r="AA34" s="1550"/>
      <c r="AB34" s="1550"/>
      <c r="AC34" s="1550"/>
      <c r="AD34" s="1550"/>
      <c r="AE34" s="1550"/>
      <c r="AF34" s="1078">
        <v>23</v>
      </c>
    </row>
    <row r="35" spans="1:32" s="2406" customFormat="1" ht="35.65" customHeight="1">
      <c r="A35" s="911"/>
      <c r="C35" s="1554" t="s">
        <v>579</v>
      </c>
      <c r="D35" s="1556"/>
      <c r="E35" s="1582" t="s">
        <v>104</v>
      </c>
      <c r="F35" s="1579" t="s">
        <v>620</v>
      </c>
      <c r="G35" s="1575" t="s">
        <v>297</v>
      </c>
      <c r="H35" s="337"/>
      <c r="I35" s="337"/>
      <c r="J35" s="226" t="s">
        <v>792</v>
      </c>
      <c r="K35" s="479"/>
      <c r="L35" s="1554"/>
      <c r="M35" s="1554"/>
      <c r="R35" s="1554"/>
      <c r="U35" s="480"/>
      <c r="AA35" s="1550"/>
      <c r="AB35" s="1550"/>
      <c r="AC35" s="1550"/>
      <c r="AD35" s="1550"/>
      <c r="AE35" s="1550"/>
      <c r="AF35" s="1078">
        <v>34</v>
      </c>
    </row>
    <row r="36" spans="1:32" s="2406" customFormat="1" ht="35.65" customHeight="1">
      <c r="A36" s="911"/>
      <c r="C36" s="1554"/>
      <c r="D36" s="1556"/>
      <c r="E36" s="1582" t="s">
        <v>88</v>
      </c>
      <c r="F36" s="1579" t="s">
        <v>793</v>
      </c>
      <c r="G36" s="1572" t="s">
        <v>760</v>
      </c>
      <c r="H36" s="481"/>
      <c r="I36" s="481"/>
      <c r="J36" s="226" t="s">
        <v>761</v>
      </c>
      <c r="K36" s="479"/>
      <c r="L36" s="1554"/>
      <c r="M36" s="1554"/>
      <c r="R36" s="1554"/>
      <c r="U36" s="480"/>
      <c r="AA36" s="1550"/>
      <c r="AB36" s="1550"/>
      <c r="AC36" s="1550"/>
      <c r="AD36" s="1550"/>
      <c r="AE36" s="1550"/>
      <c r="AF36" s="1078">
        <v>34</v>
      </c>
    </row>
    <row r="37" spans="1:32" s="2406" customFormat="1" ht="24" customHeight="1">
      <c r="A37" s="911"/>
      <c r="C37" s="1554"/>
      <c r="D37" s="1556"/>
      <c r="E37" s="1582" t="s">
        <v>89</v>
      </c>
      <c r="F37" s="1579" t="s">
        <v>794</v>
      </c>
      <c r="G37" s="1572" t="s">
        <v>763</v>
      </c>
      <c r="H37" s="481"/>
      <c r="I37" s="481"/>
      <c r="J37" s="226" t="s">
        <v>764</v>
      </c>
      <c r="K37" s="479"/>
      <c r="L37" s="1554"/>
      <c r="M37" s="1554"/>
      <c r="R37" s="1554"/>
      <c r="U37" s="480"/>
      <c r="AA37" s="1550"/>
      <c r="AB37" s="1550"/>
      <c r="AC37" s="1550"/>
      <c r="AD37" s="1550"/>
      <c r="AE37" s="1550"/>
      <c r="AF37" s="1078">
        <v>23</v>
      </c>
    </row>
    <row r="38" spans="1:32" ht="11.45" customHeight="1">
      <c r="D38" s="1556"/>
      <c r="AF38" s="1549">
        <v>11</v>
      </c>
    </row>
    <row r="39" spans="1:32" ht="27.4" customHeight="1">
      <c r="D39" s="1556"/>
      <c r="E39" s="1171" t="s">
        <v>795</v>
      </c>
      <c r="F39" s="2641" t="s">
        <v>796</v>
      </c>
      <c r="G39" s="2641"/>
      <c r="H39" s="305"/>
      <c r="I39" s="305"/>
      <c r="J39" s="305"/>
      <c r="AF39" s="1549">
        <v>26</v>
      </c>
    </row>
    <row r="40" spans="1:32" s="2431" customFormat="1" ht="39.75" customHeight="1">
      <c r="A40" s="911"/>
      <c r="B40" s="1554"/>
      <c r="C40" s="1554"/>
      <c r="D40" s="287"/>
      <c r="F40" s="2641" t="s">
        <v>797</v>
      </c>
      <c r="G40" s="2641"/>
      <c r="H40" s="305"/>
      <c r="I40" s="305"/>
      <c r="J40" s="305"/>
      <c r="K40" s="1078"/>
      <c r="L40" s="1554"/>
      <c r="M40" s="1554"/>
      <c r="N40" s="1078"/>
      <c r="O40" s="1078"/>
      <c r="P40" s="1078"/>
      <c r="Q40" s="1078"/>
      <c r="R40" s="1554"/>
      <c r="S40" s="1078"/>
      <c r="T40" s="1078"/>
      <c r="U40" s="480"/>
      <c r="V40" s="1078"/>
      <c r="W40" s="1078"/>
      <c r="X40" s="1078"/>
      <c r="Y40" s="1078"/>
      <c r="Z40" s="1078"/>
      <c r="AA40" s="1550"/>
      <c r="AB40" s="502"/>
      <c r="AC40" s="502"/>
      <c r="AD40" s="502"/>
      <c r="AE40" s="502"/>
      <c r="AF40" s="1559">
        <v>38</v>
      </c>
    </row>
    <row r="41" spans="1:32" s="2431" customFormat="1" ht="11.45" customHeight="1">
      <c r="A41" s="911"/>
      <c r="B41" s="1554"/>
      <c r="C41" s="1554"/>
      <c r="D41" s="287"/>
      <c r="K41" s="1078"/>
      <c r="L41" s="1554"/>
      <c r="M41" s="1554"/>
      <c r="N41" s="1078"/>
      <c r="O41" s="1078"/>
      <c r="P41" s="1078"/>
      <c r="Q41" s="1078"/>
      <c r="R41" s="1554"/>
      <c r="S41" s="1078"/>
      <c r="T41" s="1078"/>
      <c r="U41" s="480"/>
      <c r="V41" s="1078"/>
      <c r="W41" s="1078"/>
      <c r="X41" s="1078"/>
      <c r="Y41" s="1078"/>
      <c r="Z41" s="1078"/>
      <c r="AA41" s="1550"/>
      <c r="AB41" s="502"/>
      <c r="AC41" s="502"/>
      <c r="AD41" s="502"/>
      <c r="AE41" s="502"/>
      <c r="AF41" s="1559">
        <v>11</v>
      </c>
    </row>
    <row r="42" spans="1:32" s="2431" customFormat="1" ht="11.45" customHeight="1">
      <c r="A42" s="911"/>
      <c r="B42" s="1554"/>
      <c r="C42" s="1554"/>
      <c r="D42" s="287"/>
      <c r="K42" s="1078"/>
      <c r="L42" s="1554"/>
      <c r="M42" s="1554"/>
      <c r="N42" s="1078"/>
      <c r="O42" s="1078"/>
      <c r="P42" s="1078"/>
      <c r="Q42" s="1078"/>
      <c r="R42" s="1554"/>
      <c r="S42" s="1078"/>
      <c r="T42" s="1078"/>
      <c r="U42" s="480"/>
      <c r="V42" s="1078"/>
      <c r="W42" s="1078"/>
      <c r="X42" s="1078"/>
      <c r="Y42" s="1078"/>
      <c r="Z42" s="1078"/>
      <c r="AA42" s="1550"/>
      <c r="AB42" s="502"/>
      <c r="AC42" s="502"/>
      <c r="AD42" s="502"/>
      <c r="AE42" s="502"/>
      <c r="AF42" s="1559">
        <v>11</v>
      </c>
    </row>
    <row r="43" spans="1:32" s="2431" customFormat="1" ht="11.45" customHeight="1">
      <c r="A43" s="911"/>
      <c r="B43" s="1554"/>
      <c r="C43" s="1554"/>
      <c r="D43" s="287"/>
      <c r="H43" s="502"/>
      <c r="I43" s="502"/>
      <c r="K43" s="1078"/>
      <c r="L43" s="1554"/>
      <c r="M43" s="1554"/>
      <c r="N43" s="1078"/>
      <c r="O43" s="1078"/>
      <c r="P43" s="1078"/>
      <c r="Q43" s="1078"/>
      <c r="R43" s="1554"/>
      <c r="S43" s="1078"/>
      <c r="T43" s="1078"/>
      <c r="U43" s="480"/>
      <c r="V43" s="1078"/>
      <c r="W43" s="1078"/>
      <c r="X43" s="1078"/>
      <c r="Y43" s="1078"/>
      <c r="Z43" s="1078"/>
      <c r="AA43" s="1550"/>
      <c r="AB43" s="502"/>
      <c r="AC43" s="502"/>
      <c r="AD43" s="502"/>
      <c r="AE43" s="502"/>
      <c r="AF43" s="1559">
        <v>11</v>
      </c>
    </row>
    <row r="44" spans="1:32" s="2431" customFormat="1" ht="11.45" customHeight="1">
      <c r="A44" s="911"/>
      <c r="B44" s="1554"/>
      <c r="C44" s="1554"/>
      <c r="D44" s="287"/>
      <c r="K44" s="1078"/>
      <c r="L44" s="1554"/>
      <c r="M44" s="1554"/>
      <c r="N44" s="1078"/>
      <c r="O44" s="1078"/>
      <c r="P44" s="1078"/>
      <c r="Q44" s="1078"/>
      <c r="R44" s="1554"/>
      <c r="S44" s="1078"/>
      <c r="T44" s="1078"/>
      <c r="U44" s="480"/>
      <c r="V44" s="1078"/>
      <c r="W44" s="1078"/>
      <c r="X44" s="1078"/>
      <c r="Y44" s="1078"/>
      <c r="Z44" s="1078"/>
      <c r="AA44" s="1550"/>
      <c r="AB44" s="502"/>
      <c r="AC44" s="502"/>
      <c r="AD44" s="502"/>
      <c r="AE44" s="502"/>
      <c r="AF44" s="1559">
        <v>11</v>
      </c>
    </row>
    <row r="45" spans="1:32" s="2431" customFormat="1" ht="11.45" customHeight="1">
      <c r="A45" s="911"/>
      <c r="B45" s="1554"/>
      <c r="C45" s="1554"/>
      <c r="D45" s="287"/>
      <c r="K45" s="1078"/>
      <c r="L45" s="1554"/>
      <c r="M45" s="1554"/>
      <c r="N45" s="1078"/>
      <c r="O45" s="1078"/>
      <c r="P45" s="1078"/>
      <c r="Q45" s="1078"/>
      <c r="R45" s="1554"/>
      <c r="S45" s="1078"/>
      <c r="T45" s="1078"/>
      <c r="U45" s="480"/>
      <c r="V45" s="1078"/>
      <c r="W45" s="1078"/>
      <c r="X45" s="1078"/>
      <c r="Y45" s="1078"/>
      <c r="Z45" s="1078"/>
      <c r="AA45" s="1550"/>
      <c r="AB45" s="502"/>
      <c r="AC45" s="502"/>
      <c r="AD45" s="502"/>
      <c r="AE45" s="502"/>
      <c r="AF45" s="1559">
        <v>11</v>
      </c>
    </row>
    <row r="46" spans="1:32" s="2431" customFormat="1" ht="11.45" customHeight="1">
      <c r="A46" s="911"/>
      <c r="B46" s="1554"/>
      <c r="C46" s="1554"/>
      <c r="D46" s="287"/>
      <c r="K46" s="1078"/>
      <c r="L46" s="1554"/>
      <c r="M46" s="1554"/>
      <c r="N46" s="1078"/>
      <c r="O46" s="1078"/>
      <c r="P46" s="1078"/>
      <c r="Q46" s="1078"/>
      <c r="R46" s="1554"/>
      <c r="S46" s="1078"/>
      <c r="T46" s="1078"/>
      <c r="U46" s="480"/>
      <c r="V46" s="1078"/>
      <c r="W46" s="1078"/>
      <c r="X46" s="1078"/>
      <c r="Y46" s="1078"/>
      <c r="Z46" s="1078"/>
      <c r="AA46" s="1550"/>
      <c r="AB46" s="502"/>
      <c r="AC46" s="502"/>
      <c r="AD46" s="502"/>
      <c r="AE46" s="502"/>
      <c r="AF46" s="1559">
        <v>11</v>
      </c>
    </row>
    <row r="47" spans="1:32" s="2431" customFormat="1" ht="11.45" customHeight="1">
      <c r="A47" s="911"/>
      <c r="B47" s="1554"/>
      <c r="C47" s="1554"/>
      <c r="D47" s="287"/>
      <c r="K47" s="1078"/>
      <c r="L47" s="1554"/>
      <c r="M47" s="1554"/>
      <c r="N47" s="1078"/>
      <c r="O47" s="1078"/>
      <c r="P47" s="1078"/>
      <c r="Q47" s="1078"/>
      <c r="R47" s="1554"/>
      <c r="S47" s="1078"/>
      <c r="T47" s="1078"/>
      <c r="U47" s="480"/>
      <c r="V47" s="1078"/>
      <c r="W47" s="1078"/>
      <c r="X47" s="1078"/>
      <c r="Y47" s="1078"/>
      <c r="Z47" s="1078"/>
      <c r="AA47" s="1550"/>
      <c r="AB47" s="502"/>
      <c r="AC47" s="502"/>
      <c r="AD47" s="502"/>
      <c r="AE47" s="502"/>
      <c r="AF47" s="1559">
        <v>11</v>
      </c>
    </row>
    <row r="48" spans="1:32" s="2431" customFormat="1" ht="11.45" customHeight="1">
      <c r="A48" s="911"/>
      <c r="B48" s="1554"/>
      <c r="C48" s="1554"/>
      <c r="D48" s="287"/>
      <c r="K48" s="1078"/>
      <c r="L48" s="1554"/>
      <c r="M48" s="1554"/>
      <c r="N48" s="1078"/>
      <c r="O48" s="1078"/>
      <c r="P48" s="1078"/>
      <c r="Q48" s="1078"/>
      <c r="R48" s="1554"/>
      <c r="S48" s="1078"/>
      <c r="T48" s="1078"/>
      <c r="U48" s="480"/>
      <c r="V48" s="1078"/>
      <c r="W48" s="1078"/>
      <c r="X48" s="1078"/>
      <c r="Y48" s="1078"/>
      <c r="Z48" s="1078"/>
      <c r="AA48" s="1550"/>
      <c r="AB48" s="502"/>
      <c r="AC48" s="502"/>
      <c r="AD48" s="502"/>
      <c r="AE48" s="502"/>
      <c r="AF48" s="1559">
        <v>11</v>
      </c>
    </row>
    <row r="49" spans="1:32" s="2431" customFormat="1" ht="11.45" customHeight="1">
      <c r="A49" s="911"/>
      <c r="B49" s="1554"/>
      <c r="C49" s="1554"/>
      <c r="D49" s="287"/>
      <c r="K49" s="1078"/>
      <c r="L49" s="1554"/>
      <c r="M49" s="1554"/>
      <c r="N49" s="1078"/>
      <c r="O49" s="1078"/>
      <c r="P49" s="1078"/>
      <c r="Q49" s="1078"/>
      <c r="R49" s="1554"/>
      <c r="S49" s="1078"/>
      <c r="T49" s="1078"/>
      <c r="U49" s="480"/>
      <c r="V49" s="1078"/>
      <c r="W49" s="1078"/>
      <c r="X49" s="1078"/>
      <c r="Y49" s="1078"/>
      <c r="Z49" s="1078"/>
      <c r="AA49" s="1550"/>
      <c r="AB49" s="502"/>
      <c r="AC49" s="502"/>
      <c r="AD49" s="502"/>
      <c r="AE49" s="502"/>
      <c r="AF49" s="1559">
        <v>11</v>
      </c>
    </row>
    <row r="50" spans="1:32" s="2431" customFormat="1" ht="11.45" customHeight="1">
      <c r="A50" s="911"/>
      <c r="B50" s="1554"/>
      <c r="C50" s="1554"/>
      <c r="D50" s="287"/>
      <c r="K50" s="1078"/>
      <c r="L50" s="1554"/>
      <c r="M50" s="1554"/>
      <c r="N50" s="1078"/>
      <c r="O50" s="1078"/>
      <c r="P50" s="1078"/>
      <c r="Q50" s="1078"/>
      <c r="R50" s="1554"/>
      <c r="S50" s="1078"/>
      <c r="T50" s="1078"/>
      <c r="U50" s="480"/>
      <c r="V50" s="1078"/>
      <c r="W50" s="1078"/>
      <c r="X50" s="1078"/>
      <c r="Y50" s="1078"/>
      <c r="Z50" s="1078"/>
      <c r="AA50" s="1550"/>
      <c r="AB50" s="502"/>
      <c r="AC50" s="502"/>
      <c r="AD50" s="502"/>
      <c r="AE50" s="502"/>
      <c r="AF50" s="1559">
        <v>11</v>
      </c>
    </row>
    <row r="51" spans="1:32" s="2431" customFormat="1" ht="11.45" customHeight="1">
      <c r="A51" s="911"/>
      <c r="B51" s="1554"/>
      <c r="C51" s="1554"/>
      <c r="D51" s="287"/>
      <c r="K51" s="1078"/>
      <c r="L51" s="1554"/>
      <c r="M51" s="1554"/>
      <c r="N51" s="1078"/>
      <c r="O51" s="1078"/>
      <c r="P51" s="1078"/>
      <c r="Q51" s="1078"/>
      <c r="R51" s="1554"/>
      <c r="S51" s="1078"/>
      <c r="T51" s="1078"/>
      <c r="U51" s="480"/>
      <c r="V51" s="1078"/>
      <c r="W51" s="1078"/>
      <c r="X51" s="1078"/>
      <c r="Y51" s="1078"/>
      <c r="Z51" s="1078"/>
      <c r="AA51" s="1550"/>
      <c r="AB51" s="502"/>
      <c r="AC51" s="502"/>
      <c r="AD51" s="502"/>
      <c r="AE51" s="502"/>
      <c r="AF51" s="1559">
        <v>11</v>
      </c>
    </row>
    <row r="52" spans="1:32" s="2431" customFormat="1" ht="11.45" customHeight="1">
      <c r="A52" s="911"/>
      <c r="B52" s="1554"/>
      <c r="C52" s="1554"/>
      <c r="D52" s="287"/>
      <c r="K52" s="1078"/>
      <c r="L52" s="1554"/>
      <c r="M52" s="1554"/>
      <c r="N52" s="1078"/>
      <c r="O52" s="1078"/>
      <c r="P52" s="1078"/>
      <c r="Q52" s="1078"/>
      <c r="R52" s="1554"/>
      <c r="S52" s="1078"/>
      <c r="T52" s="1078"/>
      <c r="U52" s="480"/>
      <c r="V52" s="1078"/>
      <c r="W52" s="1078"/>
      <c r="X52" s="1078"/>
      <c r="Y52" s="1078"/>
      <c r="Z52" s="1078"/>
      <c r="AA52" s="1550"/>
      <c r="AB52" s="502"/>
      <c r="AC52" s="502"/>
      <c r="AD52" s="502"/>
      <c r="AE52" s="502"/>
      <c r="AF52" s="1559">
        <v>11</v>
      </c>
    </row>
    <row r="53" spans="1:32" s="2431" customFormat="1" ht="11.45" customHeight="1">
      <c r="A53" s="911"/>
      <c r="B53" s="1554"/>
      <c r="C53" s="1554"/>
      <c r="D53" s="287"/>
      <c r="K53" s="1078"/>
      <c r="L53" s="1554"/>
      <c r="M53" s="1554"/>
      <c r="N53" s="1078"/>
      <c r="O53" s="1078"/>
      <c r="P53" s="1078"/>
      <c r="Q53" s="1078"/>
      <c r="R53" s="1554"/>
      <c r="S53" s="1078"/>
      <c r="T53" s="1078"/>
      <c r="U53" s="480"/>
      <c r="V53" s="1078"/>
      <c r="W53" s="1078"/>
      <c r="X53" s="1078"/>
      <c r="Y53" s="1078"/>
      <c r="Z53" s="1078"/>
      <c r="AA53" s="1550"/>
      <c r="AB53" s="502"/>
      <c r="AC53" s="502"/>
      <c r="AD53" s="502"/>
      <c r="AE53" s="502"/>
      <c r="AF53" s="1559">
        <v>11</v>
      </c>
    </row>
    <row r="54" spans="1:32" s="2431" customFormat="1" ht="11.45" customHeight="1">
      <c r="A54" s="911"/>
      <c r="B54" s="1554"/>
      <c r="C54" s="1554"/>
      <c r="D54" s="287"/>
      <c r="K54" s="1078"/>
      <c r="L54" s="1554"/>
      <c r="M54" s="1554"/>
      <c r="N54" s="1078"/>
      <c r="O54" s="1078"/>
      <c r="P54" s="1078"/>
      <c r="Q54" s="1078"/>
      <c r="R54" s="1554"/>
      <c r="S54" s="1078"/>
      <c r="T54" s="1078"/>
      <c r="U54" s="480"/>
      <c r="V54" s="1078"/>
      <c r="W54" s="1078"/>
      <c r="X54" s="1078"/>
      <c r="Y54" s="1078"/>
      <c r="Z54" s="1078"/>
      <c r="AA54" s="1550"/>
      <c r="AB54" s="502"/>
      <c r="AC54" s="502"/>
      <c r="AD54" s="502"/>
      <c r="AE54" s="502"/>
      <c r="AF54" s="1559">
        <v>11</v>
      </c>
    </row>
    <row r="55" spans="1:32" s="2431" customFormat="1" ht="11.45" customHeight="1">
      <c r="A55" s="911"/>
      <c r="B55" s="1554"/>
      <c r="C55" s="1554"/>
      <c r="D55" s="287"/>
      <c r="K55" s="1078"/>
      <c r="L55" s="1554"/>
      <c r="M55" s="1554"/>
      <c r="N55" s="1078"/>
      <c r="O55" s="1078"/>
      <c r="P55" s="1078"/>
      <c r="Q55" s="1078"/>
      <c r="R55" s="1554"/>
      <c r="S55" s="1078"/>
      <c r="T55" s="1078"/>
      <c r="U55" s="480"/>
      <c r="V55" s="1078"/>
      <c r="W55" s="1078"/>
      <c r="X55" s="1078"/>
      <c r="Y55" s="1078"/>
      <c r="Z55" s="1078"/>
      <c r="AA55" s="1550"/>
      <c r="AB55" s="502"/>
      <c r="AC55" s="502"/>
      <c r="AD55" s="502"/>
      <c r="AE55" s="502"/>
      <c r="AF55" s="1559">
        <v>11</v>
      </c>
    </row>
    <row r="56" spans="1:32" s="2431" customFormat="1" ht="11.45" customHeight="1">
      <c r="A56" s="911"/>
      <c r="B56" s="1554"/>
      <c r="C56" s="1554"/>
      <c r="D56" s="287"/>
      <c r="K56" s="1078"/>
      <c r="L56" s="1554"/>
      <c r="M56" s="1554"/>
      <c r="N56" s="1078"/>
      <c r="O56" s="1078"/>
      <c r="P56" s="1078"/>
      <c r="Q56" s="1078"/>
      <c r="R56" s="1554"/>
      <c r="S56" s="1078"/>
      <c r="T56" s="1078"/>
      <c r="U56" s="480"/>
      <c r="V56" s="1078"/>
      <c r="W56" s="1078"/>
      <c r="X56" s="1078"/>
      <c r="Y56" s="1078"/>
      <c r="Z56" s="1078"/>
      <c r="AA56" s="1550"/>
      <c r="AB56" s="502"/>
      <c r="AC56" s="502"/>
      <c r="AD56" s="502"/>
      <c r="AE56" s="502"/>
      <c r="AF56" s="1559">
        <v>11</v>
      </c>
    </row>
    <row r="57" spans="1:32" s="2431" customFormat="1" ht="11.45" customHeight="1">
      <c r="A57" s="911"/>
      <c r="B57" s="1554"/>
      <c r="C57" s="1554"/>
      <c r="D57" s="287"/>
      <c r="K57" s="1078"/>
      <c r="L57" s="1554"/>
      <c r="M57" s="1554"/>
      <c r="N57" s="1078"/>
      <c r="O57" s="1078"/>
      <c r="P57" s="1078"/>
      <c r="Q57" s="1078"/>
      <c r="R57" s="1554"/>
      <c r="S57" s="1078"/>
      <c r="T57" s="1078"/>
      <c r="U57" s="480"/>
      <c r="V57" s="1078"/>
      <c r="W57" s="1078"/>
      <c r="X57" s="1078"/>
      <c r="Y57" s="1078"/>
      <c r="Z57" s="1078"/>
      <c r="AA57" s="1550"/>
      <c r="AB57" s="502"/>
      <c r="AC57" s="502"/>
      <c r="AD57" s="502"/>
      <c r="AE57" s="502"/>
      <c r="AF57" s="1559">
        <v>11</v>
      </c>
    </row>
    <row r="58" spans="1:32" s="2431" customFormat="1" ht="11.45" customHeight="1">
      <c r="A58" s="911"/>
      <c r="B58" s="1554"/>
      <c r="C58" s="1554"/>
      <c r="D58" s="287"/>
      <c r="K58" s="1078"/>
      <c r="L58" s="1554"/>
      <c r="M58" s="1554"/>
      <c r="N58" s="1078"/>
      <c r="O58" s="1078"/>
      <c r="P58" s="1078"/>
      <c r="Q58" s="1078"/>
      <c r="R58" s="1554"/>
      <c r="S58" s="1078"/>
      <c r="T58" s="1078"/>
      <c r="U58" s="480"/>
      <c r="V58" s="1078"/>
      <c r="W58" s="1078"/>
      <c r="X58" s="1078"/>
      <c r="Y58" s="1078"/>
      <c r="Z58" s="1078"/>
      <c r="AA58" s="1550"/>
      <c r="AB58" s="502"/>
      <c r="AC58" s="502"/>
      <c r="AD58" s="502"/>
      <c r="AE58" s="502"/>
      <c r="AF58" s="1559">
        <v>11</v>
      </c>
    </row>
    <row r="59" spans="1:32" s="2431" customFormat="1" ht="11.45" customHeight="1">
      <c r="A59" s="911"/>
      <c r="B59" s="1554"/>
      <c r="C59" s="1554"/>
      <c r="D59" s="287"/>
      <c r="K59" s="1078"/>
      <c r="L59" s="1554"/>
      <c r="M59" s="1554"/>
      <c r="N59" s="1078"/>
      <c r="O59" s="1078"/>
      <c r="P59" s="1078"/>
      <c r="Q59" s="1078"/>
      <c r="R59" s="1554"/>
      <c r="S59" s="1078"/>
      <c r="T59" s="1078"/>
      <c r="U59" s="480"/>
      <c r="V59" s="1078"/>
      <c r="W59" s="1078"/>
      <c r="X59" s="1078"/>
      <c r="Y59" s="1078"/>
      <c r="Z59" s="1078"/>
      <c r="AA59" s="1550"/>
      <c r="AB59" s="502"/>
      <c r="AC59" s="502"/>
      <c r="AD59" s="502"/>
      <c r="AE59" s="502"/>
      <c r="AF59" s="1559">
        <v>11</v>
      </c>
    </row>
    <row r="60" spans="1:32" s="2431" customFormat="1" ht="11.45" customHeight="1">
      <c r="A60" s="911"/>
      <c r="B60" s="1554"/>
      <c r="C60" s="1554"/>
      <c r="D60" s="287"/>
      <c r="K60" s="1078"/>
      <c r="L60" s="1554"/>
      <c r="M60" s="1554"/>
      <c r="N60" s="1078"/>
      <c r="O60" s="1078"/>
      <c r="P60" s="1078"/>
      <c r="Q60" s="1078"/>
      <c r="R60" s="1554"/>
      <c r="S60" s="1078"/>
      <c r="T60" s="1078"/>
      <c r="U60" s="480"/>
      <c r="V60" s="1078"/>
      <c r="W60" s="1078"/>
      <c r="X60" s="1078"/>
      <c r="Y60" s="1078"/>
      <c r="Z60" s="1078"/>
      <c r="AA60" s="1550"/>
      <c r="AB60" s="502"/>
      <c r="AC60" s="502"/>
      <c r="AD60" s="502"/>
      <c r="AE60" s="502"/>
      <c r="AF60" s="1559">
        <v>11</v>
      </c>
    </row>
    <row r="61" spans="1:32" s="2431" customFormat="1" ht="11.45" customHeight="1">
      <c r="A61" s="911"/>
      <c r="B61" s="1554"/>
      <c r="C61" s="1554"/>
      <c r="D61" s="287"/>
      <c r="K61" s="1078"/>
      <c r="L61" s="1554"/>
      <c r="M61" s="1554"/>
      <c r="N61" s="1078"/>
      <c r="O61" s="1078"/>
      <c r="P61" s="1078"/>
      <c r="Q61" s="1078"/>
      <c r="R61" s="1554"/>
      <c r="S61" s="1078"/>
      <c r="T61" s="1078"/>
      <c r="U61" s="480"/>
      <c r="V61" s="1078"/>
      <c r="W61" s="1078"/>
      <c r="X61" s="1078"/>
      <c r="Y61" s="1078"/>
      <c r="Z61" s="1078"/>
      <c r="AA61" s="1550"/>
      <c r="AB61" s="502"/>
      <c r="AC61" s="502"/>
      <c r="AD61" s="502"/>
      <c r="AE61" s="502"/>
      <c r="AF61" s="1559">
        <v>11</v>
      </c>
    </row>
    <row r="62" spans="1:32" s="2431" customFormat="1" ht="11.45" customHeight="1">
      <c r="A62" s="911"/>
      <c r="B62" s="1554"/>
      <c r="C62" s="1554"/>
      <c r="D62" s="287"/>
      <c r="K62" s="1078"/>
      <c r="L62" s="1554"/>
      <c r="M62" s="1554"/>
      <c r="N62" s="1078"/>
      <c r="O62" s="1078"/>
      <c r="P62" s="1078"/>
      <c r="Q62" s="1078"/>
      <c r="R62" s="1554"/>
      <c r="S62" s="1078"/>
      <c r="T62" s="1078"/>
      <c r="U62" s="480"/>
      <c r="V62" s="1078"/>
      <c r="W62" s="1078"/>
      <c r="X62" s="1078"/>
      <c r="Y62" s="1078"/>
      <c r="Z62" s="1078"/>
      <c r="AA62" s="1550"/>
      <c r="AB62" s="502"/>
      <c r="AC62" s="502"/>
      <c r="AD62" s="502"/>
      <c r="AE62" s="502"/>
      <c r="AF62" s="1559">
        <v>11</v>
      </c>
    </row>
    <row r="63" spans="1:32" s="2431" customFormat="1" ht="11.45" customHeight="1">
      <c r="A63" s="911"/>
      <c r="B63" s="1554"/>
      <c r="C63" s="1554"/>
      <c r="D63" s="287"/>
      <c r="K63" s="1078"/>
      <c r="L63" s="1554"/>
      <c r="M63" s="1554"/>
      <c r="N63" s="1078"/>
      <c r="O63" s="1078"/>
      <c r="P63" s="1078"/>
      <c r="Q63" s="1078"/>
      <c r="R63" s="1554"/>
      <c r="S63" s="1078"/>
      <c r="T63" s="1078"/>
      <c r="U63" s="480"/>
      <c r="V63" s="1078"/>
      <c r="W63" s="1078"/>
      <c r="X63" s="1078"/>
      <c r="Y63" s="1078"/>
      <c r="Z63" s="1078"/>
      <c r="AA63" s="1550"/>
      <c r="AB63" s="502"/>
      <c r="AC63" s="502"/>
      <c r="AD63" s="502"/>
      <c r="AE63" s="502"/>
      <c r="AF63" s="1559">
        <v>11</v>
      </c>
    </row>
    <row r="64" spans="1:32" s="2431" customFormat="1" ht="11.45" customHeight="1">
      <c r="A64" s="911"/>
      <c r="B64" s="1554"/>
      <c r="C64" s="1554"/>
      <c r="D64" s="287"/>
      <c r="K64" s="1078"/>
      <c r="L64" s="1554"/>
      <c r="M64" s="1554"/>
      <c r="N64" s="1078"/>
      <c r="O64" s="1078"/>
      <c r="P64" s="1078"/>
      <c r="Q64" s="1078"/>
      <c r="R64" s="1554"/>
      <c r="S64" s="1078"/>
      <c r="T64" s="1078"/>
      <c r="U64" s="480"/>
      <c r="V64" s="1078"/>
      <c r="W64" s="1078"/>
      <c r="X64" s="1078"/>
      <c r="Y64" s="1078"/>
      <c r="Z64" s="1078"/>
      <c r="AA64" s="1550"/>
      <c r="AB64" s="502"/>
      <c r="AC64" s="502"/>
      <c r="AD64" s="502"/>
      <c r="AE64" s="502"/>
      <c r="AF64" s="1559">
        <v>11</v>
      </c>
    </row>
    <row r="65" spans="1:32" s="2431" customFormat="1" ht="11.45" customHeight="1">
      <c r="A65" s="911"/>
      <c r="B65" s="1554"/>
      <c r="C65" s="1554"/>
      <c r="D65" s="287"/>
      <c r="K65" s="1078"/>
      <c r="L65" s="1554"/>
      <c r="M65" s="1554"/>
      <c r="N65" s="1078"/>
      <c r="O65" s="1078"/>
      <c r="P65" s="1078"/>
      <c r="Q65" s="1078"/>
      <c r="R65" s="1554"/>
      <c r="S65" s="1078"/>
      <c r="T65" s="1078"/>
      <c r="U65" s="480"/>
      <c r="V65" s="1078"/>
      <c r="W65" s="1078"/>
      <c r="X65" s="1078"/>
      <c r="Y65" s="1078"/>
      <c r="Z65" s="1078"/>
      <c r="AA65" s="1550"/>
      <c r="AB65" s="502"/>
      <c r="AC65" s="502"/>
      <c r="AD65" s="502"/>
      <c r="AE65" s="502"/>
      <c r="AF65" s="1559">
        <v>11</v>
      </c>
    </row>
    <row r="66" spans="1:32" s="2431" customFormat="1" ht="11.45" customHeight="1">
      <c r="A66" s="911"/>
      <c r="B66" s="1554"/>
      <c r="C66" s="1554"/>
      <c r="D66" s="287"/>
      <c r="K66" s="1078"/>
      <c r="L66" s="1554"/>
      <c r="M66" s="1554"/>
      <c r="N66" s="1078"/>
      <c r="O66" s="1078"/>
      <c r="P66" s="1078"/>
      <c r="Q66" s="1078"/>
      <c r="R66" s="1554"/>
      <c r="S66" s="1078"/>
      <c r="T66" s="1078"/>
      <c r="U66" s="480"/>
      <c r="V66" s="1078"/>
      <c r="W66" s="1078"/>
      <c r="X66" s="1078"/>
      <c r="Y66" s="1078"/>
      <c r="Z66" s="1078"/>
      <c r="AA66" s="1550"/>
      <c r="AB66" s="502"/>
      <c r="AC66" s="502"/>
      <c r="AD66" s="502"/>
      <c r="AE66" s="502"/>
      <c r="AF66" s="1559">
        <v>11</v>
      </c>
    </row>
    <row r="67" spans="1:32" s="2431" customFormat="1" ht="11.45" customHeight="1">
      <c r="A67" s="911"/>
      <c r="B67" s="1554"/>
      <c r="C67" s="1554"/>
      <c r="D67" s="287"/>
      <c r="K67" s="1078"/>
      <c r="L67" s="1554"/>
      <c r="M67" s="1554"/>
      <c r="N67" s="1078"/>
      <c r="O67" s="1078"/>
      <c r="P67" s="1078"/>
      <c r="Q67" s="1078"/>
      <c r="R67" s="1554"/>
      <c r="S67" s="1078"/>
      <c r="T67" s="1078"/>
      <c r="U67" s="480"/>
      <c r="V67" s="1078"/>
      <c r="W67" s="1078"/>
      <c r="X67" s="1078"/>
      <c r="Y67" s="1078"/>
      <c r="Z67" s="1078"/>
      <c r="AA67" s="1550"/>
      <c r="AB67" s="502"/>
      <c r="AC67" s="502"/>
      <c r="AD67" s="502"/>
      <c r="AE67" s="502"/>
      <c r="AF67" s="1559">
        <v>11</v>
      </c>
    </row>
    <row r="68" spans="1:32" s="2431" customFormat="1" ht="11.45" customHeight="1">
      <c r="A68" s="911"/>
      <c r="B68" s="1554"/>
      <c r="C68" s="1554"/>
      <c r="D68" s="287"/>
      <c r="K68" s="1078"/>
      <c r="L68" s="1554"/>
      <c r="M68" s="1554"/>
      <c r="N68" s="1078"/>
      <c r="O68" s="1078"/>
      <c r="P68" s="1078"/>
      <c r="Q68" s="1078"/>
      <c r="R68" s="1554"/>
      <c r="S68" s="1078"/>
      <c r="T68" s="1078"/>
      <c r="U68" s="480"/>
      <c r="V68" s="1078"/>
      <c r="W68" s="1078"/>
      <c r="X68" s="1078"/>
      <c r="Y68" s="1078"/>
      <c r="Z68" s="1078"/>
      <c r="AA68" s="1550"/>
      <c r="AB68" s="502"/>
      <c r="AC68" s="502"/>
      <c r="AD68" s="502"/>
      <c r="AE68" s="502"/>
      <c r="AF68" s="1559">
        <v>11</v>
      </c>
    </row>
    <row r="69" spans="1:32" s="2431" customFormat="1" ht="11.45" customHeight="1">
      <c r="A69" s="911"/>
      <c r="B69" s="1554"/>
      <c r="C69" s="1554"/>
      <c r="D69" s="287"/>
      <c r="K69" s="1078"/>
      <c r="L69" s="1554"/>
      <c r="M69" s="1554"/>
      <c r="N69" s="1078"/>
      <c r="O69" s="1078"/>
      <c r="P69" s="1078"/>
      <c r="Q69" s="1078"/>
      <c r="R69" s="1554"/>
      <c r="S69" s="1078"/>
      <c r="T69" s="1078"/>
      <c r="U69" s="480"/>
      <c r="V69" s="1078"/>
      <c r="W69" s="1078"/>
      <c r="X69" s="1078"/>
      <c r="Y69" s="1078"/>
      <c r="Z69" s="1078"/>
      <c r="AA69" s="1550"/>
      <c r="AB69" s="502"/>
      <c r="AC69" s="502"/>
      <c r="AD69" s="502"/>
      <c r="AE69" s="502"/>
      <c r="AF69" s="1559">
        <v>11</v>
      </c>
    </row>
    <row r="70" spans="1:32" s="2431" customFormat="1" ht="11.45" customHeight="1">
      <c r="A70" s="911"/>
      <c r="B70" s="1554"/>
      <c r="C70" s="1554"/>
      <c r="D70" s="287"/>
      <c r="K70" s="1078"/>
      <c r="L70" s="1554"/>
      <c r="M70" s="1554"/>
      <c r="N70" s="1078"/>
      <c r="O70" s="1078"/>
      <c r="P70" s="1078"/>
      <c r="Q70" s="1078"/>
      <c r="R70" s="1554"/>
      <c r="S70" s="1078"/>
      <c r="T70" s="1078"/>
      <c r="U70" s="480"/>
      <c r="V70" s="1078"/>
      <c r="W70" s="1078"/>
      <c r="X70" s="1078"/>
      <c r="Y70" s="1078"/>
      <c r="Z70" s="1078"/>
      <c r="AA70" s="1550"/>
      <c r="AB70" s="502"/>
      <c r="AC70" s="502"/>
      <c r="AD70" s="502"/>
      <c r="AE70" s="502"/>
      <c r="AF70" s="1559">
        <v>11</v>
      </c>
    </row>
    <row r="71" spans="1:32" s="2431" customFormat="1" ht="11.45" customHeight="1">
      <c r="A71" s="911"/>
      <c r="B71" s="1554"/>
      <c r="C71" s="1554"/>
      <c r="D71" s="287"/>
      <c r="K71" s="1078"/>
      <c r="L71" s="1554"/>
      <c r="M71" s="1554"/>
      <c r="N71" s="1078"/>
      <c r="O71" s="1078"/>
      <c r="P71" s="1078"/>
      <c r="Q71" s="1078"/>
      <c r="R71" s="1554"/>
      <c r="S71" s="1078"/>
      <c r="T71" s="1078"/>
      <c r="U71" s="480"/>
      <c r="V71" s="1078"/>
      <c r="W71" s="1078"/>
      <c r="X71" s="1078"/>
      <c r="Y71" s="1078"/>
      <c r="Z71" s="1078"/>
      <c r="AA71" s="1550"/>
      <c r="AB71" s="502"/>
      <c r="AC71" s="502"/>
      <c r="AD71" s="502"/>
      <c r="AE71" s="502"/>
      <c r="AF71" s="1559">
        <v>11</v>
      </c>
    </row>
    <row r="72" spans="1:32" s="2431" customFormat="1" ht="11.45" customHeight="1">
      <c r="A72" s="911"/>
      <c r="B72" s="1554"/>
      <c r="C72" s="1554"/>
      <c r="D72" s="287"/>
      <c r="K72" s="1078"/>
      <c r="L72" s="1554"/>
      <c r="M72" s="1554"/>
      <c r="N72" s="1078"/>
      <c r="O72" s="1078"/>
      <c r="P72" s="1078"/>
      <c r="Q72" s="1078"/>
      <c r="R72" s="1554"/>
      <c r="S72" s="1078"/>
      <c r="T72" s="1078"/>
      <c r="U72" s="480"/>
      <c r="V72" s="1078"/>
      <c r="W72" s="1078"/>
      <c r="X72" s="1078"/>
      <c r="Y72" s="1078"/>
      <c r="Z72" s="1078"/>
      <c r="AA72" s="1550"/>
      <c r="AB72" s="502"/>
      <c r="AC72" s="502"/>
      <c r="AD72" s="502"/>
      <c r="AE72" s="502"/>
      <c r="AF72" s="1559">
        <v>11</v>
      </c>
    </row>
    <row r="73" spans="1:32" s="2431" customFormat="1" ht="11.45" customHeight="1">
      <c r="A73" s="911"/>
      <c r="B73" s="1554"/>
      <c r="C73" s="1554"/>
      <c r="D73" s="287"/>
      <c r="K73" s="1078"/>
      <c r="L73" s="1554"/>
      <c r="M73" s="1554"/>
      <c r="N73" s="1078"/>
      <c r="O73" s="1078"/>
      <c r="P73" s="1078"/>
      <c r="Q73" s="1078"/>
      <c r="R73" s="1554"/>
      <c r="S73" s="1078"/>
      <c r="T73" s="1078"/>
      <c r="U73" s="480"/>
      <c r="V73" s="1078"/>
      <c r="W73" s="1078"/>
      <c r="X73" s="1078"/>
      <c r="Y73" s="1078"/>
      <c r="Z73" s="1078"/>
      <c r="AA73" s="1550"/>
      <c r="AB73" s="502"/>
      <c r="AC73" s="502"/>
      <c r="AD73" s="502"/>
      <c r="AE73" s="502"/>
      <c r="AF73" s="1559">
        <v>11</v>
      </c>
    </row>
    <row r="74" spans="1:32" s="2431" customFormat="1" ht="11.45" customHeight="1">
      <c r="A74" s="911"/>
      <c r="B74" s="1554"/>
      <c r="C74" s="1554"/>
      <c r="D74" s="287"/>
      <c r="K74" s="1078"/>
      <c r="L74" s="1554"/>
      <c r="M74" s="1554"/>
      <c r="N74" s="1078"/>
      <c r="O74" s="1078"/>
      <c r="P74" s="1078"/>
      <c r="Q74" s="1078"/>
      <c r="R74" s="1554"/>
      <c r="S74" s="1078"/>
      <c r="T74" s="1078"/>
      <c r="U74" s="480"/>
      <c r="V74" s="1078"/>
      <c r="W74" s="1078"/>
      <c r="X74" s="1078"/>
      <c r="Y74" s="1078"/>
      <c r="Z74" s="1078"/>
      <c r="AA74" s="1550"/>
      <c r="AB74" s="502"/>
      <c r="AC74" s="502"/>
      <c r="AD74" s="502"/>
      <c r="AE74" s="502"/>
      <c r="AF74" s="1559">
        <v>11</v>
      </c>
    </row>
    <row r="75" spans="1:32" s="2431" customFormat="1" ht="11.45" customHeight="1">
      <c r="A75" s="911"/>
      <c r="B75" s="1554"/>
      <c r="C75" s="1554"/>
      <c r="D75" s="287"/>
      <c r="K75" s="1078"/>
      <c r="L75" s="1554"/>
      <c r="M75" s="1554"/>
      <c r="N75" s="1078"/>
      <c r="O75" s="1078"/>
      <c r="P75" s="1078"/>
      <c r="Q75" s="1078"/>
      <c r="R75" s="1554"/>
      <c r="S75" s="1078"/>
      <c r="T75" s="1078"/>
      <c r="U75" s="480"/>
      <c r="V75" s="1078"/>
      <c r="W75" s="1078"/>
      <c r="X75" s="1078"/>
      <c r="Y75" s="1078"/>
      <c r="Z75" s="1078"/>
      <c r="AA75" s="1550"/>
      <c r="AB75" s="502"/>
      <c r="AC75" s="502"/>
      <c r="AD75" s="502"/>
      <c r="AE75" s="502"/>
      <c r="AF75" s="1559">
        <v>11</v>
      </c>
    </row>
    <row r="76" spans="1:32" s="2431" customFormat="1" ht="11.45" customHeight="1">
      <c r="A76" s="911"/>
      <c r="B76" s="1554"/>
      <c r="C76" s="1554"/>
      <c r="D76" s="287"/>
      <c r="K76" s="1078"/>
      <c r="L76" s="1554"/>
      <c r="M76" s="1554"/>
      <c r="N76" s="1078"/>
      <c r="O76" s="1078"/>
      <c r="P76" s="1078"/>
      <c r="Q76" s="1078"/>
      <c r="R76" s="1554"/>
      <c r="S76" s="1078"/>
      <c r="T76" s="1078"/>
      <c r="U76" s="480"/>
      <c r="V76" s="1078"/>
      <c r="W76" s="1078"/>
      <c r="X76" s="1078"/>
      <c r="Y76" s="1078"/>
      <c r="Z76" s="1078"/>
      <c r="AA76" s="1550"/>
      <c r="AB76" s="502"/>
      <c r="AC76" s="502"/>
      <c r="AD76" s="502"/>
      <c r="AE76" s="502"/>
      <c r="AF76" s="1559">
        <v>11</v>
      </c>
    </row>
    <row r="77" spans="1:32" s="2431" customFormat="1" ht="11.45" customHeight="1">
      <c r="A77" s="911"/>
      <c r="B77" s="1554"/>
      <c r="C77" s="1554"/>
      <c r="D77" s="287"/>
      <c r="K77" s="1078"/>
      <c r="L77" s="1554"/>
      <c r="M77" s="1554"/>
      <c r="N77" s="1078"/>
      <c r="O77" s="1078"/>
      <c r="P77" s="1078"/>
      <c r="Q77" s="1078"/>
      <c r="R77" s="1554"/>
      <c r="S77" s="1078"/>
      <c r="T77" s="1078"/>
      <c r="U77" s="480"/>
      <c r="V77" s="1078"/>
      <c r="W77" s="1078"/>
      <c r="X77" s="1078"/>
      <c r="Y77" s="1078"/>
      <c r="Z77" s="1078"/>
      <c r="AA77" s="1550"/>
      <c r="AB77" s="502"/>
      <c r="AC77" s="502"/>
      <c r="AD77" s="502"/>
      <c r="AE77" s="502"/>
      <c r="AF77" s="1559">
        <v>11</v>
      </c>
    </row>
    <row r="78" spans="1:32" s="2431" customFormat="1" ht="11.45" customHeight="1">
      <c r="A78" s="911"/>
      <c r="B78" s="1554"/>
      <c r="C78" s="1554"/>
      <c r="D78" s="287"/>
      <c r="K78" s="1078"/>
      <c r="L78" s="1554"/>
      <c r="M78" s="1554"/>
      <c r="N78" s="1078"/>
      <c r="O78" s="1078"/>
      <c r="P78" s="1078"/>
      <c r="Q78" s="1078"/>
      <c r="R78" s="1554"/>
      <c r="S78" s="1078"/>
      <c r="T78" s="1078"/>
      <c r="U78" s="480"/>
      <c r="V78" s="1078"/>
      <c r="W78" s="1078"/>
      <c r="X78" s="1078"/>
      <c r="Y78" s="1078"/>
      <c r="Z78" s="1078"/>
      <c r="AA78" s="1550"/>
      <c r="AB78" s="502"/>
      <c r="AC78" s="502"/>
      <c r="AD78" s="502"/>
      <c r="AE78" s="502"/>
      <c r="AF78" s="1559">
        <v>11</v>
      </c>
    </row>
    <row r="79" spans="1:32" s="2431" customFormat="1" ht="11.45" customHeight="1">
      <c r="A79" s="911"/>
      <c r="B79" s="1554"/>
      <c r="C79" s="1554"/>
      <c r="D79" s="287"/>
      <c r="K79" s="1078"/>
      <c r="L79" s="1554"/>
      <c r="M79" s="1554"/>
      <c r="N79" s="1078"/>
      <c r="O79" s="1078"/>
      <c r="P79" s="1078"/>
      <c r="Q79" s="1078"/>
      <c r="R79" s="1554"/>
      <c r="S79" s="1078"/>
      <c r="T79" s="1078"/>
      <c r="U79" s="480"/>
      <c r="V79" s="1078"/>
      <c r="W79" s="1078"/>
      <c r="X79" s="1078"/>
      <c r="Y79" s="1078"/>
      <c r="Z79" s="1078"/>
      <c r="AA79" s="1550"/>
      <c r="AB79" s="502"/>
      <c r="AC79" s="502"/>
      <c r="AD79" s="502"/>
      <c r="AE79" s="502"/>
      <c r="AF79" s="1559">
        <v>11</v>
      </c>
    </row>
    <row r="80" spans="1:32" s="2431" customFormat="1" ht="11.45" customHeight="1">
      <c r="A80" s="911"/>
      <c r="B80" s="1554"/>
      <c r="C80" s="1554"/>
      <c r="D80" s="287"/>
      <c r="K80" s="1078"/>
      <c r="L80" s="1554"/>
      <c r="M80" s="1554"/>
      <c r="N80" s="1078"/>
      <c r="O80" s="1078"/>
      <c r="P80" s="1078"/>
      <c r="Q80" s="1078"/>
      <c r="R80" s="1554"/>
      <c r="S80" s="1078"/>
      <c r="T80" s="1078"/>
      <c r="U80" s="480"/>
      <c r="V80" s="1078"/>
      <c r="W80" s="1078"/>
      <c r="X80" s="1078"/>
      <c r="Y80" s="1078"/>
      <c r="Z80" s="1078"/>
      <c r="AA80" s="1550"/>
      <c r="AB80" s="502"/>
      <c r="AC80" s="502"/>
      <c r="AD80" s="502"/>
      <c r="AE80" s="502"/>
      <c r="AF80" s="1559">
        <v>11</v>
      </c>
    </row>
    <row r="81" spans="1:32" s="2431" customFormat="1" ht="11.45" customHeight="1">
      <c r="A81" s="911"/>
      <c r="B81" s="1554"/>
      <c r="C81" s="1554"/>
      <c r="D81" s="287"/>
      <c r="K81" s="1078"/>
      <c r="L81" s="1554"/>
      <c r="M81" s="1554"/>
      <c r="N81" s="1078"/>
      <c r="O81" s="1078"/>
      <c r="P81" s="1078"/>
      <c r="Q81" s="1078"/>
      <c r="R81" s="1554"/>
      <c r="S81" s="1078"/>
      <c r="T81" s="1078"/>
      <c r="U81" s="480"/>
      <c r="V81" s="1078"/>
      <c r="W81" s="1078"/>
      <c r="X81" s="1078"/>
      <c r="Y81" s="1078"/>
      <c r="Z81" s="1078"/>
      <c r="AA81" s="1550"/>
      <c r="AB81" s="502"/>
      <c r="AC81" s="502"/>
      <c r="AD81" s="502"/>
      <c r="AE81" s="502"/>
      <c r="AF81" s="1559">
        <v>11</v>
      </c>
    </row>
    <row r="82" spans="1:32" s="2431" customFormat="1" ht="11.45" customHeight="1">
      <c r="A82" s="911"/>
      <c r="B82" s="1554"/>
      <c r="C82" s="1554"/>
      <c r="D82" s="287"/>
      <c r="K82" s="1078"/>
      <c r="L82" s="1554"/>
      <c r="M82" s="1554"/>
      <c r="N82" s="1078"/>
      <c r="O82" s="1078"/>
      <c r="P82" s="1078"/>
      <c r="Q82" s="1078"/>
      <c r="R82" s="1554"/>
      <c r="S82" s="1078"/>
      <c r="T82" s="1078"/>
      <c r="U82" s="480"/>
      <c r="V82" s="1078"/>
      <c r="W82" s="1078"/>
      <c r="X82" s="1078"/>
      <c r="Y82" s="1078"/>
      <c r="Z82" s="1078"/>
      <c r="AA82" s="1550"/>
      <c r="AB82" s="502"/>
      <c r="AC82" s="502"/>
      <c r="AD82" s="502"/>
      <c r="AE82" s="502"/>
      <c r="AF82" s="1559">
        <v>11</v>
      </c>
    </row>
    <row r="83" spans="1:32" s="2431" customFormat="1" ht="11.45" customHeight="1">
      <c r="A83" s="911"/>
      <c r="B83" s="1554"/>
      <c r="C83" s="1554"/>
      <c r="D83" s="287"/>
      <c r="K83" s="1078"/>
      <c r="L83" s="1554"/>
      <c r="M83" s="1554"/>
      <c r="N83" s="1078"/>
      <c r="O83" s="1078"/>
      <c r="P83" s="1078"/>
      <c r="Q83" s="1078"/>
      <c r="R83" s="1554"/>
      <c r="S83" s="1078"/>
      <c r="T83" s="1078"/>
      <c r="U83" s="480"/>
      <c r="V83" s="1078"/>
      <c r="W83" s="1078"/>
      <c r="X83" s="1078"/>
      <c r="Y83" s="1078"/>
      <c r="Z83" s="1078"/>
      <c r="AA83" s="1550"/>
      <c r="AB83" s="502"/>
      <c r="AC83" s="502"/>
      <c r="AD83" s="502"/>
      <c r="AE83" s="502"/>
      <c r="AF83" s="1559">
        <v>11</v>
      </c>
    </row>
    <row r="84" spans="1:32" s="2431" customFormat="1" ht="11.45" customHeight="1">
      <c r="A84" s="911"/>
      <c r="B84" s="1554"/>
      <c r="C84" s="1554"/>
      <c r="D84" s="287"/>
      <c r="K84" s="1078"/>
      <c r="L84" s="1554"/>
      <c r="M84" s="1554"/>
      <c r="N84" s="1078"/>
      <c r="O84" s="1078"/>
      <c r="P84" s="1078"/>
      <c r="Q84" s="1078"/>
      <c r="R84" s="1554"/>
      <c r="S84" s="1078"/>
      <c r="T84" s="1078"/>
      <c r="U84" s="480"/>
      <c r="V84" s="1078"/>
      <c r="W84" s="1078"/>
      <c r="X84" s="1078"/>
      <c r="Y84" s="1078"/>
      <c r="Z84" s="1078"/>
      <c r="AA84" s="1550"/>
      <c r="AB84" s="502"/>
      <c r="AC84" s="502"/>
      <c r="AD84" s="502"/>
      <c r="AE84" s="502"/>
      <c r="AF84" s="1559">
        <v>11</v>
      </c>
    </row>
    <row r="85" spans="1:32" s="2431" customFormat="1" ht="11.45" customHeight="1">
      <c r="A85" s="911"/>
      <c r="B85" s="1554"/>
      <c r="C85" s="1554"/>
      <c r="D85" s="287"/>
      <c r="K85" s="1078"/>
      <c r="L85" s="1554"/>
      <c r="M85" s="1554"/>
      <c r="N85" s="1078"/>
      <c r="O85" s="1078"/>
      <c r="P85" s="1078"/>
      <c r="Q85" s="1078"/>
      <c r="R85" s="1554"/>
      <c r="S85" s="1078"/>
      <c r="T85" s="1078"/>
      <c r="U85" s="480"/>
      <c r="V85" s="1078"/>
      <c r="W85" s="1078"/>
      <c r="X85" s="1078"/>
      <c r="Y85" s="1078"/>
      <c r="Z85" s="1078"/>
      <c r="AA85" s="1550"/>
      <c r="AB85" s="502"/>
      <c r="AC85" s="502"/>
      <c r="AD85" s="502"/>
      <c r="AE85" s="502"/>
      <c r="AF85" s="1559">
        <v>11</v>
      </c>
    </row>
    <row r="86" spans="1:32" s="2431" customFormat="1" ht="11.45" customHeight="1">
      <c r="A86" s="911"/>
      <c r="B86" s="1554"/>
      <c r="C86" s="1554"/>
      <c r="D86" s="287"/>
      <c r="K86" s="1078"/>
      <c r="L86" s="1554"/>
      <c r="M86" s="1554"/>
      <c r="N86" s="1078"/>
      <c r="O86" s="1078"/>
      <c r="P86" s="1078"/>
      <c r="Q86" s="1078"/>
      <c r="R86" s="1554"/>
      <c r="S86" s="1078"/>
      <c r="T86" s="1078"/>
      <c r="U86" s="480"/>
      <c r="V86" s="1078"/>
      <c r="W86" s="1078"/>
      <c r="X86" s="1078"/>
      <c r="Y86" s="1078"/>
      <c r="Z86" s="1078"/>
      <c r="AA86" s="1550"/>
      <c r="AB86" s="502"/>
      <c r="AC86" s="502"/>
      <c r="AD86" s="502"/>
      <c r="AE86" s="502"/>
      <c r="AF86" s="1559">
        <v>11</v>
      </c>
    </row>
    <row r="87" spans="1:32" s="2431" customFormat="1" ht="11.45" customHeight="1">
      <c r="A87" s="911"/>
      <c r="B87" s="1554"/>
      <c r="C87" s="1554"/>
      <c r="D87" s="287"/>
      <c r="K87" s="1078"/>
      <c r="L87" s="1554"/>
      <c r="M87" s="1554"/>
      <c r="N87" s="1078"/>
      <c r="O87" s="1078"/>
      <c r="P87" s="1078"/>
      <c r="Q87" s="1078"/>
      <c r="R87" s="1554"/>
      <c r="S87" s="1078"/>
      <c r="T87" s="1078"/>
      <c r="U87" s="480"/>
      <c r="V87" s="1078"/>
      <c r="W87" s="1078"/>
      <c r="X87" s="1078"/>
      <c r="Y87" s="1078"/>
      <c r="Z87" s="1078"/>
      <c r="AA87" s="1550"/>
      <c r="AB87" s="502"/>
      <c r="AC87" s="502"/>
      <c r="AD87" s="502"/>
      <c r="AE87" s="502"/>
      <c r="AF87" s="1559">
        <v>11</v>
      </c>
    </row>
    <row r="88" spans="1:32" s="2431" customFormat="1" ht="11.45" customHeight="1">
      <c r="A88" s="911"/>
      <c r="B88" s="1554"/>
      <c r="C88" s="1554"/>
      <c r="D88" s="287"/>
      <c r="K88" s="1078"/>
      <c r="L88" s="1554"/>
      <c r="M88" s="1554"/>
      <c r="N88" s="1078"/>
      <c r="O88" s="1078"/>
      <c r="P88" s="1078"/>
      <c r="Q88" s="1078"/>
      <c r="R88" s="1554"/>
      <c r="S88" s="1078"/>
      <c r="T88" s="1078"/>
      <c r="U88" s="480"/>
      <c r="V88" s="1078"/>
      <c r="W88" s="1078"/>
      <c r="X88" s="1078"/>
      <c r="Y88" s="1078"/>
      <c r="Z88" s="1078"/>
      <c r="AA88" s="1550"/>
      <c r="AB88" s="502"/>
      <c r="AC88" s="502"/>
      <c r="AD88" s="502"/>
      <c r="AE88" s="502"/>
      <c r="AF88" s="1559">
        <v>11</v>
      </c>
    </row>
    <row r="89" spans="1:32" s="2431" customFormat="1" ht="11.45" customHeight="1">
      <c r="A89" s="911"/>
      <c r="B89" s="1554"/>
      <c r="C89" s="1554"/>
      <c r="D89" s="287"/>
      <c r="K89" s="1078"/>
      <c r="L89" s="1554"/>
      <c r="M89" s="1554"/>
      <c r="N89" s="1078"/>
      <c r="O89" s="1078"/>
      <c r="P89" s="1078"/>
      <c r="Q89" s="1078"/>
      <c r="R89" s="1554"/>
      <c r="S89" s="1078"/>
      <c r="T89" s="1078"/>
      <c r="U89" s="480"/>
      <c r="V89" s="1078"/>
      <c r="W89" s="1078"/>
      <c r="X89" s="1078"/>
      <c r="Y89" s="1078"/>
      <c r="Z89" s="1078"/>
      <c r="AA89" s="1550"/>
      <c r="AB89" s="502"/>
      <c r="AC89" s="502"/>
      <c r="AD89" s="502"/>
      <c r="AE89" s="502"/>
      <c r="AF89" s="1559">
        <v>11</v>
      </c>
    </row>
    <row r="90" spans="1:32" s="2431" customFormat="1" ht="11.45" customHeight="1">
      <c r="A90" s="911"/>
      <c r="B90" s="1554"/>
      <c r="C90" s="1554"/>
      <c r="D90" s="287"/>
      <c r="K90" s="1078"/>
      <c r="L90" s="1554"/>
      <c r="M90" s="1554"/>
      <c r="N90" s="1078"/>
      <c r="O90" s="1078"/>
      <c r="P90" s="1078"/>
      <c r="Q90" s="1078"/>
      <c r="R90" s="1554"/>
      <c r="S90" s="1078"/>
      <c r="T90" s="1078"/>
      <c r="U90" s="480"/>
      <c r="V90" s="1078"/>
      <c r="W90" s="1078"/>
      <c r="X90" s="1078"/>
      <c r="Y90" s="1078"/>
      <c r="Z90" s="1078"/>
      <c r="AA90" s="1550"/>
      <c r="AB90" s="502"/>
      <c r="AC90" s="502"/>
      <c r="AD90" s="502"/>
      <c r="AE90" s="502"/>
      <c r="AF90" s="1559">
        <v>11</v>
      </c>
    </row>
    <row r="91" spans="1:32" s="2431" customFormat="1" ht="11.45" customHeight="1">
      <c r="A91" s="911"/>
      <c r="B91" s="1554"/>
      <c r="C91" s="1554"/>
      <c r="D91" s="287"/>
      <c r="K91" s="1078"/>
      <c r="L91" s="1554"/>
      <c r="M91" s="1554"/>
      <c r="N91" s="1078"/>
      <c r="O91" s="1078"/>
      <c r="P91" s="1078"/>
      <c r="Q91" s="1078"/>
      <c r="R91" s="1554"/>
      <c r="S91" s="1078"/>
      <c r="T91" s="1078"/>
      <c r="U91" s="480"/>
      <c r="V91" s="1078"/>
      <c r="W91" s="1078"/>
      <c r="X91" s="1078"/>
      <c r="Y91" s="1078"/>
      <c r="Z91" s="1078"/>
      <c r="AA91" s="1550"/>
      <c r="AB91" s="502"/>
      <c r="AC91" s="502"/>
      <c r="AD91" s="502"/>
      <c r="AE91" s="502"/>
      <c r="AF91" s="1559">
        <v>11</v>
      </c>
    </row>
    <row r="92" spans="1:32" s="2431" customFormat="1" ht="11.45" customHeight="1">
      <c r="A92" s="911"/>
      <c r="B92" s="1554"/>
      <c r="C92" s="1554"/>
      <c r="D92" s="287"/>
      <c r="K92" s="1078"/>
      <c r="L92" s="1554"/>
      <c r="M92" s="1554"/>
      <c r="N92" s="1078"/>
      <c r="O92" s="1078"/>
      <c r="P92" s="1078"/>
      <c r="Q92" s="1078"/>
      <c r="R92" s="1554"/>
      <c r="S92" s="1078"/>
      <c r="T92" s="1078"/>
      <c r="U92" s="480"/>
      <c r="V92" s="1078"/>
      <c r="W92" s="1078"/>
      <c r="X92" s="1078"/>
      <c r="Y92" s="1078"/>
      <c r="Z92" s="1078"/>
      <c r="AA92" s="1550"/>
      <c r="AB92" s="502"/>
      <c r="AC92" s="502"/>
      <c r="AD92" s="502"/>
      <c r="AE92" s="502"/>
      <c r="AF92" s="1559">
        <v>11</v>
      </c>
    </row>
    <row r="93" spans="1:32" s="2431" customFormat="1" ht="11.45" customHeight="1">
      <c r="A93" s="911"/>
      <c r="B93" s="1554"/>
      <c r="C93" s="1554"/>
      <c r="D93" s="287"/>
      <c r="K93" s="1078"/>
      <c r="L93" s="1554"/>
      <c r="M93" s="1554"/>
      <c r="N93" s="1078"/>
      <c r="O93" s="1078"/>
      <c r="P93" s="1078"/>
      <c r="Q93" s="1078"/>
      <c r="R93" s="1554"/>
      <c r="S93" s="1078"/>
      <c r="T93" s="1078"/>
      <c r="U93" s="480"/>
      <c r="V93" s="1078"/>
      <c r="W93" s="1078"/>
      <c r="X93" s="1078"/>
      <c r="Y93" s="1078"/>
      <c r="Z93" s="1078"/>
      <c r="AA93" s="1550"/>
      <c r="AB93" s="502"/>
      <c r="AC93" s="502"/>
      <c r="AD93" s="502"/>
      <c r="AE93" s="502"/>
      <c r="AF93" s="1559">
        <v>11</v>
      </c>
    </row>
    <row r="94" spans="1:32" s="2431" customFormat="1" ht="11.45" customHeight="1">
      <c r="A94" s="911"/>
      <c r="B94" s="1554"/>
      <c r="C94" s="1554"/>
      <c r="D94" s="287"/>
      <c r="K94" s="1078"/>
      <c r="L94" s="1554"/>
      <c r="M94" s="1554"/>
      <c r="N94" s="1078"/>
      <c r="O94" s="1078"/>
      <c r="P94" s="1078"/>
      <c r="Q94" s="1078"/>
      <c r="R94" s="1554"/>
      <c r="S94" s="1078"/>
      <c r="T94" s="1078"/>
      <c r="U94" s="480"/>
      <c r="V94" s="1078"/>
      <c r="W94" s="1078"/>
      <c r="X94" s="1078"/>
      <c r="Y94" s="1078"/>
      <c r="Z94" s="1078"/>
      <c r="AA94" s="1550"/>
      <c r="AB94" s="502"/>
      <c r="AC94" s="502"/>
      <c r="AD94" s="502"/>
      <c r="AE94" s="502"/>
      <c r="AF94" s="1559">
        <v>11</v>
      </c>
    </row>
    <row r="95" spans="1:32" s="2431" customFormat="1" ht="11.45" customHeight="1">
      <c r="A95" s="911"/>
      <c r="B95" s="1554"/>
      <c r="C95" s="1554"/>
      <c r="D95" s="287"/>
      <c r="K95" s="1078"/>
      <c r="L95" s="1554"/>
      <c r="M95" s="1554"/>
      <c r="N95" s="1078"/>
      <c r="O95" s="1078"/>
      <c r="P95" s="1078"/>
      <c r="Q95" s="1078"/>
      <c r="R95" s="1554"/>
      <c r="S95" s="1078"/>
      <c r="T95" s="1078"/>
      <c r="U95" s="480"/>
      <c r="V95" s="1078"/>
      <c r="W95" s="1078"/>
      <c r="X95" s="1078"/>
      <c r="Y95" s="1078"/>
      <c r="Z95" s="1078"/>
      <c r="AA95" s="1550"/>
      <c r="AB95" s="502"/>
      <c r="AC95" s="502"/>
      <c r="AD95" s="502"/>
      <c r="AE95" s="502"/>
      <c r="AF95" s="1559">
        <v>11</v>
      </c>
    </row>
    <row r="96" spans="1:32" s="2431" customFormat="1" ht="11.45" customHeight="1">
      <c r="A96" s="911"/>
      <c r="B96" s="1554"/>
      <c r="C96" s="1554"/>
      <c r="D96" s="287"/>
      <c r="K96" s="1078"/>
      <c r="L96" s="1554"/>
      <c r="M96" s="1554"/>
      <c r="N96" s="1078"/>
      <c r="O96" s="1078"/>
      <c r="P96" s="1078"/>
      <c r="Q96" s="1078"/>
      <c r="R96" s="1554"/>
      <c r="S96" s="1078"/>
      <c r="T96" s="1078"/>
      <c r="U96" s="480"/>
      <c r="V96" s="1078"/>
      <c r="W96" s="1078"/>
      <c r="X96" s="1078"/>
      <c r="Y96" s="1078"/>
      <c r="Z96" s="1078"/>
      <c r="AA96" s="1550"/>
      <c r="AB96" s="502"/>
      <c r="AC96" s="502"/>
      <c r="AD96" s="502"/>
      <c r="AE96" s="502"/>
      <c r="AF96" s="1559">
        <v>11</v>
      </c>
    </row>
    <row r="97" spans="1:32" s="2431" customFormat="1" ht="11.45" customHeight="1">
      <c r="A97" s="911"/>
      <c r="B97" s="1554"/>
      <c r="C97" s="1554"/>
      <c r="D97" s="287"/>
      <c r="K97" s="1078"/>
      <c r="L97" s="1554"/>
      <c r="M97" s="1554"/>
      <c r="N97" s="1078"/>
      <c r="O97" s="1078"/>
      <c r="P97" s="1078"/>
      <c r="Q97" s="1078"/>
      <c r="R97" s="1554"/>
      <c r="S97" s="1078"/>
      <c r="T97" s="1078"/>
      <c r="U97" s="480"/>
      <c r="V97" s="1078"/>
      <c r="W97" s="1078"/>
      <c r="X97" s="1078"/>
      <c r="Y97" s="1078"/>
      <c r="Z97" s="1078"/>
      <c r="AA97" s="1550"/>
      <c r="AB97" s="502"/>
      <c r="AC97" s="502"/>
      <c r="AD97" s="502"/>
      <c r="AE97" s="502"/>
      <c r="AF97" s="1559">
        <v>11</v>
      </c>
    </row>
    <row r="98" spans="1:32" s="2431" customFormat="1" ht="11.45" customHeight="1">
      <c r="A98" s="911"/>
      <c r="B98" s="1554"/>
      <c r="C98" s="1554"/>
      <c r="D98" s="287"/>
      <c r="K98" s="1078"/>
      <c r="L98" s="1554"/>
      <c r="M98" s="1554"/>
      <c r="N98" s="1078"/>
      <c r="O98" s="1078"/>
      <c r="P98" s="1078"/>
      <c r="Q98" s="1078"/>
      <c r="R98" s="1554"/>
      <c r="S98" s="1078"/>
      <c r="T98" s="1078"/>
      <c r="U98" s="480"/>
      <c r="V98" s="1078"/>
      <c r="W98" s="1078"/>
      <c r="X98" s="1078"/>
      <c r="Y98" s="1078"/>
      <c r="Z98" s="1078"/>
      <c r="AA98" s="1550"/>
      <c r="AB98" s="502"/>
      <c r="AC98" s="502"/>
      <c r="AD98" s="502"/>
      <c r="AE98" s="502"/>
      <c r="AF98" s="1559">
        <v>11</v>
      </c>
    </row>
    <row r="99" spans="1:32" s="2431" customFormat="1" ht="11.45" customHeight="1">
      <c r="A99" s="911"/>
      <c r="B99" s="1554"/>
      <c r="C99" s="1554"/>
      <c r="D99" s="287"/>
      <c r="K99" s="1078"/>
      <c r="L99" s="1554"/>
      <c r="M99" s="1554"/>
      <c r="N99" s="1078"/>
      <c r="O99" s="1078"/>
      <c r="P99" s="1078"/>
      <c r="Q99" s="1078"/>
      <c r="R99" s="1554"/>
      <c r="S99" s="1078"/>
      <c r="T99" s="1078"/>
      <c r="U99" s="480"/>
      <c r="V99" s="1078"/>
      <c r="W99" s="1078"/>
      <c r="X99" s="1078"/>
      <c r="Y99" s="1078"/>
      <c r="Z99" s="1078"/>
      <c r="AA99" s="1550"/>
      <c r="AB99" s="502"/>
      <c r="AC99" s="502"/>
      <c r="AD99" s="502"/>
      <c r="AE99" s="502"/>
      <c r="AF99" s="1559">
        <v>11</v>
      </c>
    </row>
    <row r="100" spans="1:32" s="2431" customFormat="1" ht="11.45" customHeight="1">
      <c r="A100" s="911"/>
      <c r="B100" s="1554"/>
      <c r="C100" s="1554"/>
      <c r="D100" s="287"/>
      <c r="K100" s="1078"/>
      <c r="L100" s="1554"/>
      <c r="M100" s="1554"/>
      <c r="N100" s="1078"/>
      <c r="O100" s="1078"/>
      <c r="P100" s="1078"/>
      <c r="Q100" s="1078"/>
      <c r="R100" s="1554"/>
      <c r="S100" s="1078"/>
      <c r="T100" s="1078"/>
      <c r="U100" s="480"/>
      <c r="V100" s="1078"/>
      <c r="W100" s="1078"/>
      <c r="X100" s="1078"/>
      <c r="Y100" s="1078"/>
      <c r="Z100" s="1078"/>
      <c r="AA100" s="1550"/>
      <c r="AB100" s="502"/>
      <c r="AC100" s="502"/>
      <c r="AD100" s="502"/>
      <c r="AE100" s="502"/>
      <c r="AF100" s="1559">
        <v>11</v>
      </c>
    </row>
    <row r="101" spans="1:32" s="2431" customFormat="1" ht="11.45" customHeight="1">
      <c r="A101" s="911"/>
      <c r="B101" s="1554"/>
      <c r="C101" s="1554"/>
      <c r="D101" s="287"/>
      <c r="K101" s="1078"/>
      <c r="L101" s="1554"/>
      <c r="M101" s="1554"/>
      <c r="N101" s="1078"/>
      <c r="O101" s="1078"/>
      <c r="P101" s="1078"/>
      <c r="Q101" s="1078"/>
      <c r="R101" s="1554"/>
      <c r="S101" s="1078"/>
      <c r="T101" s="1078"/>
      <c r="U101" s="480"/>
      <c r="V101" s="1078"/>
      <c r="W101" s="1078"/>
      <c r="X101" s="1078"/>
      <c r="Y101" s="1078"/>
      <c r="Z101" s="1078"/>
      <c r="AA101" s="1550"/>
      <c r="AB101" s="502"/>
      <c r="AC101" s="502"/>
      <c r="AD101" s="502"/>
      <c r="AE101" s="502"/>
      <c r="AF101" s="1559">
        <v>11</v>
      </c>
    </row>
    <row r="102" spans="1:32" s="2431" customFormat="1" ht="11.45" customHeight="1">
      <c r="A102" s="911"/>
      <c r="B102" s="1554"/>
      <c r="C102" s="1554"/>
      <c r="D102" s="287"/>
      <c r="K102" s="1078"/>
      <c r="L102" s="1554"/>
      <c r="M102" s="1554"/>
      <c r="N102" s="1078"/>
      <c r="O102" s="1078"/>
      <c r="P102" s="1078"/>
      <c r="Q102" s="1078"/>
      <c r="R102" s="1554"/>
      <c r="S102" s="1078"/>
      <c r="T102" s="1078"/>
      <c r="U102" s="480"/>
      <c r="V102" s="1078"/>
      <c r="W102" s="1078"/>
      <c r="X102" s="1078"/>
      <c r="Y102" s="1078"/>
      <c r="Z102" s="1078"/>
      <c r="AA102" s="1550"/>
      <c r="AB102" s="502"/>
      <c r="AC102" s="502"/>
      <c r="AD102" s="502"/>
      <c r="AE102" s="502"/>
      <c r="AF102" s="1559">
        <v>11</v>
      </c>
    </row>
    <row r="103" spans="1:32" s="2431" customFormat="1" ht="11.45" customHeight="1">
      <c r="A103" s="911"/>
      <c r="B103" s="1554"/>
      <c r="C103" s="1554"/>
      <c r="D103" s="287"/>
      <c r="K103" s="1078"/>
      <c r="L103" s="1554"/>
      <c r="M103" s="1554"/>
      <c r="N103" s="1078"/>
      <c r="O103" s="1078"/>
      <c r="P103" s="1078"/>
      <c r="Q103" s="1078"/>
      <c r="R103" s="1554"/>
      <c r="S103" s="1078"/>
      <c r="T103" s="1078"/>
      <c r="U103" s="480"/>
      <c r="V103" s="1078"/>
      <c r="W103" s="1078"/>
      <c r="X103" s="1078"/>
      <c r="Y103" s="1078"/>
      <c r="Z103" s="1078"/>
      <c r="AA103" s="1550"/>
      <c r="AB103" s="502"/>
      <c r="AC103" s="502"/>
      <c r="AD103" s="502"/>
      <c r="AE103" s="502"/>
      <c r="AF103" s="1559">
        <v>11</v>
      </c>
    </row>
    <row r="104" spans="1:32" s="2431" customFormat="1" ht="11.45" customHeight="1">
      <c r="A104" s="911"/>
      <c r="B104" s="1554"/>
      <c r="C104" s="1554"/>
      <c r="D104" s="287"/>
      <c r="K104" s="1078"/>
      <c r="L104" s="1554"/>
      <c r="M104" s="1554"/>
      <c r="N104" s="1078"/>
      <c r="O104" s="1078"/>
      <c r="P104" s="1078"/>
      <c r="Q104" s="1078"/>
      <c r="R104" s="1554"/>
      <c r="S104" s="1078"/>
      <c r="T104" s="1078"/>
      <c r="U104" s="480"/>
      <c r="V104" s="1078"/>
      <c r="W104" s="1078"/>
      <c r="X104" s="1078"/>
      <c r="Y104" s="1078"/>
      <c r="Z104" s="1078"/>
      <c r="AA104" s="1550"/>
      <c r="AB104" s="502"/>
      <c r="AC104" s="502"/>
      <c r="AD104" s="502"/>
      <c r="AE104" s="502"/>
      <c r="AF104" s="1559">
        <v>11</v>
      </c>
    </row>
    <row r="105" spans="1:32" s="2431" customFormat="1" ht="11.45" customHeight="1">
      <c r="A105" s="911"/>
      <c r="B105" s="1554"/>
      <c r="C105" s="1554"/>
      <c r="D105" s="287"/>
      <c r="K105" s="1078"/>
      <c r="L105" s="1554"/>
      <c r="M105" s="1554"/>
      <c r="N105" s="1078"/>
      <c r="O105" s="1078"/>
      <c r="P105" s="1078"/>
      <c r="Q105" s="1078"/>
      <c r="R105" s="1554"/>
      <c r="S105" s="1078"/>
      <c r="T105" s="1078"/>
      <c r="U105" s="480"/>
      <c r="V105" s="1078"/>
      <c r="W105" s="1078"/>
      <c r="X105" s="1078"/>
      <c r="Y105" s="1078"/>
      <c r="Z105" s="1078"/>
      <c r="AA105" s="1550"/>
      <c r="AB105" s="502"/>
      <c r="AC105" s="502"/>
      <c r="AD105" s="502"/>
      <c r="AE105" s="502"/>
      <c r="AF105" s="1559">
        <v>11</v>
      </c>
    </row>
    <row r="106" spans="1:32" s="2431" customFormat="1" ht="11.45" customHeight="1">
      <c r="A106" s="911"/>
      <c r="B106" s="1554"/>
      <c r="C106" s="1554"/>
      <c r="D106" s="287"/>
      <c r="K106" s="1078"/>
      <c r="L106" s="1554"/>
      <c r="M106" s="1554"/>
      <c r="N106" s="1078"/>
      <c r="O106" s="1078"/>
      <c r="P106" s="1078"/>
      <c r="Q106" s="1078"/>
      <c r="R106" s="1554"/>
      <c r="S106" s="1078"/>
      <c r="T106" s="1078"/>
      <c r="U106" s="480"/>
      <c r="V106" s="1078"/>
      <c r="W106" s="1078"/>
      <c r="X106" s="1078"/>
      <c r="Y106" s="1078"/>
      <c r="Z106" s="1078"/>
      <c r="AA106" s="1550"/>
      <c r="AB106" s="502"/>
      <c r="AC106" s="502"/>
      <c r="AD106" s="502"/>
      <c r="AE106" s="502"/>
      <c r="AF106" s="1559">
        <v>11</v>
      </c>
    </row>
    <row r="107" spans="1:32" s="2431" customFormat="1" ht="11.45" customHeight="1">
      <c r="A107" s="911"/>
      <c r="B107" s="1554"/>
      <c r="C107" s="1554"/>
      <c r="D107" s="287"/>
      <c r="K107" s="1078"/>
      <c r="L107" s="1554"/>
      <c r="M107" s="1554"/>
      <c r="N107" s="1078"/>
      <c r="O107" s="1078"/>
      <c r="P107" s="1078"/>
      <c r="Q107" s="1078"/>
      <c r="R107" s="1554"/>
      <c r="S107" s="1078"/>
      <c r="T107" s="1078"/>
      <c r="U107" s="480"/>
      <c r="V107" s="1078"/>
      <c r="W107" s="1078"/>
      <c r="X107" s="1078"/>
      <c r="Y107" s="1078"/>
      <c r="Z107" s="1078"/>
      <c r="AA107" s="1550"/>
      <c r="AB107" s="502"/>
      <c r="AC107" s="502"/>
      <c r="AD107" s="502"/>
      <c r="AE107" s="502"/>
      <c r="AF107" s="1559">
        <v>11</v>
      </c>
    </row>
    <row r="108" spans="1:32" s="2431" customFormat="1" ht="11.45" customHeight="1">
      <c r="A108" s="911"/>
      <c r="B108" s="1554"/>
      <c r="C108" s="1554"/>
      <c r="D108" s="287"/>
      <c r="K108" s="1078"/>
      <c r="L108" s="1554"/>
      <c r="M108" s="1554"/>
      <c r="N108" s="1078"/>
      <c r="O108" s="1078"/>
      <c r="P108" s="1078"/>
      <c r="Q108" s="1078"/>
      <c r="R108" s="1554"/>
      <c r="S108" s="1078"/>
      <c r="T108" s="1078"/>
      <c r="U108" s="480"/>
      <c r="V108" s="1078"/>
      <c r="W108" s="1078"/>
      <c r="X108" s="1078"/>
      <c r="Y108" s="1078"/>
      <c r="Z108" s="1078"/>
      <c r="AA108" s="1550"/>
      <c r="AB108" s="502"/>
      <c r="AC108" s="502"/>
      <c r="AD108" s="502"/>
      <c r="AE108" s="502"/>
      <c r="AF108" s="1559">
        <v>11</v>
      </c>
    </row>
    <row r="109" spans="1:32" s="2431" customFormat="1" ht="11.45" customHeight="1">
      <c r="A109" s="911"/>
      <c r="B109" s="1554"/>
      <c r="C109" s="1554"/>
      <c r="D109" s="287"/>
      <c r="K109" s="1078"/>
      <c r="L109" s="1554"/>
      <c r="M109" s="1554"/>
      <c r="N109" s="1078"/>
      <c r="O109" s="1078"/>
      <c r="P109" s="1078"/>
      <c r="Q109" s="1078"/>
      <c r="R109" s="1554"/>
      <c r="S109" s="1078"/>
      <c r="T109" s="1078"/>
      <c r="U109" s="480"/>
      <c r="V109" s="1078"/>
      <c r="W109" s="1078"/>
      <c r="X109" s="1078"/>
      <c r="Y109" s="1078"/>
      <c r="Z109" s="1078"/>
      <c r="AA109" s="1550"/>
      <c r="AB109" s="502"/>
      <c r="AC109" s="502"/>
      <c r="AD109" s="502"/>
      <c r="AE109" s="502"/>
      <c r="AF109" s="1559">
        <v>11</v>
      </c>
    </row>
    <row r="110" spans="1:32" s="2431" customFormat="1" ht="11.45" customHeight="1">
      <c r="A110" s="911"/>
      <c r="B110" s="1554"/>
      <c r="C110" s="1554"/>
      <c r="D110" s="287"/>
      <c r="K110" s="1078"/>
      <c r="L110" s="1554"/>
      <c r="M110" s="1554"/>
      <c r="N110" s="1078"/>
      <c r="O110" s="1078"/>
      <c r="P110" s="1078"/>
      <c r="Q110" s="1078"/>
      <c r="R110" s="1554"/>
      <c r="S110" s="1078"/>
      <c r="T110" s="1078"/>
      <c r="U110" s="480"/>
      <c r="V110" s="1078"/>
      <c r="W110" s="1078"/>
      <c r="X110" s="1078"/>
      <c r="Y110" s="1078"/>
      <c r="Z110" s="1078"/>
      <c r="AA110" s="1550"/>
      <c r="AB110" s="502"/>
      <c r="AC110" s="502"/>
      <c r="AD110" s="502"/>
      <c r="AE110" s="502"/>
      <c r="AF110" s="1559">
        <v>11</v>
      </c>
    </row>
    <row r="111" spans="1:32" s="2431" customFormat="1" ht="11.45" customHeight="1">
      <c r="A111" s="911"/>
      <c r="B111" s="1554"/>
      <c r="C111" s="1554"/>
      <c r="D111" s="287"/>
      <c r="K111" s="1078"/>
      <c r="L111" s="1554"/>
      <c r="M111" s="1554"/>
      <c r="N111" s="1078"/>
      <c r="O111" s="1078"/>
      <c r="P111" s="1078"/>
      <c r="Q111" s="1078"/>
      <c r="R111" s="1554"/>
      <c r="S111" s="1078"/>
      <c r="T111" s="1078"/>
      <c r="U111" s="480"/>
      <c r="V111" s="1078"/>
      <c r="W111" s="1078"/>
      <c r="X111" s="1078"/>
      <c r="Y111" s="1078"/>
      <c r="Z111" s="1078"/>
      <c r="AA111" s="1550"/>
      <c r="AB111" s="502"/>
      <c r="AC111" s="502"/>
      <c r="AD111" s="502"/>
      <c r="AE111" s="502"/>
      <c r="AF111" s="1559">
        <v>11</v>
      </c>
    </row>
    <row r="112" spans="1:32" s="2431" customFormat="1" ht="11.45" customHeight="1">
      <c r="A112" s="911"/>
      <c r="B112" s="1554"/>
      <c r="C112" s="1554"/>
      <c r="D112" s="287"/>
      <c r="K112" s="1078"/>
      <c r="L112" s="1554"/>
      <c r="M112" s="1554"/>
      <c r="N112" s="1078"/>
      <c r="O112" s="1078"/>
      <c r="P112" s="1078"/>
      <c r="Q112" s="1078"/>
      <c r="R112" s="1554"/>
      <c r="S112" s="1078"/>
      <c r="T112" s="1078"/>
      <c r="U112" s="480"/>
      <c r="V112" s="1078"/>
      <c r="W112" s="1078"/>
      <c r="X112" s="1078"/>
      <c r="Y112" s="1078"/>
      <c r="Z112" s="1078"/>
      <c r="AA112" s="1550"/>
      <c r="AB112" s="502"/>
      <c r="AC112" s="502"/>
      <c r="AD112" s="502"/>
      <c r="AE112" s="502"/>
      <c r="AF112" s="1559">
        <v>11</v>
      </c>
    </row>
    <row r="113" spans="1:32" s="2431" customFormat="1" ht="11.45" customHeight="1">
      <c r="A113" s="911"/>
      <c r="B113" s="1554"/>
      <c r="C113" s="1554"/>
      <c r="D113" s="287"/>
      <c r="K113" s="1078"/>
      <c r="L113" s="1554"/>
      <c r="M113" s="1554"/>
      <c r="N113" s="1078"/>
      <c r="O113" s="1078"/>
      <c r="P113" s="1078"/>
      <c r="Q113" s="1078"/>
      <c r="R113" s="1554"/>
      <c r="S113" s="1078"/>
      <c r="T113" s="1078"/>
      <c r="U113" s="480"/>
      <c r="V113" s="1078"/>
      <c r="W113" s="1078"/>
      <c r="X113" s="1078"/>
      <c r="Y113" s="1078"/>
      <c r="Z113" s="1078"/>
      <c r="AA113" s="1550"/>
      <c r="AB113" s="502"/>
      <c r="AC113" s="502"/>
      <c r="AD113" s="502"/>
      <c r="AE113" s="502"/>
      <c r="AF113" s="1559">
        <v>11</v>
      </c>
    </row>
    <row r="114" spans="1:32" s="2431" customFormat="1" ht="11.45" customHeight="1">
      <c r="A114" s="911"/>
      <c r="B114" s="1554"/>
      <c r="C114" s="1554"/>
      <c r="D114" s="287"/>
      <c r="K114" s="1078"/>
      <c r="L114" s="1554"/>
      <c r="M114" s="1554"/>
      <c r="N114" s="1078"/>
      <c r="O114" s="1078"/>
      <c r="P114" s="1078"/>
      <c r="Q114" s="1078"/>
      <c r="R114" s="1554"/>
      <c r="S114" s="1078"/>
      <c r="T114" s="1078"/>
      <c r="U114" s="480"/>
      <c r="V114" s="1078"/>
      <c r="W114" s="1078"/>
      <c r="X114" s="1078"/>
      <c r="Y114" s="1078"/>
      <c r="Z114" s="1078"/>
      <c r="AA114" s="1550"/>
      <c r="AB114" s="502"/>
      <c r="AC114" s="502"/>
      <c r="AD114" s="502"/>
      <c r="AE114" s="502"/>
      <c r="AF114" s="1559">
        <v>11</v>
      </c>
    </row>
    <row r="115" spans="1:32" s="2431" customFormat="1" ht="11.45" customHeight="1">
      <c r="A115" s="911"/>
      <c r="B115" s="1554"/>
      <c r="C115" s="1554"/>
      <c r="D115" s="287"/>
      <c r="K115" s="1078"/>
      <c r="L115" s="1554"/>
      <c r="M115" s="1554"/>
      <c r="N115" s="1078"/>
      <c r="O115" s="1078"/>
      <c r="P115" s="1078"/>
      <c r="Q115" s="1078"/>
      <c r="R115" s="1554"/>
      <c r="S115" s="1078"/>
      <c r="T115" s="1078"/>
      <c r="U115" s="480"/>
      <c r="V115" s="1078"/>
      <c r="W115" s="1078"/>
      <c r="X115" s="1078"/>
      <c r="Y115" s="1078"/>
      <c r="Z115" s="1078"/>
      <c r="AA115" s="1550"/>
      <c r="AB115" s="502"/>
      <c r="AC115" s="502"/>
      <c r="AD115" s="502"/>
      <c r="AE115" s="502"/>
      <c r="AF115" s="1559">
        <v>11</v>
      </c>
    </row>
    <row r="116" spans="1:32" s="2431" customFormat="1" ht="11.45" customHeight="1">
      <c r="A116" s="911"/>
      <c r="B116" s="1554"/>
      <c r="C116" s="1554"/>
      <c r="D116" s="287"/>
      <c r="K116" s="1078"/>
      <c r="L116" s="1554"/>
      <c r="M116" s="1554"/>
      <c r="N116" s="1078"/>
      <c r="O116" s="1078"/>
      <c r="P116" s="1078"/>
      <c r="Q116" s="1078"/>
      <c r="R116" s="1554"/>
      <c r="S116" s="1078"/>
      <c r="T116" s="1078"/>
      <c r="U116" s="480"/>
      <c r="V116" s="1078"/>
      <c r="W116" s="1078"/>
      <c r="X116" s="1078"/>
      <c r="Y116" s="1078"/>
      <c r="Z116" s="1078"/>
      <c r="AA116" s="1550"/>
      <c r="AB116" s="502"/>
      <c r="AC116" s="502"/>
      <c r="AD116" s="502"/>
      <c r="AE116" s="502"/>
      <c r="AF116" s="1559">
        <v>11</v>
      </c>
    </row>
    <row r="117" spans="1:32" s="2431" customFormat="1" ht="11.45" customHeight="1">
      <c r="A117" s="911"/>
      <c r="B117" s="1554"/>
      <c r="C117" s="1554"/>
      <c r="D117" s="287"/>
      <c r="K117" s="1078"/>
      <c r="L117" s="1554"/>
      <c r="M117" s="1554"/>
      <c r="N117" s="1078"/>
      <c r="O117" s="1078"/>
      <c r="P117" s="1078"/>
      <c r="Q117" s="1078"/>
      <c r="R117" s="1554"/>
      <c r="S117" s="1078"/>
      <c r="T117" s="1078"/>
      <c r="U117" s="480"/>
      <c r="V117" s="1078"/>
      <c r="W117" s="1078"/>
      <c r="X117" s="1078"/>
      <c r="Y117" s="1078"/>
      <c r="Z117" s="1078"/>
      <c r="AA117" s="1550"/>
      <c r="AB117" s="502"/>
      <c r="AC117" s="502"/>
      <c r="AD117" s="502"/>
      <c r="AE117" s="502"/>
      <c r="AF117" s="1559">
        <v>11</v>
      </c>
    </row>
    <row r="118" spans="1:32" s="2431" customFormat="1" ht="11.45" customHeight="1">
      <c r="A118" s="911"/>
      <c r="B118" s="1554"/>
      <c r="C118" s="1554"/>
      <c r="D118" s="287"/>
      <c r="K118" s="1078"/>
      <c r="L118" s="1554"/>
      <c r="M118" s="1554"/>
      <c r="N118" s="1078"/>
      <c r="O118" s="1078"/>
      <c r="P118" s="1078"/>
      <c r="Q118" s="1078"/>
      <c r="R118" s="1554"/>
      <c r="S118" s="1078"/>
      <c r="T118" s="1078"/>
      <c r="U118" s="480"/>
      <c r="V118" s="1078"/>
      <c r="W118" s="1078"/>
      <c r="X118" s="1078"/>
      <c r="Y118" s="1078"/>
      <c r="Z118" s="1078"/>
      <c r="AA118" s="1550"/>
      <c r="AB118" s="502"/>
      <c r="AC118" s="502"/>
      <c r="AD118" s="502"/>
      <c r="AE118" s="502"/>
      <c r="AF118" s="1559">
        <v>11</v>
      </c>
    </row>
    <row r="119" spans="1:32" s="2431" customFormat="1" ht="11.45" customHeight="1">
      <c r="A119" s="911"/>
      <c r="B119" s="1554"/>
      <c r="C119" s="1554"/>
      <c r="D119" s="287"/>
      <c r="K119" s="1078"/>
      <c r="L119" s="1554"/>
      <c r="M119" s="1554"/>
      <c r="N119" s="1078"/>
      <c r="O119" s="1078"/>
      <c r="P119" s="1078"/>
      <c r="Q119" s="1078"/>
      <c r="R119" s="1554"/>
      <c r="S119" s="1078"/>
      <c r="T119" s="1078"/>
      <c r="U119" s="480"/>
      <c r="V119" s="1078"/>
      <c r="W119" s="1078"/>
      <c r="X119" s="1078"/>
      <c r="Y119" s="1078"/>
      <c r="Z119" s="1078"/>
      <c r="AA119" s="1550"/>
      <c r="AB119" s="502"/>
      <c r="AC119" s="502"/>
      <c r="AD119" s="502"/>
      <c r="AE119" s="502"/>
      <c r="AF119" s="1559">
        <v>11</v>
      </c>
    </row>
    <row r="120" spans="1:32" s="2431" customFormat="1" ht="11.45" customHeight="1">
      <c r="A120" s="911"/>
      <c r="B120" s="1554"/>
      <c r="C120" s="1554"/>
      <c r="D120" s="287"/>
      <c r="K120" s="1078"/>
      <c r="L120" s="1554"/>
      <c r="M120" s="1554"/>
      <c r="N120" s="1078"/>
      <c r="O120" s="1078"/>
      <c r="P120" s="1078"/>
      <c r="Q120" s="1078"/>
      <c r="R120" s="1554"/>
      <c r="S120" s="1078"/>
      <c r="T120" s="1078"/>
      <c r="U120" s="480"/>
      <c r="V120" s="1078"/>
      <c r="W120" s="1078"/>
      <c r="X120" s="1078"/>
      <c r="Y120" s="1078"/>
      <c r="Z120" s="1078"/>
      <c r="AA120" s="1550"/>
      <c r="AB120" s="502"/>
      <c r="AC120" s="502"/>
      <c r="AD120" s="502"/>
      <c r="AE120" s="502"/>
      <c r="AF120" s="1559">
        <v>11</v>
      </c>
    </row>
    <row r="121" spans="1:32" s="2431" customFormat="1" ht="11.45" customHeight="1">
      <c r="A121" s="911"/>
      <c r="B121" s="1554"/>
      <c r="C121" s="1554"/>
      <c r="D121" s="287"/>
      <c r="K121" s="1078"/>
      <c r="L121" s="1554"/>
      <c r="M121" s="1554"/>
      <c r="N121" s="1078"/>
      <c r="O121" s="1078"/>
      <c r="P121" s="1078"/>
      <c r="Q121" s="1078"/>
      <c r="R121" s="1554"/>
      <c r="S121" s="1078"/>
      <c r="T121" s="1078"/>
      <c r="U121" s="480"/>
      <c r="V121" s="1078"/>
      <c r="W121" s="1078"/>
      <c r="X121" s="1078"/>
      <c r="Y121" s="1078"/>
      <c r="Z121" s="1078"/>
      <c r="AA121" s="1550"/>
      <c r="AB121" s="502"/>
      <c r="AC121" s="502"/>
      <c r="AD121" s="502"/>
      <c r="AE121" s="502"/>
      <c r="AF121" s="1559">
        <v>11</v>
      </c>
    </row>
    <row r="122" spans="1:32" s="2431" customFormat="1" ht="11.45" customHeight="1">
      <c r="A122" s="911"/>
      <c r="B122" s="1554"/>
      <c r="C122" s="1554"/>
      <c r="D122" s="287"/>
      <c r="K122" s="1078"/>
      <c r="L122" s="1554"/>
      <c r="M122" s="1554"/>
      <c r="N122" s="1078"/>
      <c r="O122" s="1078"/>
      <c r="P122" s="1078"/>
      <c r="Q122" s="1078"/>
      <c r="R122" s="1554"/>
      <c r="S122" s="1078"/>
      <c r="T122" s="1078"/>
      <c r="U122" s="480"/>
      <c r="V122" s="1078"/>
      <c r="W122" s="1078"/>
      <c r="X122" s="1078"/>
      <c r="Y122" s="1078"/>
      <c r="Z122" s="1078"/>
      <c r="AA122" s="1550"/>
      <c r="AB122" s="502"/>
      <c r="AC122" s="502"/>
      <c r="AD122" s="502"/>
      <c r="AE122" s="502"/>
      <c r="AF122" s="1559">
        <v>11</v>
      </c>
    </row>
    <row r="123" spans="1:32" s="2431" customFormat="1" ht="11.45" customHeight="1">
      <c r="A123" s="911"/>
      <c r="B123" s="1554"/>
      <c r="C123" s="1554"/>
      <c r="D123" s="287"/>
      <c r="K123" s="1078"/>
      <c r="L123" s="1554"/>
      <c r="M123" s="1554"/>
      <c r="N123" s="1078"/>
      <c r="O123" s="1078"/>
      <c r="P123" s="1078"/>
      <c r="Q123" s="1078"/>
      <c r="R123" s="1554"/>
      <c r="S123" s="1078"/>
      <c r="T123" s="1078"/>
      <c r="U123" s="480"/>
      <c r="V123" s="1078"/>
      <c r="W123" s="1078"/>
      <c r="X123" s="1078"/>
      <c r="Y123" s="1078"/>
      <c r="Z123" s="1078"/>
      <c r="AA123" s="1550"/>
      <c r="AB123" s="502"/>
      <c r="AC123" s="502"/>
      <c r="AD123" s="502"/>
      <c r="AE123" s="502"/>
      <c r="AF123" s="1559">
        <v>11</v>
      </c>
    </row>
    <row r="124" spans="1:32" s="2431" customFormat="1" ht="11.45" customHeight="1">
      <c r="A124" s="911"/>
      <c r="B124" s="1554"/>
      <c r="C124" s="1554"/>
      <c r="D124" s="287"/>
      <c r="K124" s="1078"/>
      <c r="L124" s="1554"/>
      <c r="M124" s="1554"/>
      <c r="N124" s="1078"/>
      <c r="O124" s="1078"/>
      <c r="P124" s="1078"/>
      <c r="Q124" s="1078"/>
      <c r="R124" s="1554"/>
      <c r="S124" s="1078"/>
      <c r="T124" s="1078"/>
      <c r="U124" s="480"/>
      <c r="V124" s="1078"/>
      <c r="W124" s="1078"/>
      <c r="X124" s="1078"/>
      <c r="Y124" s="1078"/>
      <c r="Z124" s="1078"/>
      <c r="AA124" s="1550"/>
      <c r="AB124" s="502"/>
      <c r="AC124" s="502"/>
      <c r="AD124" s="502"/>
      <c r="AE124" s="502"/>
      <c r="AF124" s="1559">
        <v>11</v>
      </c>
    </row>
    <row r="125" spans="1:32" s="2431" customFormat="1" ht="11.45" customHeight="1">
      <c r="A125" s="911"/>
      <c r="B125" s="1554"/>
      <c r="C125" s="1554"/>
      <c r="D125" s="287"/>
      <c r="K125" s="1078"/>
      <c r="L125" s="1554"/>
      <c r="M125" s="1554"/>
      <c r="N125" s="1078"/>
      <c r="O125" s="1078"/>
      <c r="P125" s="1078"/>
      <c r="Q125" s="1078"/>
      <c r="R125" s="1554"/>
      <c r="S125" s="1078"/>
      <c r="T125" s="1078"/>
      <c r="U125" s="480"/>
      <c r="V125" s="1078"/>
      <c r="W125" s="1078"/>
      <c r="X125" s="1078"/>
      <c r="Y125" s="1078"/>
      <c r="Z125" s="1078"/>
      <c r="AA125" s="1550"/>
      <c r="AB125" s="502"/>
      <c r="AC125" s="502"/>
      <c r="AD125" s="502"/>
      <c r="AE125" s="502"/>
      <c r="AF125" s="1559">
        <v>11</v>
      </c>
    </row>
    <row r="126" spans="1:32" s="2431" customFormat="1" ht="11.45" customHeight="1">
      <c r="A126" s="911"/>
      <c r="B126" s="1554"/>
      <c r="C126" s="1554"/>
      <c r="D126" s="287"/>
      <c r="K126" s="1078"/>
      <c r="L126" s="1554"/>
      <c r="M126" s="1554"/>
      <c r="N126" s="1078"/>
      <c r="O126" s="1078"/>
      <c r="P126" s="1078"/>
      <c r="Q126" s="1078"/>
      <c r="R126" s="1554"/>
      <c r="S126" s="1078"/>
      <c r="T126" s="1078"/>
      <c r="U126" s="480"/>
      <c r="V126" s="1078"/>
      <c r="W126" s="1078"/>
      <c r="X126" s="1078"/>
      <c r="Y126" s="1078"/>
      <c r="Z126" s="1078"/>
      <c r="AA126" s="1550"/>
      <c r="AB126" s="502"/>
      <c r="AC126" s="502"/>
      <c r="AD126" s="502"/>
      <c r="AE126" s="502"/>
      <c r="AF126" s="1559">
        <v>11</v>
      </c>
    </row>
    <row r="127" spans="1:32" s="2431" customFormat="1" ht="11.45" customHeight="1">
      <c r="A127" s="911"/>
      <c r="B127" s="1554"/>
      <c r="C127" s="1554"/>
      <c r="D127" s="287"/>
      <c r="K127" s="1078"/>
      <c r="L127" s="1554"/>
      <c r="M127" s="1554"/>
      <c r="N127" s="1078"/>
      <c r="O127" s="1078"/>
      <c r="P127" s="1078"/>
      <c r="Q127" s="1078"/>
      <c r="R127" s="1554"/>
      <c r="S127" s="1078"/>
      <c r="T127" s="1078"/>
      <c r="U127" s="480"/>
      <c r="V127" s="1078"/>
      <c r="W127" s="1078"/>
      <c r="X127" s="1078"/>
      <c r="Y127" s="1078"/>
      <c r="Z127" s="1078"/>
      <c r="AA127" s="1550"/>
      <c r="AB127" s="502"/>
      <c r="AC127" s="502"/>
      <c r="AD127" s="502"/>
      <c r="AE127" s="502"/>
      <c r="AF127" s="1559">
        <v>11</v>
      </c>
    </row>
    <row r="128" spans="1:32" s="2431" customFormat="1" ht="11.45" customHeight="1">
      <c r="A128" s="911"/>
      <c r="B128" s="1554"/>
      <c r="C128" s="1554"/>
      <c r="D128" s="287"/>
      <c r="K128" s="1078"/>
      <c r="L128" s="1554"/>
      <c r="M128" s="1554"/>
      <c r="N128" s="1078"/>
      <c r="O128" s="1078"/>
      <c r="P128" s="1078"/>
      <c r="Q128" s="1078"/>
      <c r="R128" s="1554"/>
      <c r="S128" s="1078"/>
      <c r="T128" s="1078"/>
      <c r="U128" s="480"/>
      <c r="V128" s="1078"/>
      <c r="W128" s="1078"/>
      <c r="X128" s="1078"/>
      <c r="Y128" s="1078"/>
      <c r="Z128" s="1078"/>
      <c r="AA128" s="1550"/>
      <c r="AB128" s="502"/>
      <c r="AC128" s="502"/>
      <c r="AD128" s="502"/>
      <c r="AE128" s="502"/>
      <c r="AF128" s="1559">
        <v>11</v>
      </c>
    </row>
    <row r="129" spans="1:32" s="2431" customFormat="1" ht="11.45" customHeight="1">
      <c r="A129" s="911"/>
      <c r="B129" s="1554"/>
      <c r="C129" s="1554"/>
      <c r="D129" s="287"/>
      <c r="K129" s="1078"/>
      <c r="L129" s="1554"/>
      <c r="M129" s="1554"/>
      <c r="N129" s="1078"/>
      <c r="O129" s="1078"/>
      <c r="P129" s="1078"/>
      <c r="Q129" s="1078"/>
      <c r="R129" s="1554"/>
      <c r="S129" s="1078"/>
      <c r="T129" s="1078"/>
      <c r="U129" s="480"/>
      <c r="V129" s="1078"/>
      <c r="W129" s="1078"/>
      <c r="X129" s="1078"/>
      <c r="Y129" s="1078"/>
      <c r="Z129" s="1078"/>
      <c r="AA129" s="1550"/>
      <c r="AB129" s="502"/>
      <c r="AC129" s="502"/>
      <c r="AD129" s="502"/>
      <c r="AE129" s="502"/>
      <c r="AF129" s="1559">
        <v>11</v>
      </c>
    </row>
    <row r="130" spans="1:32" s="2431" customFormat="1" ht="11.45" customHeight="1">
      <c r="A130" s="911"/>
      <c r="B130" s="1554"/>
      <c r="C130" s="1554"/>
      <c r="D130" s="287"/>
      <c r="K130" s="1078"/>
      <c r="L130" s="1554"/>
      <c r="M130" s="1554"/>
      <c r="N130" s="1078"/>
      <c r="O130" s="1078"/>
      <c r="P130" s="1078"/>
      <c r="Q130" s="1078"/>
      <c r="R130" s="1554"/>
      <c r="S130" s="1078"/>
      <c r="T130" s="1078"/>
      <c r="U130" s="480"/>
      <c r="V130" s="1078"/>
      <c r="W130" s="1078"/>
      <c r="X130" s="1078"/>
      <c r="Y130" s="1078"/>
      <c r="Z130" s="1078"/>
      <c r="AA130" s="1550"/>
      <c r="AB130" s="502"/>
      <c r="AC130" s="502"/>
      <c r="AD130" s="502"/>
      <c r="AE130" s="502"/>
      <c r="AF130" s="1559">
        <v>11</v>
      </c>
    </row>
    <row r="131" spans="1:32" s="2431" customFormat="1" ht="11.45" customHeight="1">
      <c r="A131" s="911"/>
      <c r="B131" s="1554"/>
      <c r="C131" s="1554"/>
      <c r="D131" s="287"/>
      <c r="K131" s="1078"/>
      <c r="L131" s="1554"/>
      <c r="M131" s="1554"/>
      <c r="N131" s="1078"/>
      <c r="O131" s="1078"/>
      <c r="P131" s="1078"/>
      <c r="Q131" s="1078"/>
      <c r="R131" s="1554"/>
      <c r="S131" s="1078"/>
      <c r="T131" s="1078"/>
      <c r="U131" s="480"/>
      <c r="V131" s="1078"/>
      <c r="W131" s="1078"/>
      <c r="X131" s="1078"/>
      <c r="Y131" s="1078"/>
      <c r="Z131" s="1078"/>
      <c r="AA131" s="1550"/>
      <c r="AB131" s="502"/>
      <c r="AC131" s="502"/>
      <c r="AD131" s="502"/>
      <c r="AE131" s="502"/>
      <c r="AF131" s="1559">
        <v>11</v>
      </c>
    </row>
    <row r="132" spans="1:32" s="2431" customFormat="1" ht="11.45" customHeight="1">
      <c r="A132" s="911"/>
      <c r="B132" s="1554"/>
      <c r="C132" s="1554"/>
      <c r="D132" s="287"/>
      <c r="K132" s="1078"/>
      <c r="L132" s="1554"/>
      <c r="M132" s="1554"/>
      <c r="N132" s="1078"/>
      <c r="O132" s="1078"/>
      <c r="P132" s="1078"/>
      <c r="Q132" s="1078"/>
      <c r="R132" s="1554"/>
      <c r="S132" s="1078"/>
      <c r="T132" s="1078"/>
      <c r="U132" s="480"/>
      <c r="V132" s="1078"/>
      <c r="W132" s="1078"/>
      <c r="X132" s="1078"/>
      <c r="Y132" s="1078"/>
      <c r="Z132" s="1078"/>
      <c r="AA132" s="1550"/>
      <c r="AB132" s="502"/>
      <c r="AC132" s="502"/>
      <c r="AD132" s="502"/>
      <c r="AE132" s="502"/>
      <c r="AF132" s="1559">
        <v>11</v>
      </c>
    </row>
    <row r="133" spans="1:32" s="2431" customFormat="1" ht="11.45" customHeight="1">
      <c r="A133" s="911"/>
      <c r="B133" s="1554"/>
      <c r="C133" s="1554"/>
      <c r="D133" s="287"/>
      <c r="K133" s="1078"/>
      <c r="L133" s="1554"/>
      <c r="M133" s="1554"/>
      <c r="N133" s="1078"/>
      <c r="O133" s="1078"/>
      <c r="P133" s="1078"/>
      <c r="Q133" s="1078"/>
      <c r="R133" s="1554"/>
      <c r="S133" s="1078"/>
      <c r="T133" s="1078"/>
      <c r="U133" s="480"/>
      <c r="V133" s="1078"/>
      <c r="W133" s="1078"/>
      <c r="X133" s="1078"/>
      <c r="Y133" s="1078"/>
      <c r="Z133" s="1078"/>
      <c r="AA133" s="1550"/>
      <c r="AB133" s="502"/>
      <c r="AC133" s="502"/>
      <c r="AD133" s="502"/>
      <c r="AE133" s="502"/>
      <c r="AF133" s="1559">
        <v>11</v>
      </c>
    </row>
    <row r="134" spans="1:32" s="2431" customFormat="1" ht="11.45" customHeight="1">
      <c r="A134" s="911"/>
      <c r="B134" s="1554"/>
      <c r="C134" s="1554"/>
      <c r="D134" s="287"/>
      <c r="K134" s="1078"/>
      <c r="L134" s="1554"/>
      <c r="M134" s="1554"/>
      <c r="N134" s="1078"/>
      <c r="O134" s="1078"/>
      <c r="P134" s="1078"/>
      <c r="Q134" s="1078"/>
      <c r="R134" s="1554"/>
      <c r="S134" s="1078"/>
      <c r="T134" s="1078"/>
      <c r="U134" s="480"/>
      <c r="V134" s="1078"/>
      <c r="W134" s="1078"/>
      <c r="X134" s="1078"/>
      <c r="Y134" s="1078"/>
      <c r="Z134" s="1078"/>
      <c r="AA134" s="1550"/>
      <c r="AB134" s="502"/>
      <c r="AC134" s="502"/>
      <c r="AD134" s="502"/>
      <c r="AE134" s="502"/>
      <c r="AF134" s="1559">
        <v>11</v>
      </c>
    </row>
    <row r="135" spans="1:32" s="2431" customFormat="1" ht="11.45" customHeight="1">
      <c r="A135" s="911"/>
      <c r="B135" s="1554"/>
      <c r="C135" s="1554"/>
      <c r="D135" s="287"/>
      <c r="K135" s="1078"/>
      <c r="L135" s="1554"/>
      <c r="M135" s="1554"/>
      <c r="N135" s="1078"/>
      <c r="O135" s="1078"/>
      <c r="P135" s="1078"/>
      <c r="Q135" s="1078"/>
      <c r="R135" s="1554"/>
      <c r="S135" s="1078"/>
      <c r="T135" s="1078"/>
      <c r="U135" s="480"/>
      <c r="V135" s="1078"/>
      <c r="W135" s="1078"/>
      <c r="X135" s="1078"/>
      <c r="Y135" s="1078"/>
      <c r="Z135" s="1078"/>
      <c r="AA135" s="1550"/>
      <c r="AB135" s="502"/>
      <c r="AC135" s="502"/>
      <c r="AD135" s="502"/>
      <c r="AE135" s="502"/>
      <c r="AF135" s="1559">
        <v>11</v>
      </c>
    </row>
    <row r="136" spans="1:32" s="2431" customFormat="1" ht="11.45" customHeight="1">
      <c r="A136" s="911"/>
      <c r="B136" s="1554"/>
      <c r="C136" s="1554"/>
      <c r="D136" s="287"/>
      <c r="K136" s="1078"/>
      <c r="L136" s="1554"/>
      <c r="M136" s="1554"/>
      <c r="N136" s="1078"/>
      <c r="O136" s="1078"/>
      <c r="P136" s="1078"/>
      <c r="Q136" s="1078"/>
      <c r="R136" s="1554"/>
      <c r="S136" s="1078"/>
      <c r="T136" s="1078"/>
      <c r="U136" s="480"/>
      <c r="V136" s="1078"/>
      <c r="W136" s="1078"/>
      <c r="X136" s="1078"/>
      <c r="Y136" s="1078"/>
      <c r="Z136" s="1078"/>
      <c r="AA136" s="1550"/>
      <c r="AB136" s="502"/>
      <c r="AC136" s="502"/>
      <c r="AD136" s="502"/>
      <c r="AE136" s="502"/>
      <c r="AF136" s="1559">
        <v>11</v>
      </c>
    </row>
    <row r="137" spans="1:32" s="2431" customFormat="1" ht="11.45" customHeight="1">
      <c r="A137" s="911"/>
      <c r="B137" s="1554"/>
      <c r="C137" s="1554"/>
      <c r="D137" s="287"/>
      <c r="K137" s="1078"/>
      <c r="L137" s="1554"/>
      <c r="M137" s="1554"/>
      <c r="N137" s="1078"/>
      <c r="O137" s="1078"/>
      <c r="P137" s="1078"/>
      <c r="Q137" s="1078"/>
      <c r="R137" s="1554"/>
      <c r="S137" s="1078"/>
      <c r="T137" s="1078"/>
      <c r="U137" s="480"/>
      <c r="V137" s="1078"/>
      <c r="W137" s="1078"/>
      <c r="X137" s="1078"/>
      <c r="Y137" s="1078"/>
      <c r="Z137" s="1078"/>
      <c r="AA137" s="1550"/>
      <c r="AB137" s="502"/>
      <c r="AC137" s="502"/>
      <c r="AD137" s="502"/>
      <c r="AE137" s="502"/>
      <c r="AF137" s="1559">
        <v>11</v>
      </c>
    </row>
    <row r="138" spans="1:32" s="2431" customFormat="1" ht="11.45" customHeight="1">
      <c r="A138" s="911"/>
      <c r="B138" s="1554"/>
      <c r="C138" s="1554"/>
      <c r="D138" s="287"/>
      <c r="K138" s="1078"/>
      <c r="L138" s="1554"/>
      <c r="M138" s="1554"/>
      <c r="N138" s="1078"/>
      <c r="O138" s="1078"/>
      <c r="P138" s="1078"/>
      <c r="Q138" s="1078"/>
      <c r="R138" s="1554"/>
      <c r="S138" s="1078"/>
      <c r="T138" s="1078"/>
      <c r="U138" s="480"/>
      <c r="V138" s="1078"/>
      <c r="W138" s="1078"/>
      <c r="X138" s="1078"/>
      <c r="Y138" s="1078"/>
      <c r="Z138" s="1078"/>
      <c r="AA138" s="1550"/>
      <c r="AB138" s="502"/>
      <c r="AC138" s="502"/>
      <c r="AD138" s="502"/>
      <c r="AE138" s="502"/>
      <c r="AF138" s="1559">
        <v>11</v>
      </c>
    </row>
    <row r="139" spans="1:32" s="2431" customFormat="1" ht="11.45" customHeight="1">
      <c r="A139" s="911"/>
      <c r="B139" s="1554"/>
      <c r="C139" s="1554"/>
      <c r="D139" s="287"/>
      <c r="K139" s="1078"/>
      <c r="L139" s="1554"/>
      <c r="M139" s="1554"/>
      <c r="N139" s="1078"/>
      <c r="O139" s="1078"/>
      <c r="P139" s="1078"/>
      <c r="Q139" s="1078"/>
      <c r="R139" s="1554"/>
      <c r="S139" s="1078"/>
      <c r="T139" s="1078"/>
      <c r="U139" s="480"/>
      <c r="V139" s="1078"/>
      <c r="W139" s="1078"/>
      <c r="X139" s="1078"/>
      <c r="Y139" s="1078"/>
      <c r="Z139" s="1078"/>
      <c r="AA139" s="1550"/>
      <c r="AB139" s="502"/>
      <c r="AC139" s="502"/>
      <c r="AD139" s="502"/>
      <c r="AE139" s="502"/>
      <c r="AF139" s="1559">
        <v>11</v>
      </c>
    </row>
    <row r="140" spans="1:32" s="2431" customFormat="1" ht="11.45" customHeight="1">
      <c r="A140" s="911"/>
      <c r="B140" s="1554"/>
      <c r="C140" s="1554"/>
      <c r="D140" s="287"/>
      <c r="K140" s="1078"/>
      <c r="L140" s="1554"/>
      <c r="M140" s="1554"/>
      <c r="N140" s="1078"/>
      <c r="O140" s="1078"/>
      <c r="P140" s="1078"/>
      <c r="Q140" s="1078"/>
      <c r="R140" s="1554"/>
      <c r="S140" s="1078"/>
      <c r="T140" s="1078"/>
      <c r="U140" s="480"/>
      <c r="V140" s="1078"/>
      <c r="W140" s="1078"/>
      <c r="X140" s="1078"/>
      <c r="Y140" s="1078"/>
      <c r="Z140" s="1078"/>
      <c r="AA140" s="1550"/>
      <c r="AB140" s="502"/>
      <c r="AC140" s="502"/>
      <c r="AD140" s="502"/>
      <c r="AE140" s="502"/>
      <c r="AF140" s="1559">
        <v>11</v>
      </c>
    </row>
    <row r="141" spans="1:32" s="2431" customFormat="1" ht="11.45" customHeight="1">
      <c r="A141" s="911"/>
      <c r="B141" s="1554"/>
      <c r="C141" s="1554"/>
      <c r="D141" s="287"/>
      <c r="K141" s="1078"/>
      <c r="L141" s="1554"/>
      <c r="M141" s="1554"/>
      <c r="N141" s="1078"/>
      <c r="O141" s="1078"/>
      <c r="P141" s="1078"/>
      <c r="Q141" s="1078"/>
      <c r="R141" s="1554"/>
      <c r="S141" s="1078"/>
      <c r="T141" s="1078"/>
      <c r="U141" s="480"/>
      <c r="V141" s="1078"/>
      <c r="W141" s="1078"/>
      <c r="X141" s="1078"/>
      <c r="Y141" s="1078"/>
      <c r="Z141" s="1078"/>
      <c r="AA141" s="1550"/>
      <c r="AB141" s="502"/>
      <c r="AC141" s="502"/>
      <c r="AD141" s="502"/>
      <c r="AE141" s="502"/>
      <c r="AF141" s="1559">
        <v>11</v>
      </c>
    </row>
    <row r="142" spans="1:32" s="2431" customFormat="1" ht="11.45" customHeight="1">
      <c r="A142" s="911"/>
      <c r="B142" s="1554"/>
      <c r="C142" s="1554"/>
      <c r="D142" s="287"/>
      <c r="K142" s="1078"/>
      <c r="L142" s="1554"/>
      <c r="M142" s="1554"/>
      <c r="N142" s="1078"/>
      <c r="O142" s="1078"/>
      <c r="P142" s="1078"/>
      <c r="Q142" s="1078"/>
      <c r="R142" s="1554"/>
      <c r="S142" s="1078"/>
      <c r="T142" s="1078"/>
      <c r="U142" s="480"/>
      <c r="V142" s="1078"/>
      <c r="W142" s="1078"/>
      <c r="X142" s="1078"/>
      <c r="Y142" s="1078"/>
      <c r="Z142" s="1078"/>
      <c r="AA142" s="1550"/>
      <c r="AB142" s="502"/>
      <c r="AC142" s="502"/>
      <c r="AD142" s="502"/>
      <c r="AE142" s="502"/>
      <c r="AF142" s="1559">
        <v>11</v>
      </c>
    </row>
    <row r="143" spans="1:32" s="2431" customFormat="1" ht="11.45" customHeight="1">
      <c r="A143" s="911"/>
      <c r="B143" s="1554"/>
      <c r="C143" s="1554"/>
      <c r="D143" s="287"/>
      <c r="K143" s="1078"/>
      <c r="L143" s="1554"/>
      <c r="M143" s="1554"/>
      <c r="N143" s="1078"/>
      <c r="O143" s="1078"/>
      <c r="P143" s="1078"/>
      <c r="Q143" s="1078"/>
      <c r="R143" s="1554"/>
      <c r="S143" s="1078"/>
      <c r="T143" s="1078"/>
      <c r="U143" s="480"/>
      <c r="V143" s="1078"/>
      <c r="W143" s="1078"/>
      <c r="X143" s="1078"/>
      <c r="Y143" s="1078"/>
      <c r="Z143" s="1078"/>
      <c r="AA143" s="1550"/>
      <c r="AB143" s="502"/>
      <c r="AC143" s="502"/>
      <c r="AD143" s="502"/>
      <c r="AE143" s="502"/>
      <c r="AF143" s="1559">
        <v>11</v>
      </c>
    </row>
    <row r="144" spans="1:32" s="2431" customFormat="1" ht="11.45" customHeight="1">
      <c r="A144" s="911"/>
      <c r="B144" s="1554"/>
      <c r="C144" s="1554"/>
      <c r="D144" s="287"/>
      <c r="K144" s="1078"/>
      <c r="L144" s="1554"/>
      <c r="M144" s="1554"/>
      <c r="N144" s="1078"/>
      <c r="O144" s="1078"/>
      <c r="P144" s="1078"/>
      <c r="Q144" s="1078"/>
      <c r="R144" s="1554"/>
      <c r="S144" s="1078"/>
      <c r="T144" s="1078"/>
      <c r="U144" s="480"/>
      <c r="V144" s="1078"/>
      <c r="W144" s="1078"/>
      <c r="X144" s="1078"/>
      <c r="Y144" s="1078"/>
      <c r="Z144" s="1078"/>
      <c r="AA144" s="1550"/>
      <c r="AB144" s="502"/>
      <c r="AC144" s="502"/>
      <c r="AD144" s="502"/>
      <c r="AE144" s="502"/>
      <c r="AF144" s="1559">
        <v>11</v>
      </c>
    </row>
    <row r="145" spans="1:32" s="2431" customFormat="1" ht="11.45" customHeight="1">
      <c r="A145" s="911"/>
      <c r="B145" s="1554"/>
      <c r="C145" s="1554"/>
      <c r="D145" s="287"/>
      <c r="K145" s="1078"/>
      <c r="L145" s="1554"/>
      <c r="M145" s="1554"/>
      <c r="N145" s="1078"/>
      <c r="O145" s="1078"/>
      <c r="P145" s="1078"/>
      <c r="Q145" s="1078"/>
      <c r="R145" s="1554"/>
      <c r="S145" s="1078"/>
      <c r="T145" s="1078"/>
      <c r="U145" s="480"/>
      <c r="V145" s="1078"/>
      <c r="W145" s="1078"/>
      <c r="X145" s="1078"/>
      <c r="Y145" s="1078"/>
      <c r="Z145" s="1078"/>
      <c r="AA145" s="1550"/>
      <c r="AB145" s="502"/>
      <c r="AC145" s="502"/>
      <c r="AD145" s="502"/>
      <c r="AE145" s="502"/>
      <c r="AF145" s="1559">
        <v>11</v>
      </c>
    </row>
    <row r="146" spans="1:32" s="2431" customFormat="1" ht="11.45" customHeight="1">
      <c r="A146" s="911"/>
      <c r="B146" s="1554"/>
      <c r="C146" s="1554"/>
      <c r="D146" s="287"/>
      <c r="K146" s="1078"/>
      <c r="L146" s="1554"/>
      <c r="M146" s="1554"/>
      <c r="N146" s="1078"/>
      <c r="O146" s="1078"/>
      <c r="P146" s="1078"/>
      <c r="Q146" s="1078"/>
      <c r="R146" s="1554"/>
      <c r="S146" s="1078"/>
      <c r="T146" s="1078"/>
      <c r="U146" s="480"/>
      <c r="V146" s="1078"/>
      <c r="W146" s="1078"/>
      <c r="X146" s="1078"/>
      <c r="Y146" s="1078"/>
      <c r="Z146" s="1078"/>
      <c r="AA146" s="1550"/>
      <c r="AB146" s="502"/>
      <c r="AC146" s="502"/>
      <c r="AD146" s="502"/>
      <c r="AE146" s="502"/>
      <c r="AF146" s="1559">
        <v>11</v>
      </c>
    </row>
    <row r="147" spans="1:32" s="2431" customFormat="1" ht="11.45" customHeight="1">
      <c r="A147" s="911"/>
      <c r="B147" s="1554"/>
      <c r="C147" s="1554"/>
      <c r="D147" s="287"/>
      <c r="K147" s="1078"/>
      <c r="L147" s="1554"/>
      <c r="M147" s="1554"/>
      <c r="N147" s="1078"/>
      <c r="O147" s="1078"/>
      <c r="P147" s="1078"/>
      <c r="Q147" s="1078"/>
      <c r="R147" s="1554"/>
      <c r="S147" s="1078"/>
      <c r="T147" s="1078"/>
      <c r="U147" s="480"/>
      <c r="V147" s="1078"/>
      <c r="W147" s="1078"/>
      <c r="X147" s="1078"/>
      <c r="Y147" s="1078"/>
      <c r="Z147" s="1078"/>
      <c r="AA147" s="1550"/>
      <c r="AB147" s="502"/>
      <c r="AC147" s="502"/>
      <c r="AD147" s="502"/>
      <c r="AE147" s="502"/>
      <c r="AF147" s="1559">
        <v>11</v>
      </c>
    </row>
    <row r="148" spans="1:32" s="2431" customFormat="1" ht="11.45" customHeight="1">
      <c r="A148" s="911"/>
      <c r="B148" s="1554"/>
      <c r="C148" s="1554"/>
      <c r="D148" s="287"/>
      <c r="K148" s="1078"/>
      <c r="L148" s="1554"/>
      <c r="M148" s="1554"/>
      <c r="N148" s="1078"/>
      <c r="O148" s="1078"/>
      <c r="P148" s="1078"/>
      <c r="Q148" s="1078"/>
      <c r="R148" s="1554"/>
      <c r="S148" s="1078"/>
      <c r="T148" s="1078"/>
      <c r="U148" s="480"/>
      <c r="V148" s="1078"/>
      <c r="W148" s="1078"/>
      <c r="X148" s="1078"/>
      <c r="Y148" s="1078"/>
      <c r="Z148" s="1078"/>
      <c r="AA148" s="1550"/>
      <c r="AB148" s="502"/>
      <c r="AC148" s="502"/>
      <c r="AD148" s="502"/>
      <c r="AE148" s="502"/>
      <c r="AF148" s="1559">
        <v>11</v>
      </c>
    </row>
    <row r="149" spans="1:32" s="2431" customFormat="1" ht="11.45" customHeight="1">
      <c r="A149" s="911"/>
      <c r="B149" s="1554"/>
      <c r="C149" s="1554"/>
      <c r="D149" s="287"/>
      <c r="K149" s="1078"/>
      <c r="L149" s="1554"/>
      <c r="M149" s="1554"/>
      <c r="N149" s="1078"/>
      <c r="O149" s="1078"/>
      <c r="P149" s="1078"/>
      <c r="Q149" s="1078"/>
      <c r="R149" s="1554"/>
      <c r="S149" s="1078"/>
      <c r="T149" s="1078"/>
      <c r="U149" s="480"/>
      <c r="V149" s="1078"/>
      <c r="W149" s="1078"/>
      <c r="X149" s="1078"/>
      <c r="Y149" s="1078"/>
      <c r="Z149" s="1078"/>
      <c r="AA149" s="1550"/>
      <c r="AB149" s="502"/>
      <c r="AC149" s="502"/>
      <c r="AD149" s="502"/>
      <c r="AE149" s="502"/>
      <c r="AF149" s="1559">
        <v>11</v>
      </c>
    </row>
    <row r="150" spans="1:32" s="2431" customFormat="1" ht="11.45" customHeight="1">
      <c r="A150" s="911"/>
      <c r="B150" s="1554"/>
      <c r="C150" s="1554"/>
      <c r="D150" s="287"/>
      <c r="K150" s="1078"/>
      <c r="L150" s="1554"/>
      <c r="M150" s="1554"/>
      <c r="N150" s="1078"/>
      <c r="O150" s="1078"/>
      <c r="P150" s="1078"/>
      <c r="Q150" s="1078"/>
      <c r="R150" s="1554"/>
      <c r="S150" s="1078"/>
      <c r="T150" s="1078"/>
      <c r="U150" s="480"/>
      <c r="V150" s="1078"/>
      <c r="W150" s="1078"/>
      <c r="X150" s="1078"/>
      <c r="Y150" s="1078"/>
      <c r="Z150" s="1078"/>
      <c r="AA150" s="1550"/>
      <c r="AB150" s="502"/>
      <c r="AC150" s="502"/>
      <c r="AD150" s="502"/>
      <c r="AE150" s="502"/>
      <c r="AF150" s="1559">
        <v>11</v>
      </c>
    </row>
    <row r="151" spans="1:32" s="2431" customFormat="1" ht="11.45" customHeight="1">
      <c r="A151" s="911"/>
      <c r="B151" s="1554"/>
      <c r="C151" s="1554"/>
      <c r="D151" s="287"/>
      <c r="K151" s="1078"/>
      <c r="L151" s="1554"/>
      <c r="M151" s="1554"/>
      <c r="N151" s="1078"/>
      <c r="O151" s="1078"/>
      <c r="P151" s="1078"/>
      <c r="Q151" s="1078"/>
      <c r="R151" s="1554"/>
      <c r="S151" s="1078"/>
      <c r="T151" s="1078"/>
      <c r="U151" s="480"/>
      <c r="V151" s="1078"/>
      <c r="W151" s="1078"/>
      <c r="X151" s="1078"/>
      <c r="Y151" s="1078"/>
      <c r="Z151" s="1078"/>
      <c r="AA151" s="1550"/>
      <c r="AB151" s="502"/>
      <c r="AC151" s="502"/>
      <c r="AD151" s="502"/>
      <c r="AE151" s="502"/>
      <c r="AF151" s="1559">
        <v>11</v>
      </c>
    </row>
    <row r="152" spans="1:32" s="2431" customFormat="1" ht="11.45" customHeight="1">
      <c r="A152" s="911"/>
      <c r="B152" s="1554"/>
      <c r="C152" s="1554"/>
      <c r="D152" s="287"/>
      <c r="K152" s="1078"/>
      <c r="L152" s="1554"/>
      <c r="M152" s="1554"/>
      <c r="N152" s="1078"/>
      <c r="O152" s="1078"/>
      <c r="P152" s="1078"/>
      <c r="Q152" s="1078"/>
      <c r="R152" s="1554"/>
      <c r="S152" s="1078"/>
      <c r="T152" s="1078"/>
      <c r="U152" s="480"/>
      <c r="V152" s="1078"/>
      <c r="W152" s="1078"/>
      <c r="X152" s="1078"/>
      <c r="Y152" s="1078"/>
      <c r="Z152" s="1078"/>
      <c r="AA152" s="1550"/>
      <c r="AB152" s="502"/>
      <c r="AC152" s="502"/>
      <c r="AD152" s="502"/>
      <c r="AE152" s="502"/>
      <c r="AF152" s="1559">
        <v>11</v>
      </c>
    </row>
    <row r="153" spans="1:32" s="2431" customFormat="1" ht="11.45" customHeight="1">
      <c r="A153" s="911"/>
      <c r="B153" s="1554"/>
      <c r="C153" s="1554"/>
      <c r="D153" s="287"/>
      <c r="K153" s="1078"/>
      <c r="L153" s="1554"/>
      <c r="M153" s="1554"/>
      <c r="N153" s="1078"/>
      <c r="O153" s="1078"/>
      <c r="P153" s="1078"/>
      <c r="Q153" s="1078"/>
      <c r="R153" s="1554"/>
      <c r="S153" s="1078"/>
      <c r="T153" s="1078"/>
      <c r="U153" s="480"/>
      <c r="V153" s="1078"/>
      <c r="W153" s="1078"/>
      <c r="X153" s="1078"/>
      <c r="Y153" s="1078"/>
      <c r="Z153" s="1078"/>
      <c r="AA153" s="1550"/>
      <c r="AB153" s="502"/>
      <c r="AC153" s="502"/>
      <c r="AD153" s="502"/>
      <c r="AE153" s="502"/>
      <c r="AF153" s="1559">
        <v>11</v>
      </c>
    </row>
    <row r="154" spans="1:32" s="2431" customFormat="1" ht="11.45" customHeight="1">
      <c r="A154" s="911"/>
      <c r="B154" s="1554"/>
      <c r="C154" s="1554"/>
      <c r="D154" s="287"/>
      <c r="K154" s="1078"/>
      <c r="L154" s="1554"/>
      <c r="M154" s="1554"/>
      <c r="N154" s="1078"/>
      <c r="O154" s="1078"/>
      <c r="P154" s="1078"/>
      <c r="Q154" s="1078"/>
      <c r="R154" s="1554"/>
      <c r="S154" s="1078"/>
      <c r="T154" s="1078"/>
      <c r="U154" s="480"/>
      <c r="V154" s="1078"/>
      <c r="W154" s="1078"/>
      <c r="X154" s="1078"/>
      <c r="Y154" s="1078"/>
      <c r="Z154" s="1078"/>
      <c r="AA154" s="1550"/>
      <c r="AB154" s="502"/>
      <c r="AC154" s="502"/>
      <c r="AD154" s="502"/>
      <c r="AE154" s="502"/>
      <c r="AF154" s="1559">
        <v>11</v>
      </c>
    </row>
    <row r="155" spans="1:32" s="2431" customFormat="1" ht="11.45" customHeight="1">
      <c r="A155" s="911"/>
      <c r="B155" s="1554"/>
      <c r="C155" s="1554"/>
      <c r="D155" s="287"/>
      <c r="K155" s="1078"/>
      <c r="L155" s="1554"/>
      <c r="M155" s="1554"/>
      <c r="N155" s="1078"/>
      <c r="O155" s="1078"/>
      <c r="P155" s="1078"/>
      <c r="Q155" s="1078"/>
      <c r="R155" s="1554"/>
      <c r="S155" s="1078"/>
      <c r="T155" s="1078"/>
      <c r="U155" s="480"/>
      <c r="V155" s="1078"/>
      <c r="W155" s="1078"/>
      <c r="X155" s="1078"/>
      <c r="Y155" s="1078"/>
      <c r="Z155" s="1078"/>
      <c r="AA155" s="1550"/>
      <c r="AB155" s="502"/>
      <c r="AC155" s="502"/>
      <c r="AD155" s="502"/>
      <c r="AE155" s="502"/>
      <c r="AF155" s="1559">
        <v>11</v>
      </c>
    </row>
    <row r="156" spans="1:32" s="2431" customFormat="1" ht="11.45" customHeight="1">
      <c r="A156" s="911"/>
      <c r="B156" s="1554"/>
      <c r="C156" s="1554"/>
      <c r="D156" s="287"/>
      <c r="K156" s="1078"/>
      <c r="L156" s="1554"/>
      <c r="M156" s="1554"/>
      <c r="N156" s="1078"/>
      <c r="O156" s="1078"/>
      <c r="P156" s="1078"/>
      <c r="Q156" s="1078"/>
      <c r="R156" s="1554"/>
      <c r="S156" s="1078"/>
      <c r="T156" s="1078"/>
      <c r="U156" s="480"/>
      <c r="V156" s="1078"/>
      <c r="W156" s="1078"/>
      <c r="X156" s="1078"/>
      <c r="Y156" s="1078"/>
      <c r="Z156" s="1078"/>
      <c r="AA156" s="1550"/>
      <c r="AB156" s="502"/>
      <c r="AC156" s="502"/>
      <c r="AD156" s="502"/>
      <c r="AE156" s="502"/>
      <c r="AF156" s="1559">
        <v>11</v>
      </c>
    </row>
    <row r="157" spans="1:32" s="2431" customFormat="1" ht="11.45" customHeight="1">
      <c r="A157" s="911"/>
      <c r="B157" s="1554"/>
      <c r="C157" s="1554"/>
      <c r="D157" s="287"/>
      <c r="K157" s="1078"/>
      <c r="L157" s="1554"/>
      <c r="M157" s="1554"/>
      <c r="N157" s="1078"/>
      <c r="O157" s="1078"/>
      <c r="P157" s="1078"/>
      <c r="Q157" s="1078"/>
      <c r="R157" s="1554"/>
      <c r="S157" s="1078"/>
      <c r="T157" s="1078"/>
      <c r="U157" s="480"/>
      <c r="V157" s="1078"/>
      <c r="W157" s="1078"/>
      <c r="X157" s="1078"/>
      <c r="Y157" s="1078"/>
      <c r="Z157" s="1078"/>
      <c r="AA157" s="1550"/>
      <c r="AB157" s="502"/>
      <c r="AC157" s="502"/>
      <c r="AD157" s="502"/>
      <c r="AE157" s="502"/>
      <c r="AF157" s="1559">
        <v>11</v>
      </c>
    </row>
    <row r="158" spans="1:32" s="2431" customFormat="1" ht="11.45" customHeight="1">
      <c r="A158" s="911"/>
      <c r="B158" s="1554"/>
      <c r="C158" s="1554"/>
      <c r="D158" s="287"/>
      <c r="K158" s="1078"/>
      <c r="L158" s="1554"/>
      <c r="M158" s="1554"/>
      <c r="N158" s="1078"/>
      <c r="O158" s="1078"/>
      <c r="P158" s="1078"/>
      <c r="Q158" s="1078"/>
      <c r="R158" s="1554"/>
      <c r="S158" s="1078"/>
      <c r="T158" s="1078"/>
      <c r="U158" s="480"/>
      <c r="V158" s="1078"/>
      <c r="W158" s="1078"/>
      <c r="X158" s="1078"/>
      <c r="Y158" s="1078"/>
      <c r="Z158" s="1078"/>
      <c r="AA158" s="1550"/>
      <c r="AB158" s="502"/>
      <c r="AC158" s="502"/>
      <c r="AD158" s="502"/>
      <c r="AE158" s="502"/>
      <c r="AF158" s="1559">
        <v>11</v>
      </c>
    </row>
    <row r="159" spans="1:32" s="2431" customFormat="1" ht="11.45" customHeight="1">
      <c r="A159" s="911"/>
      <c r="B159" s="1554"/>
      <c r="C159" s="1554"/>
      <c r="D159" s="287"/>
      <c r="K159" s="1078"/>
      <c r="L159" s="1554"/>
      <c r="M159" s="1554"/>
      <c r="N159" s="1078"/>
      <c r="O159" s="1078"/>
      <c r="P159" s="1078"/>
      <c r="Q159" s="1078"/>
      <c r="R159" s="1554"/>
      <c r="S159" s="1078"/>
      <c r="T159" s="1078"/>
      <c r="U159" s="480"/>
      <c r="V159" s="1078"/>
      <c r="W159" s="1078"/>
      <c r="X159" s="1078"/>
      <c r="Y159" s="1078"/>
      <c r="Z159" s="1078"/>
      <c r="AA159" s="1550"/>
      <c r="AB159" s="502"/>
      <c r="AC159" s="502"/>
      <c r="AD159" s="502"/>
      <c r="AE159" s="502"/>
      <c r="AF159" s="1559">
        <v>11</v>
      </c>
    </row>
    <row r="160" spans="1:32" s="2431" customFormat="1" ht="11.45" customHeight="1">
      <c r="A160" s="911"/>
      <c r="B160" s="1554"/>
      <c r="C160" s="1554"/>
      <c r="D160" s="287"/>
      <c r="K160" s="1078"/>
      <c r="L160" s="1554"/>
      <c r="M160" s="1554"/>
      <c r="N160" s="1078"/>
      <c r="O160" s="1078"/>
      <c r="P160" s="1078"/>
      <c r="Q160" s="1078"/>
      <c r="R160" s="1554"/>
      <c r="S160" s="1078"/>
      <c r="T160" s="1078"/>
      <c r="U160" s="480"/>
      <c r="V160" s="1078"/>
      <c r="W160" s="1078"/>
      <c r="X160" s="1078"/>
      <c r="Y160" s="1078"/>
      <c r="Z160" s="1078"/>
      <c r="AA160" s="1550"/>
      <c r="AB160" s="502"/>
      <c r="AC160" s="502"/>
      <c r="AD160" s="502"/>
      <c r="AE160" s="502"/>
      <c r="AF160" s="1559">
        <v>11</v>
      </c>
    </row>
    <row r="161" spans="1:32" s="2431" customFormat="1" ht="11.45" customHeight="1">
      <c r="A161" s="911"/>
      <c r="B161" s="1554"/>
      <c r="C161" s="1554"/>
      <c r="D161" s="287"/>
      <c r="K161" s="1078"/>
      <c r="L161" s="1554"/>
      <c r="M161" s="1554"/>
      <c r="N161" s="1078"/>
      <c r="O161" s="1078"/>
      <c r="P161" s="1078"/>
      <c r="Q161" s="1078"/>
      <c r="R161" s="1554"/>
      <c r="S161" s="1078"/>
      <c r="T161" s="1078"/>
      <c r="U161" s="480"/>
      <c r="V161" s="1078"/>
      <c r="W161" s="1078"/>
      <c r="X161" s="1078"/>
      <c r="Y161" s="1078"/>
      <c r="Z161" s="1078"/>
      <c r="AA161" s="1550"/>
      <c r="AB161" s="502"/>
      <c r="AC161" s="502"/>
      <c r="AD161" s="502"/>
      <c r="AE161" s="502"/>
      <c r="AF161" s="1559">
        <v>11</v>
      </c>
    </row>
    <row r="162" spans="1:32" s="2431" customFormat="1" ht="11.45" customHeight="1">
      <c r="A162" s="911"/>
      <c r="B162" s="1554"/>
      <c r="C162" s="1554"/>
      <c r="D162" s="287"/>
      <c r="K162" s="1078"/>
      <c r="L162" s="1554"/>
      <c r="M162" s="1554"/>
      <c r="N162" s="1078"/>
      <c r="O162" s="1078"/>
      <c r="P162" s="1078"/>
      <c r="Q162" s="1078"/>
      <c r="R162" s="1554"/>
      <c r="S162" s="1078"/>
      <c r="T162" s="1078"/>
      <c r="U162" s="480"/>
      <c r="V162" s="1078"/>
      <c r="W162" s="1078"/>
      <c r="X162" s="1078"/>
      <c r="Y162" s="1078"/>
      <c r="Z162" s="1078"/>
      <c r="AA162" s="1550"/>
      <c r="AB162" s="502"/>
      <c r="AC162" s="502"/>
      <c r="AD162" s="502"/>
      <c r="AE162" s="502"/>
      <c r="AF162" s="1559">
        <v>11</v>
      </c>
    </row>
    <row r="163" spans="1:32" s="2431" customFormat="1" ht="11.45" customHeight="1">
      <c r="A163" s="911"/>
      <c r="B163" s="1554"/>
      <c r="C163" s="1554"/>
      <c r="D163" s="287"/>
      <c r="K163" s="1078"/>
      <c r="L163" s="1554"/>
      <c r="M163" s="1554"/>
      <c r="N163" s="1078"/>
      <c r="O163" s="1078"/>
      <c r="P163" s="1078"/>
      <c r="Q163" s="1078"/>
      <c r="R163" s="1554"/>
      <c r="S163" s="1078"/>
      <c r="T163" s="1078"/>
      <c r="U163" s="480"/>
      <c r="V163" s="1078"/>
      <c r="W163" s="1078"/>
      <c r="X163" s="1078"/>
      <c r="Y163" s="1078"/>
      <c r="Z163" s="1078"/>
      <c r="AA163" s="1550"/>
      <c r="AB163" s="502"/>
      <c r="AC163" s="502"/>
      <c r="AD163" s="502"/>
      <c r="AE163" s="502"/>
      <c r="AF163" s="1559">
        <v>11</v>
      </c>
    </row>
    <row r="164" spans="1:32" s="2431" customFormat="1" ht="11.45" customHeight="1">
      <c r="A164" s="911"/>
      <c r="B164" s="1554"/>
      <c r="C164" s="1554"/>
      <c r="D164" s="287"/>
      <c r="K164" s="1078"/>
      <c r="L164" s="1554"/>
      <c r="M164" s="1554"/>
      <c r="N164" s="1078"/>
      <c r="O164" s="1078"/>
      <c r="P164" s="1078"/>
      <c r="Q164" s="1078"/>
      <c r="R164" s="1554"/>
      <c r="S164" s="1078"/>
      <c r="T164" s="1078"/>
      <c r="U164" s="480"/>
      <c r="V164" s="1078"/>
      <c r="W164" s="1078"/>
      <c r="X164" s="1078"/>
      <c r="Y164" s="1078"/>
      <c r="Z164" s="1078"/>
      <c r="AA164" s="1550"/>
      <c r="AB164" s="502"/>
      <c r="AC164" s="502"/>
      <c r="AD164" s="502"/>
      <c r="AE164" s="502"/>
      <c r="AF164" s="1559">
        <v>11</v>
      </c>
    </row>
    <row r="165" spans="1:32" s="2431" customFormat="1" ht="11.45" customHeight="1">
      <c r="A165" s="911"/>
      <c r="B165" s="1554"/>
      <c r="C165" s="1554"/>
      <c r="D165" s="287"/>
      <c r="K165" s="1078"/>
      <c r="L165" s="1554"/>
      <c r="M165" s="1554"/>
      <c r="N165" s="1078"/>
      <c r="O165" s="1078"/>
      <c r="P165" s="1078"/>
      <c r="Q165" s="1078"/>
      <c r="R165" s="1554"/>
      <c r="S165" s="1078"/>
      <c r="T165" s="1078"/>
      <c r="U165" s="480"/>
      <c r="V165" s="1078"/>
      <c r="W165" s="1078"/>
      <c r="X165" s="1078"/>
      <c r="Y165" s="1078"/>
      <c r="Z165" s="1078"/>
      <c r="AA165" s="1550"/>
      <c r="AB165" s="502"/>
      <c r="AC165" s="502"/>
      <c r="AD165" s="502"/>
      <c r="AE165" s="502"/>
      <c r="AF165" s="1559">
        <v>11</v>
      </c>
    </row>
    <row r="166" spans="1:32" s="2431" customFormat="1" ht="11.45" customHeight="1">
      <c r="A166" s="911"/>
      <c r="B166" s="1554"/>
      <c r="C166" s="1554"/>
      <c r="D166" s="287"/>
      <c r="K166" s="1078"/>
      <c r="L166" s="1554"/>
      <c r="M166" s="1554"/>
      <c r="N166" s="1078"/>
      <c r="O166" s="1078"/>
      <c r="P166" s="1078"/>
      <c r="Q166" s="1078"/>
      <c r="R166" s="1554"/>
      <c r="S166" s="1078"/>
      <c r="T166" s="1078"/>
      <c r="U166" s="480"/>
      <c r="V166" s="1078"/>
      <c r="W166" s="1078"/>
      <c r="X166" s="1078"/>
      <c r="Y166" s="1078"/>
      <c r="Z166" s="1078"/>
      <c r="AA166" s="1550"/>
      <c r="AB166" s="502"/>
      <c r="AC166" s="502"/>
      <c r="AD166" s="502"/>
      <c r="AE166" s="502"/>
      <c r="AF166" s="1559">
        <v>11</v>
      </c>
    </row>
    <row r="167" spans="1:32" s="2431" customFormat="1" ht="11.45" customHeight="1">
      <c r="A167" s="911"/>
      <c r="B167" s="1554"/>
      <c r="C167" s="1554"/>
      <c r="D167" s="287"/>
      <c r="K167" s="1078"/>
      <c r="L167" s="1554"/>
      <c r="M167" s="1554"/>
      <c r="N167" s="1078"/>
      <c r="O167" s="1078"/>
      <c r="P167" s="1078"/>
      <c r="Q167" s="1078"/>
      <c r="R167" s="1554"/>
      <c r="S167" s="1078"/>
      <c r="T167" s="1078"/>
      <c r="U167" s="480"/>
      <c r="V167" s="1078"/>
      <c r="W167" s="1078"/>
      <c r="X167" s="1078"/>
      <c r="Y167" s="1078"/>
      <c r="Z167" s="1078"/>
      <c r="AA167" s="1550"/>
      <c r="AB167" s="502"/>
      <c r="AC167" s="502"/>
      <c r="AD167" s="502"/>
      <c r="AE167" s="502"/>
      <c r="AF167" s="1559">
        <v>11</v>
      </c>
    </row>
    <row r="168" spans="1:32" s="2431" customFormat="1" ht="11.45" customHeight="1">
      <c r="A168" s="911"/>
      <c r="B168" s="1554"/>
      <c r="C168" s="1554"/>
      <c r="D168" s="287"/>
      <c r="K168" s="1078"/>
      <c r="L168" s="1554"/>
      <c r="M168" s="1554"/>
      <c r="N168" s="1078"/>
      <c r="O168" s="1078"/>
      <c r="P168" s="1078"/>
      <c r="Q168" s="1078"/>
      <c r="R168" s="1554"/>
      <c r="S168" s="1078"/>
      <c r="T168" s="1078"/>
      <c r="U168" s="480"/>
      <c r="V168" s="1078"/>
      <c r="W168" s="1078"/>
      <c r="X168" s="1078"/>
      <c r="Y168" s="1078"/>
      <c r="Z168" s="1078"/>
      <c r="AA168" s="1550"/>
      <c r="AB168" s="502"/>
      <c r="AC168" s="502"/>
      <c r="AD168" s="502"/>
      <c r="AE168" s="502"/>
      <c r="AF168" s="1559">
        <v>11</v>
      </c>
    </row>
    <row r="169" spans="1:32" s="2431" customFormat="1" ht="11.45" customHeight="1">
      <c r="A169" s="911"/>
      <c r="B169" s="1554"/>
      <c r="C169" s="1554"/>
      <c r="D169" s="287"/>
      <c r="K169" s="1078"/>
      <c r="L169" s="1554"/>
      <c r="M169" s="1554"/>
      <c r="N169" s="1078"/>
      <c r="O169" s="1078"/>
      <c r="P169" s="1078"/>
      <c r="Q169" s="1078"/>
      <c r="R169" s="1554"/>
      <c r="S169" s="1078"/>
      <c r="T169" s="1078"/>
      <c r="U169" s="480"/>
      <c r="V169" s="1078"/>
      <c r="W169" s="1078"/>
      <c r="X169" s="1078"/>
      <c r="Y169" s="1078"/>
      <c r="Z169" s="1078"/>
      <c r="AA169" s="1550"/>
      <c r="AB169" s="502"/>
      <c r="AC169" s="502"/>
      <c r="AD169" s="502"/>
      <c r="AE169" s="502"/>
      <c r="AF169" s="1559">
        <v>11</v>
      </c>
    </row>
    <row r="170" spans="1:32" s="2431" customFormat="1" ht="11.45" customHeight="1">
      <c r="A170" s="911"/>
      <c r="B170" s="1554"/>
      <c r="C170" s="1554"/>
      <c r="D170" s="287"/>
      <c r="K170" s="1078"/>
      <c r="L170" s="1554"/>
      <c r="M170" s="1554"/>
      <c r="N170" s="1078"/>
      <c r="O170" s="1078"/>
      <c r="P170" s="1078"/>
      <c r="Q170" s="1078"/>
      <c r="R170" s="1554"/>
      <c r="S170" s="1078"/>
      <c r="T170" s="1078"/>
      <c r="U170" s="480"/>
      <c r="V170" s="1078"/>
      <c r="W170" s="1078"/>
      <c r="X170" s="1078"/>
      <c r="Y170" s="1078"/>
      <c r="Z170" s="1078"/>
      <c r="AA170" s="1550"/>
      <c r="AB170" s="502"/>
      <c r="AC170" s="502"/>
      <c r="AD170" s="502"/>
      <c r="AE170" s="502"/>
      <c r="AF170" s="1559">
        <v>11</v>
      </c>
    </row>
    <row r="171" spans="1:32" s="2431" customFormat="1" ht="11.45" customHeight="1">
      <c r="A171" s="911"/>
      <c r="B171" s="1554"/>
      <c r="C171" s="1554"/>
      <c r="D171" s="287"/>
      <c r="K171" s="1078"/>
      <c r="L171" s="1554"/>
      <c r="M171" s="1554"/>
      <c r="N171" s="1078"/>
      <c r="O171" s="1078"/>
      <c r="P171" s="1078"/>
      <c r="Q171" s="1078"/>
      <c r="R171" s="1554"/>
      <c r="S171" s="1078"/>
      <c r="T171" s="1078"/>
      <c r="U171" s="480"/>
      <c r="V171" s="1078"/>
      <c r="W171" s="1078"/>
      <c r="X171" s="1078"/>
      <c r="Y171" s="1078"/>
      <c r="Z171" s="1078"/>
      <c r="AA171" s="1550"/>
      <c r="AB171" s="502"/>
      <c r="AC171" s="502"/>
      <c r="AD171" s="502"/>
      <c r="AE171" s="502"/>
      <c r="AF171" s="1559">
        <v>11</v>
      </c>
    </row>
    <row r="172" spans="1:32" s="2431" customFormat="1" ht="11.45" customHeight="1">
      <c r="A172" s="911"/>
      <c r="B172" s="1554"/>
      <c r="C172" s="1554"/>
      <c r="D172" s="287"/>
      <c r="K172" s="1078"/>
      <c r="L172" s="1554"/>
      <c r="M172" s="1554"/>
      <c r="N172" s="1078"/>
      <c r="O172" s="1078"/>
      <c r="P172" s="1078"/>
      <c r="Q172" s="1078"/>
      <c r="R172" s="1554"/>
      <c r="S172" s="1078"/>
      <c r="T172" s="1078"/>
      <c r="U172" s="480"/>
      <c r="V172" s="1078"/>
      <c r="W172" s="1078"/>
      <c r="X172" s="1078"/>
      <c r="Y172" s="1078"/>
      <c r="Z172" s="1078"/>
      <c r="AA172" s="1550"/>
      <c r="AB172" s="502"/>
      <c r="AC172" s="502"/>
      <c r="AD172" s="502"/>
      <c r="AE172" s="502"/>
      <c r="AF172" s="1559">
        <v>11</v>
      </c>
    </row>
    <row r="173" spans="1:32" s="2431" customFormat="1" ht="11.45" customHeight="1">
      <c r="A173" s="911"/>
      <c r="B173" s="1554"/>
      <c r="C173" s="1554"/>
      <c r="D173" s="287"/>
      <c r="K173" s="1078"/>
      <c r="L173" s="1554"/>
      <c r="M173" s="1554"/>
      <c r="N173" s="1078"/>
      <c r="O173" s="1078"/>
      <c r="P173" s="1078"/>
      <c r="Q173" s="1078"/>
      <c r="R173" s="1554"/>
      <c r="S173" s="1078"/>
      <c r="T173" s="1078"/>
      <c r="U173" s="480"/>
      <c r="V173" s="1078"/>
      <c r="W173" s="1078"/>
      <c r="X173" s="1078"/>
      <c r="Y173" s="1078"/>
      <c r="Z173" s="1078"/>
      <c r="AA173" s="1550"/>
      <c r="AB173" s="502"/>
      <c r="AC173" s="502"/>
      <c r="AD173" s="502"/>
      <c r="AE173" s="502"/>
      <c r="AF173" s="1559">
        <v>11</v>
      </c>
    </row>
    <row r="174" spans="1:32" s="2431" customFormat="1" ht="11.45" customHeight="1">
      <c r="A174" s="911"/>
      <c r="B174" s="1554"/>
      <c r="C174" s="1554"/>
      <c r="D174" s="287"/>
      <c r="K174" s="1078"/>
      <c r="L174" s="1554"/>
      <c r="M174" s="1554"/>
      <c r="N174" s="1078"/>
      <c r="O174" s="1078"/>
      <c r="P174" s="1078"/>
      <c r="Q174" s="1078"/>
      <c r="R174" s="1554"/>
      <c r="S174" s="1078"/>
      <c r="T174" s="1078"/>
      <c r="U174" s="480"/>
      <c r="V174" s="1078"/>
      <c r="W174" s="1078"/>
      <c r="X174" s="1078"/>
      <c r="Y174" s="1078"/>
      <c r="Z174" s="1078"/>
      <c r="AA174" s="1550"/>
      <c r="AB174" s="502"/>
      <c r="AC174" s="502"/>
      <c r="AD174" s="502"/>
      <c r="AE174" s="502"/>
      <c r="AF174" s="1559">
        <v>11</v>
      </c>
    </row>
    <row r="175" spans="1:32" s="2431" customFormat="1" ht="11.45" customHeight="1">
      <c r="A175" s="911"/>
      <c r="B175" s="1554"/>
      <c r="C175" s="1554"/>
      <c r="D175" s="287"/>
      <c r="K175" s="1078"/>
      <c r="L175" s="1554"/>
      <c r="M175" s="1554"/>
      <c r="N175" s="1078"/>
      <c r="O175" s="1078"/>
      <c r="P175" s="1078"/>
      <c r="Q175" s="1078"/>
      <c r="R175" s="1554"/>
      <c r="S175" s="1078"/>
      <c r="T175" s="1078"/>
      <c r="U175" s="480"/>
      <c r="V175" s="1078"/>
      <c r="W175" s="1078"/>
      <c r="X175" s="1078"/>
      <c r="Y175" s="1078"/>
      <c r="Z175" s="1078"/>
      <c r="AA175" s="1550"/>
      <c r="AB175" s="502"/>
      <c r="AC175" s="502"/>
      <c r="AD175" s="502"/>
      <c r="AE175" s="502"/>
      <c r="AF175" s="1559">
        <v>11</v>
      </c>
    </row>
    <row r="176" spans="1:32" s="2431" customFormat="1" ht="11.45" customHeight="1">
      <c r="A176" s="911"/>
      <c r="B176" s="1554"/>
      <c r="C176" s="1554"/>
      <c r="D176" s="287"/>
      <c r="K176" s="1078"/>
      <c r="L176" s="1554"/>
      <c r="M176" s="1554"/>
      <c r="N176" s="1078"/>
      <c r="O176" s="1078"/>
      <c r="P176" s="1078"/>
      <c r="Q176" s="1078"/>
      <c r="R176" s="1554"/>
      <c r="S176" s="1078"/>
      <c r="T176" s="1078"/>
      <c r="U176" s="480"/>
      <c r="V176" s="1078"/>
      <c r="W176" s="1078"/>
      <c r="X176" s="1078"/>
      <c r="Y176" s="1078"/>
      <c r="Z176" s="1078"/>
      <c r="AA176" s="1550"/>
      <c r="AB176" s="502"/>
      <c r="AC176" s="502"/>
      <c r="AD176" s="502"/>
      <c r="AE176" s="502"/>
      <c r="AF176" s="1559">
        <v>11</v>
      </c>
    </row>
    <row r="177" spans="1:32" s="2431" customFormat="1" ht="11.45" customHeight="1">
      <c r="A177" s="911"/>
      <c r="B177" s="1554"/>
      <c r="C177" s="1554"/>
      <c r="D177" s="287"/>
      <c r="K177" s="1078"/>
      <c r="L177" s="1554"/>
      <c r="M177" s="1554"/>
      <c r="N177" s="1078"/>
      <c r="O177" s="1078"/>
      <c r="P177" s="1078"/>
      <c r="Q177" s="1078"/>
      <c r="R177" s="1554"/>
      <c r="S177" s="1078"/>
      <c r="T177" s="1078"/>
      <c r="U177" s="480"/>
      <c r="V177" s="1078"/>
      <c r="W177" s="1078"/>
      <c r="X177" s="1078"/>
      <c r="Y177" s="1078"/>
      <c r="Z177" s="1078"/>
      <c r="AA177" s="1550"/>
      <c r="AB177" s="502"/>
      <c r="AC177" s="502"/>
      <c r="AD177" s="502"/>
      <c r="AE177" s="502"/>
      <c r="AF177" s="1559">
        <v>11</v>
      </c>
    </row>
    <row r="178" spans="1:32" s="2431" customFormat="1" ht="11.45" customHeight="1">
      <c r="A178" s="911"/>
      <c r="B178" s="1554"/>
      <c r="C178" s="1554"/>
      <c r="D178" s="287"/>
      <c r="K178" s="1078"/>
      <c r="L178" s="1554"/>
      <c r="M178" s="1554"/>
      <c r="N178" s="1078"/>
      <c r="O178" s="1078"/>
      <c r="P178" s="1078"/>
      <c r="Q178" s="1078"/>
      <c r="R178" s="1554"/>
      <c r="S178" s="1078"/>
      <c r="T178" s="1078"/>
      <c r="U178" s="480"/>
      <c r="V178" s="1078"/>
      <c r="W178" s="1078"/>
      <c r="X178" s="1078"/>
      <c r="Y178" s="1078"/>
      <c r="Z178" s="1078"/>
      <c r="AA178" s="1550"/>
      <c r="AB178" s="502"/>
      <c r="AC178" s="502"/>
      <c r="AD178" s="502"/>
      <c r="AE178" s="502"/>
      <c r="AF178" s="1559">
        <v>11</v>
      </c>
    </row>
    <row r="179" spans="1:32" s="2431" customFormat="1" ht="11.45" customHeight="1">
      <c r="A179" s="911"/>
      <c r="B179" s="1554"/>
      <c r="C179" s="1554"/>
      <c r="D179" s="287"/>
      <c r="K179" s="1078"/>
      <c r="L179" s="1554"/>
      <c r="M179" s="1554"/>
      <c r="N179" s="1078"/>
      <c r="O179" s="1078"/>
      <c r="P179" s="1078"/>
      <c r="Q179" s="1078"/>
      <c r="R179" s="1554"/>
      <c r="S179" s="1078"/>
      <c r="T179" s="1078"/>
      <c r="U179" s="480"/>
      <c r="V179" s="1078"/>
      <c r="W179" s="1078"/>
      <c r="X179" s="1078"/>
      <c r="Y179" s="1078"/>
      <c r="Z179" s="1078"/>
      <c r="AA179" s="1550"/>
      <c r="AB179" s="502"/>
      <c r="AC179" s="502"/>
      <c r="AD179" s="502"/>
      <c r="AE179" s="502"/>
      <c r="AF179" s="1559">
        <v>11</v>
      </c>
    </row>
    <row r="180" spans="1:32" s="2431" customFormat="1" ht="11.45" customHeight="1">
      <c r="A180" s="911"/>
      <c r="B180" s="1554"/>
      <c r="C180" s="1554"/>
      <c r="D180" s="287"/>
      <c r="K180" s="1078"/>
      <c r="L180" s="1554"/>
      <c r="M180" s="1554"/>
      <c r="N180" s="1078"/>
      <c r="O180" s="1078"/>
      <c r="P180" s="1078"/>
      <c r="Q180" s="1078"/>
      <c r="R180" s="1554"/>
      <c r="S180" s="1078"/>
      <c r="T180" s="1078"/>
      <c r="U180" s="480"/>
      <c r="V180" s="1078"/>
      <c r="W180" s="1078"/>
      <c r="X180" s="1078"/>
      <c r="Y180" s="1078"/>
      <c r="Z180" s="1078"/>
      <c r="AA180" s="1550"/>
      <c r="AB180" s="502"/>
      <c r="AC180" s="502"/>
      <c r="AD180" s="502"/>
      <c r="AE180" s="502"/>
      <c r="AF180" s="1559">
        <v>11</v>
      </c>
    </row>
    <row r="181" spans="1:32" s="2431" customFormat="1" ht="11.45" customHeight="1">
      <c r="A181" s="911"/>
      <c r="B181" s="1554"/>
      <c r="C181" s="1554"/>
      <c r="D181" s="287"/>
      <c r="K181" s="1078"/>
      <c r="L181" s="1554"/>
      <c r="M181" s="1554"/>
      <c r="N181" s="1078"/>
      <c r="O181" s="1078"/>
      <c r="P181" s="1078"/>
      <c r="Q181" s="1078"/>
      <c r="R181" s="1554"/>
      <c r="S181" s="1078"/>
      <c r="T181" s="1078"/>
      <c r="U181" s="480"/>
      <c r="V181" s="1078"/>
      <c r="W181" s="1078"/>
      <c r="X181" s="1078"/>
      <c r="Y181" s="1078"/>
      <c r="Z181" s="1078"/>
      <c r="AA181" s="1550"/>
      <c r="AB181" s="502"/>
      <c r="AC181" s="502"/>
      <c r="AD181" s="502"/>
      <c r="AE181" s="502"/>
      <c r="AF181" s="1559">
        <v>11</v>
      </c>
    </row>
    <row r="182" spans="1:32" s="2431" customFormat="1" ht="11.45" customHeight="1">
      <c r="A182" s="911"/>
      <c r="B182" s="1554"/>
      <c r="C182" s="1554"/>
      <c r="D182" s="287"/>
      <c r="K182" s="1078"/>
      <c r="L182" s="1554"/>
      <c r="M182" s="1554"/>
      <c r="N182" s="1078"/>
      <c r="O182" s="1078"/>
      <c r="P182" s="1078"/>
      <c r="Q182" s="1078"/>
      <c r="R182" s="1554"/>
      <c r="S182" s="1078"/>
      <c r="T182" s="1078"/>
      <c r="U182" s="480"/>
      <c r="V182" s="1078"/>
      <c r="W182" s="1078"/>
      <c r="X182" s="1078"/>
      <c r="Y182" s="1078"/>
      <c r="Z182" s="1078"/>
      <c r="AA182" s="1550"/>
      <c r="AB182" s="502"/>
      <c r="AC182" s="502"/>
      <c r="AD182" s="502"/>
      <c r="AE182" s="502"/>
      <c r="AF182" s="1559">
        <v>11</v>
      </c>
    </row>
    <row r="183" spans="1:32" s="2431" customFormat="1" ht="11.45" customHeight="1">
      <c r="A183" s="911"/>
      <c r="B183" s="1554"/>
      <c r="C183" s="1554"/>
      <c r="D183" s="287"/>
      <c r="K183" s="1078"/>
      <c r="L183" s="1554"/>
      <c r="M183" s="1554"/>
      <c r="N183" s="1078"/>
      <c r="O183" s="1078"/>
      <c r="P183" s="1078"/>
      <c r="Q183" s="1078"/>
      <c r="R183" s="1554"/>
      <c r="S183" s="1078"/>
      <c r="T183" s="1078"/>
      <c r="U183" s="480"/>
      <c r="V183" s="1078"/>
      <c r="W183" s="1078"/>
      <c r="X183" s="1078"/>
      <c r="Y183" s="1078"/>
      <c r="Z183" s="1078"/>
      <c r="AA183" s="1550"/>
      <c r="AB183" s="502"/>
      <c r="AC183" s="502"/>
      <c r="AD183" s="502"/>
      <c r="AE183" s="502"/>
      <c r="AF183" s="1559">
        <v>11</v>
      </c>
    </row>
    <row r="184" spans="1:32" s="2431" customFormat="1" ht="11.45" customHeight="1">
      <c r="A184" s="911"/>
      <c r="B184" s="1554"/>
      <c r="C184" s="1554"/>
      <c r="D184" s="287"/>
      <c r="K184" s="1078"/>
      <c r="L184" s="1554"/>
      <c r="M184" s="1554"/>
      <c r="N184" s="1078"/>
      <c r="O184" s="1078"/>
      <c r="P184" s="1078"/>
      <c r="Q184" s="1078"/>
      <c r="R184" s="1554"/>
      <c r="S184" s="1078"/>
      <c r="T184" s="1078"/>
      <c r="U184" s="480"/>
      <c r="V184" s="1078"/>
      <c r="W184" s="1078"/>
      <c r="X184" s="1078"/>
      <c r="Y184" s="1078"/>
      <c r="Z184" s="1078"/>
      <c r="AA184" s="1550"/>
      <c r="AB184" s="502"/>
      <c r="AC184" s="502"/>
      <c r="AD184" s="502"/>
      <c r="AE184" s="502"/>
      <c r="AF184" s="1559">
        <v>11</v>
      </c>
    </row>
    <row r="185" spans="1:32" s="2431" customFormat="1" ht="11.45" customHeight="1">
      <c r="A185" s="911"/>
      <c r="B185" s="1554"/>
      <c r="C185" s="1554"/>
      <c r="D185" s="287"/>
      <c r="K185" s="1078"/>
      <c r="L185" s="1554"/>
      <c r="M185" s="1554"/>
      <c r="N185" s="1078"/>
      <c r="O185" s="1078"/>
      <c r="P185" s="1078"/>
      <c r="Q185" s="1078"/>
      <c r="R185" s="1554"/>
      <c r="S185" s="1078"/>
      <c r="T185" s="1078"/>
      <c r="U185" s="480"/>
      <c r="V185" s="1078"/>
      <c r="W185" s="1078"/>
      <c r="X185" s="1078"/>
      <c r="Y185" s="1078"/>
      <c r="Z185" s="1078"/>
      <c r="AA185" s="1550"/>
      <c r="AB185" s="502"/>
      <c r="AC185" s="502"/>
      <c r="AD185" s="502"/>
      <c r="AE185" s="502"/>
      <c r="AF185" s="1559">
        <v>11</v>
      </c>
    </row>
    <row r="186" spans="1:32" s="2431" customFormat="1" ht="11.45" customHeight="1">
      <c r="A186" s="911"/>
      <c r="B186" s="1554"/>
      <c r="C186" s="1554"/>
      <c r="D186" s="287"/>
      <c r="K186" s="1078"/>
      <c r="L186" s="1554"/>
      <c r="M186" s="1554"/>
      <c r="N186" s="1078"/>
      <c r="O186" s="1078"/>
      <c r="P186" s="1078"/>
      <c r="Q186" s="1078"/>
      <c r="R186" s="1554"/>
      <c r="S186" s="1078"/>
      <c r="T186" s="1078"/>
      <c r="U186" s="480"/>
      <c r="V186" s="1078"/>
      <c r="W186" s="1078"/>
      <c r="X186" s="1078"/>
      <c r="Y186" s="1078"/>
      <c r="Z186" s="1078"/>
      <c r="AA186" s="1550"/>
      <c r="AB186" s="502"/>
      <c r="AC186" s="502"/>
      <c r="AD186" s="502"/>
      <c r="AE186" s="502"/>
      <c r="AF186" s="1559">
        <v>11</v>
      </c>
    </row>
    <row r="187" spans="1:32" s="2431" customFormat="1" ht="11.45" customHeight="1">
      <c r="A187" s="911"/>
      <c r="B187" s="1554"/>
      <c r="C187" s="1554"/>
      <c r="D187" s="287"/>
      <c r="K187" s="1078"/>
      <c r="L187" s="1554"/>
      <c r="M187" s="1554"/>
      <c r="N187" s="1078"/>
      <c r="O187" s="1078"/>
      <c r="P187" s="1078"/>
      <c r="Q187" s="1078"/>
      <c r="R187" s="1554"/>
      <c r="S187" s="1078"/>
      <c r="T187" s="1078"/>
      <c r="U187" s="480"/>
      <c r="V187" s="1078"/>
      <c r="W187" s="1078"/>
      <c r="X187" s="1078"/>
      <c r="Y187" s="1078"/>
      <c r="Z187" s="1078"/>
      <c r="AA187" s="1550"/>
      <c r="AB187" s="502"/>
      <c r="AC187" s="502"/>
      <c r="AD187" s="502"/>
      <c r="AE187" s="502"/>
      <c r="AF187" s="1559">
        <v>11</v>
      </c>
    </row>
    <row r="188" spans="1:32" s="2431" customFormat="1" ht="11.45" customHeight="1">
      <c r="A188" s="911"/>
      <c r="B188" s="1554"/>
      <c r="C188" s="1554"/>
      <c r="D188" s="287"/>
      <c r="K188" s="1078"/>
      <c r="L188" s="1554"/>
      <c r="M188" s="1554"/>
      <c r="N188" s="1078"/>
      <c r="O188" s="1078"/>
      <c r="P188" s="1078"/>
      <c r="Q188" s="1078"/>
      <c r="R188" s="1554"/>
      <c r="S188" s="1078"/>
      <c r="T188" s="1078"/>
      <c r="U188" s="480"/>
      <c r="V188" s="1078"/>
      <c r="W188" s="1078"/>
      <c r="X188" s="1078"/>
      <c r="Y188" s="1078"/>
      <c r="Z188" s="1078"/>
      <c r="AA188" s="1550"/>
      <c r="AB188" s="502"/>
      <c r="AC188" s="502"/>
      <c r="AD188" s="502"/>
      <c r="AE188" s="502"/>
      <c r="AF188" s="1559">
        <v>11</v>
      </c>
    </row>
    <row r="189" spans="1:32" s="2431" customFormat="1" ht="11.45" customHeight="1">
      <c r="A189" s="911"/>
      <c r="B189" s="1554"/>
      <c r="C189" s="1554"/>
      <c r="D189" s="287"/>
      <c r="K189" s="1078"/>
      <c r="L189" s="1554"/>
      <c r="M189" s="1554"/>
      <c r="N189" s="1078"/>
      <c r="O189" s="1078"/>
      <c r="P189" s="1078"/>
      <c r="Q189" s="1078"/>
      <c r="R189" s="1554"/>
      <c r="S189" s="1078"/>
      <c r="T189" s="1078"/>
      <c r="U189" s="480"/>
      <c r="V189" s="1078"/>
      <c r="W189" s="1078"/>
      <c r="X189" s="1078"/>
      <c r="Y189" s="1078"/>
      <c r="Z189" s="1078"/>
      <c r="AA189" s="1550"/>
      <c r="AB189" s="502"/>
      <c r="AC189" s="502"/>
      <c r="AD189" s="502"/>
      <c r="AE189" s="502"/>
      <c r="AF189" s="1559">
        <v>11</v>
      </c>
    </row>
    <row r="190" spans="1:32" s="2431" customFormat="1" ht="11.45" customHeight="1">
      <c r="A190" s="911"/>
      <c r="B190" s="1554"/>
      <c r="C190" s="1554"/>
      <c r="D190" s="287"/>
      <c r="K190" s="1078"/>
      <c r="L190" s="1554"/>
      <c r="M190" s="1554"/>
      <c r="N190" s="1078"/>
      <c r="O190" s="1078"/>
      <c r="P190" s="1078"/>
      <c r="Q190" s="1078"/>
      <c r="R190" s="1554"/>
      <c r="S190" s="1078"/>
      <c r="T190" s="1078"/>
      <c r="U190" s="480"/>
      <c r="V190" s="1078"/>
      <c r="W190" s="1078"/>
      <c r="X190" s="1078"/>
      <c r="Y190" s="1078"/>
      <c r="Z190" s="1078"/>
      <c r="AA190" s="1550"/>
      <c r="AB190" s="502"/>
      <c r="AC190" s="502"/>
      <c r="AD190" s="502"/>
      <c r="AE190" s="502"/>
      <c r="AF190" s="1559">
        <v>11</v>
      </c>
    </row>
    <row r="191" spans="1:32" s="2431" customFormat="1" ht="11.45" customHeight="1">
      <c r="A191" s="911"/>
      <c r="B191" s="1554"/>
      <c r="C191" s="1554"/>
      <c r="D191" s="287"/>
      <c r="K191" s="1078"/>
      <c r="L191" s="1554"/>
      <c r="M191" s="1554"/>
      <c r="N191" s="1078"/>
      <c r="O191" s="1078"/>
      <c r="P191" s="1078"/>
      <c r="Q191" s="1078"/>
      <c r="R191" s="1554"/>
      <c r="S191" s="1078"/>
      <c r="T191" s="1078"/>
      <c r="U191" s="480"/>
      <c r="V191" s="1078"/>
      <c r="W191" s="1078"/>
      <c r="X191" s="1078"/>
      <c r="Y191" s="1078"/>
      <c r="Z191" s="1078"/>
      <c r="AA191" s="1550"/>
      <c r="AB191" s="502"/>
      <c r="AC191" s="502"/>
      <c r="AD191" s="502"/>
      <c r="AE191" s="502"/>
      <c r="AF191" s="1559">
        <v>11</v>
      </c>
    </row>
    <row r="192" spans="1:32" s="2431" customFormat="1" ht="11.45" customHeight="1">
      <c r="A192" s="911"/>
      <c r="B192" s="1554"/>
      <c r="C192" s="1554"/>
      <c r="D192" s="287"/>
      <c r="K192" s="1078"/>
      <c r="L192" s="1554"/>
      <c r="M192" s="1554"/>
      <c r="N192" s="1078"/>
      <c r="O192" s="1078"/>
      <c r="P192" s="1078"/>
      <c r="Q192" s="1078"/>
      <c r="R192" s="1554"/>
      <c r="S192" s="1078"/>
      <c r="T192" s="1078"/>
      <c r="U192" s="480"/>
      <c r="V192" s="1078"/>
      <c r="W192" s="1078"/>
      <c r="X192" s="1078"/>
      <c r="Y192" s="1078"/>
      <c r="Z192" s="1078"/>
      <c r="AA192" s="1550"/>
      <c r="AB192" s="502"/>
      <c r="AC192" s="502"/>
      <c r="AD192" s="502"/>
      <c r="AE192" s="502"/>
      <c r="AF192" s="1559">
        <v>11</v>
      </c>
    </row>
    <row r="193" spans="1:32" s="2431" customFormat="1" ht="11.45" customHeight="1">
      <c r="A193" s="911"/>
      <c r="B193" s="1554"/>
      <c r="C193" s="1554"/>
      <c r="D193" s="287"/>
      <c r="K193" s="1078"/>
      <c r="L193" s="1554"/>
      <c r="M193" s="1554"/>
      <c r="N193" s="1078"/>
      <c r="O193" s="1078"/>
      <c r="P193" s="1078"/>
      <c r="Q193" s="1078"/>
      <c r="R193" s="1554"/>
      <c r="S193" s="1078"/>
      <c r="T193" s="1078"/>
      <c r="U193" s="480"/>
      <c r="V193" s="1078"/>
      <c r="W193" s="1078"/>
      <c r="X193" s="1078"/>
      <c r="Y193" s="1078"/>
      <c r="Z193" s="1078"/>
      <c r="AA193" s="1550"/>
      <c r="AB193" s="502"/>
      <c r="AC193" s="502"/>
      <c r="AD193" s="502"/>
      <c r="AE193" s="502"/>
      <c r="AF193" s="1559">
        <v>11</v>
      </c>
    </row>
    <row r="194" spans="1:32" s="2431" customFormat="1" ht="11.45" customHeight="1">
      <c r="A194" s="911"/>
      <c r="B194" s="1554"/>
      <c r="C194" s="1554"/>
      <c r="D194" s="287"/>
      <c r="K194" s="1078"/>
      <c r="L194" s="1554"/>
      <c r="M194" s="1554"/>
      <c r="N194" s="1078"/>
      <c r="O194" s="1078"/>
      <c r="P194" s="1078"/>
      <c r="Q194" s="1078"/>
      <c r="R194" s="1554"/>
      <c r="S194" s="1078"/>
      <c r="T194" s="1078"/>
      <c r="U194" s="480"/>
      <c r="V194" s="1078"/>
      <c r="W194" s="1078"/>
      <c r="X194" s="1078"/>
      <c r="Y194" s="1078"/>
      <c r="Z194" s="1078"/>
      <c r="AA194" s="1550"/>
      <c r="AB194" s="502"/>
      <c r="AC194" s="502"/>
      <c r="AD194" s="502"/>
      <c r="AE194" s="502"/>
      <c r="AF194" s="1559">
        <v>11</v>
      </c>
    </row>
    <row r="195" spans="1:32" s="2431" customFormat="1" ht="11.45" customHeight="1">
      <c r="A195" s="911"/>
      <c r="B195" s="1554"/>
      <c r="C195" s="1554"/>
      <c r="D195" s="287"/>
      <c r="K195" s="1078"/>
      <c r="L195" s="1554"/>
      <c r="M195" s="1554"/>
      <c r="N195" s="1078"/>
      <c r="O195" s="1078"/>
      <c r="P195" s="1078"/>
      <c r="Q195" s="1078"/>
      <c r="R195" s="1554"/>
      <c r="S195" s="1078"/>
      <c r="T195" s="1078"/>
      <c r="U195" s="480"/>
      <c r="V195" s="1078"/>
      <c r="W195" s="1078"/>
      <c r="X195" s="1078"/>
      <c r="Y195" s="1078"/>
      <c r="Z195" s="1078"/>
      <c r="AA195" s="1550"/>
      <c r="AB195" s="502"/>
      <c r="AC195" s="502"/>
      <c r="AD195" s="502"/>
      <c r="AE195" s="502"/>
      <c r="AF195" s="1559">
        <v>11</v>
      </c>
    </row>
    <row r="196" spans="1:32" ht="11.45" customHeight="1">
      <c r="AF196" s="1549">
        <v>11</v>
      </c>
    </row>
    <row r="197" spans="1:32" ht="11.45" customHeight="1">
      <c r="AF197" s="1549">
        <v>11</v>
      </c>
    </row>
    <row r="198" spans="1:32" ht="11.45" customHeight="1">
      <c r="AF198" s="1549">
        <v>11</v>
      </c>
    </row>
    <row r="199" spans="1:32" ht="11.45" customHeight="1">
      <c r="A199" s="914"/>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4"/>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4"/>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4"/>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4"/>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4"/>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4"/>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4"/>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4"/>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4"/>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4"/>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1" t="s">
        <v>78</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80">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443" hidden="1" customWidth="1"/>
    <col min="2" max="2" width="3.5703125" style="2407" hidden="1" customWidth="1"/>
    <col min="3" max="3" width="3" style="2400" customWidth="1"/>
    <col min="4" max="4" width="7" style="2400" customWidth="1"/>
    <col min="5" max="5" width="69" style="2400" customWidth="1"/>
    <col min="6" max="6" width="10" style="2400" customWidth="1"/>
    <col min="7" max="8" width="44" style="2400" hidden="1" customWidth="1"/>
    <col min="9" max="9" width="44" style="2400" customWidth="1"/>
    <col min="10" max="10" width="43" style="2400" customWidth="1"/>
    <col min="11" max="11" width="73" style="2400" customWidth="1"/>
    <col min="12" max="12" width="3" style="2400" customWidth="1"/>
    <col min="13" max="23" width="10" style="2400" customWidth="1"/>
    <col min="24" max="24" width="10.5703125" style="2400" hidden="1"/>
  </cols>
  <sheetData>
    <row r="1" spans="1:24" s="2406" customFormat="1" ht="22.5" hidden="1" customHeight="1">
      <c r="A1" s="472"/>
      <c r="B1" s="447"/>
      <c r="G1" s="353">
        <v>4</v>
      </c>
      <c r="I1" s="353">
        <v>4</v>
      </c>
      <c r="K1" s="353">
        <v>5</v>
      </c>
      <c r="X1" s="353" t="s">
        <v>14</v>
      </c>
    </row>
    <row r="2" spans="1:24" ht="3" customHeight="1">
      <c r="X2" s="441">
        <v>3</v>
      </c>
    </row>
    <row r="3" spans="1:24" ht="78.75" customHeight="1">
      <c r="D3" s="250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08"/>
      <c r="F3" s="2509"/>
      <c r="X3" s="441">
        <v>75</v>
      </c>
    </row>
    <row r="4" spans="1:24" s="2400" customFormat="1" ht="21" customHeight="1">
      <c r="A4" s="876"/>
      <c r="B4" s="447"/>
      <c r="D4" s="2617" t="str">
        <f>IF(org=0,"Не определено",org)</f>
        <v>ПАО "ТГК-1" (филиал "Кольский")</v>
      </c>
      <c r="E4" s="2618"/>
      <c r="F4" s="2619"/>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110</v>
      </c>
      <c r="J6" s="945"/>
      <c r="X6" s="441">
        <v>1</v>
      </c>
    </row>
    <row r="7" spans="1:24" ht="11.45" customHeight="1">
      <c r="D7" s="647"/>
      <c r="E7" s="2729" t="s">
        <v>98</v>
      </c>
      <c r="F7" s="2730"/>
      <c r="G7" s="2749" t="str">
        <f>IF(G6="","",INDEX(DIFFERENTIATION_UNMERGE_VD,MATCH(G6,DIFFERENTIATION_ID_DIFF,0)))</f>
        <v/>
      </c>
      <c r="H7" s="2750"/>
      <c r="I7" s="2749">
        <f>IF(I6="","",INDEX(DIFFERENTIATION_UNMERGE_VD,MATCH(I6,DIFFERENTIATION_ID_DIFF,0)))</f>
        <v>0</v>
      </c>
      <c r="J7" s="2750"/>
      <c r="K7" s="2573"/>
      <c r="L7" s="445"/>
      <c r="X7" s="441">
        <v>11</v>
      </c>
    </row>
    <row r="8" spans="1:24" ht="11.45" customHeight="1">
      <c r="A8" s="640"/>
      <c r="D8" s="647"/>
      <c r="E8" s="2729" t="s">
        <v>555</v>
      </c>
      <c r="F8" s="2730"/>
      <c r="G8" s="2749" t="str">
        <f>IF(G6="","",INDEX(DIFFERENTIATION_UNMERGE_AREA,MATCH(G6,DIFFERENTIATION_ID_DIFF,0)))</f>
        <v/>
      </c>
      <c r="H8" s="2750"/>
      <c r="I8" s="2749" t="str">
        <f>IF(I6="","",INDEX(DIFFERENTIATION_UNMERGE_AREA,MATCH(I6,DIFFERENTIATION_ID_DIFF,0)))</f>
        <v/>
      </c>
      <c r="J8" s="2750"/>
      <c r="K8" s="2578"/>
      <c r="L8" s="445"/>
      <c r="X8" s="441">
        <v>11</v>
      </c>
    </row>
    <row r="9" spans="1:24" ht="11.45" customHeight="1">
      <c r="A9" s="640"/>
      <c r="D9" s="647"/>
      <c r="E9" s="2729" t="s">
        <v>556</v>
      </c>
      <c r="F9" s="2730"/>
      <c r="G9" s="2749" t="str">
        <f>IF(G6="","",INDEX(DIFFERENTIATION_UNMERGE_SYSTEM,MATCH(G6,DIFFERENTIATION_ID_DIFF,0)))</f>
        <v/>
      </c>
      <c r="H9" s="2750"/>
      <c r="I9" s="2749" t="str">
        <f>IF(I6="","",INDEX(DIFFERENTIATION_UNMERGE_SYSTEM,MATCH(I6,DIFFERENTIATION_ID_DIFF,0)))</f>
        <v>без дифференциации</v>
      </c>
      <c r="J9" s="2750"/>
      <c r="K9" s="2578"/>
      <c r="L9" s="445"/>
      <c r="X9" s="441">
        <v>11</v>
      </c>
    </row>
    <row r="10" spans="1:24" s="2400" customFormat="1" ht="11.45" customHeight="1">
      <c r="A10" s="944"/>
      <c r="B10" s="447"/>
      <c r="D10" s="2496" t="s">
        <v>291</v>
      </c>
      <c r="E10" s="2501"/>
      <c r="F10" s="2501"/>
      <c r="G10" s="2501"/>
      <c r="H10" s="2501"/>
      <c r="I10" s="2501"/>
      <c r="J10" s="2495"/>
      <c r="K10" s="2578"/>
      <c r="L10" s="445"/>
      <c r="X10" s="692">
        <v>11</v>
      </c>
    </row>
    <row r="11" spans="1:24" s="2400" customFormat="1" ht="24" customHeight="1">
      <c r="A11" s="2641"/>
      <c r="B11" s="2641"/>
      <c r="C11" s="593"/>
      <c r="D11" s="639" t="s">
        <v>84</v>
      </c>
      <c r="E11" s="641" t="s">
        <v>798</v>
      </c>
      <c r="F11" s="641" t="s">
        <v>557</v>
      </c>
      <c r="G11" s="401" t="s">
        <v>294</v>
      </c>
      <c r="H11" s="401" t="s">
        <v>381</v>
      </c>
      <c r="I11" s="737" t="s">
        <v>294</v>
      </c>
      <c r="J11" s="738" t="s">
        <v>381</v>
      </c>
      <c r="K11" s="2628"/>
      <c r="L11" s="594"/>
      <c r="X11" s="445">
        <v>23</v>
      </c>
    </row>
    <row r="12" spans="1:24" s="2407" customFormat="1" ht="10.5" customHeight="1">
      <c r="A12" s="877"/>
      <c r="D12" s="948" t="s">
        <v>102</v>
      </c>
      <c r="E12" s="948" t="s">
        <v>103</v>
      </c>
      <c r="F12" s="948" t="s">
        <v>86</v>
      </c>
      <c r="G12" s="949" t="str">
        <f>G1&amp;".1"</f>
        <v>4.1</v>
      </c>
      <c r="H12" s="949" t="str">
        <f>G1&amp;".2"</f>
        <v>4.2</v>
      </c>
      <c r="I12" s="949" t="str">
        <f>I1&amp;".1"</f>
        <v>4.1</v>
      </c>
      <c r="J12" s="949" t="str">
        <f>I1&amp;".2"</f>
        <v>4.2</v>
      </c>
      <c r="K12" s="949"/>
      <c r="X12" s="447">
        <v>10</v>
      </c>
    </row>
    <row r="13" spans="1:24" ht="22.5" customHeight="1">
      <c r="A13" s="2751" t="s">
        <v>799</v>
      </c>
      <c r="D13" s="878" t="s">
        <v>102</v>
      </c>
      <c r="E13" s="216" t="s">
        <v>800</v>
      </c>
      <c r="F13" s="596" t="s">
        <v>801</v>
      </c>
      <c r="G13" s="493"/>
      <c r="H13" s="597"/>
      <c r="I13" s="493"/>
      <c r="J13" s="597"/>
      <c r="K13" s="226" t="s">
        <v>802</v>
      </c>
      <c r="L13" s="656"/>
      <c r="X13" s="441">
        <v>0</v>
      </c>
    </row>
    <row r="14" spans="1:24" ht="22.5" customHeight="1">
      <c r="A14" s="2751"/>
      <c r="D14" s="475" t="s">
        <v>103</v>
      </c>
      <c r="E14" s="216" t="s">
        <v>803</v>
      </c>
      <c r="F14" s="596" t="s">
        <v>804</v>
      </c>
      <c r="G14" s="493"/>
      <c r="H14" s="598"/>
      <c r="I14" s="493"/>
      <c r="J14" s="598"/>
      <c r="K14" s="226" t="s">
        <v>805</v>
      </c>
      <c r="L14" s="656"/>
      <c r="X14" s="441">
        <v>0</v>
      </c>
    </row>
    <row r="15" spans="1:24" s="2400" customFormat="1" ht="78.75" customHeight="1">
      <c r="A15" s="2751"/>
      <c r="B15" s="447"/>
      <c r="D15" s="878" t="s">
        <v>86</v>
      </c>
      <c r="E15" s="643" t="s">
        <v>806</v>
      </c>
      <c r="F15" s="875" t="s">
        <v>297</v>
      </c>
      <c r="G15" s="875" t="s">
        <v>297</v>
      </c>
      <c r="H15" s="46"/>
      <c r="I15" s="875" t="s">
        <v>297</v>
      </c>
      <c r="J15" s="46"/>
      <c r="K15" s="226" t="s">
        <v>807</v>
      </c>
      <c r="L15" s="656"/>
      <c r="X15" s="692">
        <v>0</v>
      </c>
    </row>
    <row r="16" spans="1:24" s="2400" customFormat="1" ht="22.5" customHeight="1">
      <c r="A16" s="2751"/>
      <c r="B16" s="447"/>
      <c r="D16" s="878" t="s">
        <v>315</v>
      </c>
      <c r="E16" s="879" t="s">
        <v>808</v>
      </c>
      <c r="F16" s="875" t="s">
        <v>809</v>
      </c>
      <c r="G16" s="747"/>
      <c r="H16" s="46"/>
      <c r="I16" s="747"/>
      <c r="J16" s="46"/>
      <c r="K16" s="226"/>
      <c r="L16" s="656"/>
      <c r="X16" s="692">
        <v>0</v>
      </c>
    </row>
    <row r="17" spans="1:24" s="2400" customFormat="1" ht="22.5" customHeight="1">
      <c r="A17" s="2751"/>
      <c r="B17" s="447"/>
      <c r="D17" s="878" t="s">
        <v>323</v>
      </c>
      <c r="E17" s="879" t="s">
        <v>810</v>
      </c>
      <c r="F17" s="875" t="s">
        <v>811</v>
      </c>
      <c r="G17" s="747"/>
      <c r="H17" s="46"/>
      <c r="I17" s="747"/>
      <c r="J17" s="46"/>
      <c r="K17" s="226"/>
      <c r="L17" s="656"/>
      <c r="X17" s="692">
        <v>0</v>
      </c>
    </row>
    <row r="18" spans="1:24" s="2400" customFormat="1" ht="33.75" customHeight="1">
      <c r="A18" s="2751"/>
      <c r="B18" s="447"/>
      <c r="D18" s="878" t="s">
        <v>325</v>
      </c>
      <c r="E18" s="879" t="s">
        <v>812</v>
      </c>
      <c r="F18" s="875" t="s">
        <v>562</v>
      </c>
      <c r="G18" s="616"/>
      <c r="H18" s="46"/>
      <c r="I18" s="616"/>
      <c r="J18" s="46"/>
      <c r="K18" s="226"/>
      <c r="L18" s="656"/>
      <c r="X18" s="692">
        <v>0</v>
      </c>
    </row>
    <row r="19" spans="1:24" ht="101.25" customHeight="1">
      <c r="A19" s="2751"/>
      <c r="D19" s="878" t="s">
        <v>87</v>
      </c>
      <c r="E19" s="216" t="s">
        <v>813</v>
      </c>
      <c r="F19" s="596" t="s">
        <v>537</v>
      </c>
      <c r="G19" s="599"/>
      <c r="H19" s="598"/>
      <c r="I19" s="880"/>
      <c r="J19" s="598"/>
      <c r="K19" s="226" t="s">
        <v>814</v>
      </c>
      <c r="L19" s="656"/>
      <c r="X19" s="441">
        <v>0</v>
      </c>
    </row>
    <row r="20" spans="1:24" s="2400" customFormat="1" ht="18.75" customHeight="1">
      <c r="A20" s="2751"/>
      <c r="C20" s="881"/>
      <c r="D20" s="878" t="s">
        <v>745</v>
      </c>
      <c r="E20" s="879" t="s">
        <v>815</v>
      </c>
      <c r="F20" s="875" t="s">
        <v>297</v>
      </c>
      <c r="G20" s="875" t="s">
        <v>297</v>
      </c>
      <c r="H20" s="874" t="s">
        <v>297</v>
      </c>
      <c r="I20" s="875" t="s">
        <v>297</v>
      </c>
      <c r="J20" s="874" t="s">
        <v>297</v>
      </c>
      <c r="K20" s="873"/>
      <c r="L20" s="656"/>
      <c r="W20" s="611"/>
      <c r="X20" s="692">
        <v>0</v>
      </c>
    </row>
    <row r="21" spans="1:24" s="2400" customFormat="1" ht="33.75" customHeight="1">
      <c r="A21" s="2751"/>
      <c r="C21" s="881"/>
      <c r="D21" s="878" t="s">
        <v>748</v>
      </c>
      <c r="E21" s="512" t="s">
        <v>816</v>
      </c>
      <c r="F21" s="875" t="s">
        <v>817</v>
      </c>
      <c r="G21" s="616"/>
      <c r="H21" s="46"/>
      <c r="I21" s="616"/>
      <c r="J21" s="46"/>
      <c r="K21" s="873"/>
      <c r="L21" s="656"/>
      <c r="W21" s="611"/>
      <c r="X21" s="692">
        <v>0</v>
      </c>
    </row>
    <row r="22" spans="1:24" s="2400" customFormat="1" ht="33.75" customHeight="1">
      <c r="A22" s="2751"/>
      <c r="C22" s="881"/>
      <c r="D22" s="878" t="s">
        <v>751</v>
      </c>
      <c r="E22" s="512" t="s">
        <v>818</v>
      </c>
      <c r="F22" s="875" t="s">
        <v>819</v>
      </c>
      <c r="G22" s="616"/>
      <c r="H22" s="46"/>
      <c r="I22" s="616"/>
      <c r="J22" s="46"/>
      <c r="K22" s="873"/>
      <c r="L22" s="656"/>
      <c r="W22" s="611"/>
      <c r="X22" s="692">
        <v>0</v>
      </c>
    </row>
    <row r="23" spans="1:24" s="2400" customFormat="1" ht="22.5" customHeight="1">
      <c r="A23" s="2751"/>
      <c r="C23" s="881"/>
      <c r="D23" s="878" t="s">
        <v>787</v>
      </c>
      <c r="E23" s="879" t="s">
        <v>820</v>
      </c>
      <c r="F23" s="875" t="s">
        <v>297</v>
      </c>
      <c r="G23" s="875" t="s">
        <v>297</v>
      </c>
      <c r="H23" s="874" t="s">
        <v>297</v>
      </c>
      <c r="I23" s="875" t="s">
        <v>297</v>
      </c>
      <c r="J23" s="874" t="s">
        <v>297</v>
      </c>
      <c r="K23" s="873"/>
      <c r="L23" s="656"/>
      <c r="W23" s="611"/>
      <c r="X23" s="692">
        <v>0</v>
      </c>
    </row>
    <row r="24" spans="1:24" s="2400" customFormat="1" ht="22.5" customHeight="1">
      <c r="A24" s="2751"/>
      <c r="C24" s="881"/>
      <c r="D24" s="878" t="s">
        <v>821</v>
      </c>
      <c r="E24" s="512" t="s">
        <v>822</v>
      </c>
      <c r="F24" s="875" t="s">
        <v>823</v>
      </c>
      <c r="G24" s="616"/>
      <c r="H24" s="622"/>
      <c r="I24" s="616"/>
      <c r="J24" s="622"/>
      <c r="K24" s="873"/>
      <c r="L24" s="656"/>
      <c r="W24" s="611"/>
      <c r="X24" s="692">
        <v>0</v>
      </c>
    </row>
    <row r="25" spans="1:24" s="2400" customFormat="1" ht="22.5" customHeight="1">
      <c r="A25" s="2751"/>
      <c r="C25" s="881"/>
      <c r="D25" s="878" t="s">
        <v>824</v>
      </c>
      <c r="E25" s="512" t="s">
        <v>825</v>
      </c>
      <c r="F25" s="875" t="s">
        <v>297</v>
      </c>
      <c r="G25" s="875" t="s">
        <v>297</v>
      </c>
      <c r="H25" s="874" t="s">
        <v>297</v>
      </c>
      <c r="I25" s="875" t="s">
        <v>297</v>
      </c>
      <c r="J25" s="874" t="s">
        <v>297</v>
      </c>
      <c r="K25" s="873"/>
      <c r="L25" s="656"/>
      <c r="W25" s="611"/>
      <c r="X25" s="692">
        <v>0</v>
      </c>
    </row>
    <row r="26" spans="1:24" s="2400" customFormat="1" ht="18.75" customHeight="1">
      <c r="A26" s="2751"/>
      <c r="C26" s="881"/>
      <c r="D26" s="878" t="s">
        <v>826</v>
      </c>
      <c r="E26" s="489" t="s">
        <v>827</v>
      </c>
      <c r="F26" s="875" t="s">
        <v>828</v>
      </c>
      <c r="G26" s="616"/>
      <c r="H26" s="622"/>
      <c r="I26" s="616"/>
      <c r="J26" s="622"/>
      <c r="K26" s="873"/>
      <c r="L26" s="656"/>
      <c r="W26" s="611"/>
      <c r="X26" s="692">
        <v>0</v>
      </c>
    </row>
    <row r="27" spans="1:24" s="2400" customFormat="1" ht="18.75" customHeight="1">
      <c r="A27" s="2751"/>
      <c r="C27" s="881"/>
      <c r="D27" s="878" t="s">
        <v>829</v>
      </c>
      <c r="E27" s="489" t="s">
        <v>830</v>
      </c>
      <c r="F27" s="875" t="s">
        <v>831</v>
      </c>
      <c r="G27" s="616"/>
      <c r="H27" s="622"/>
      <c r="I27" s="616"/>
      <c r="J27" s="622"/>
      <c r="K27" s="873"/>
      <c r="L27" s="656"/>
      <c r="W27" s="611"/>
      <c r="X27" s="692">
        <v>0</v>
      </c>
    </row>
    <row r="28" spans="1:24" s="2400" customFormat="1" ht="18.75" customHeight="1">
      <c r="A28" s="2751"/>
      <c r="C28" s="881"/>
      <c r="D28" s="878" t="s">
        <v>832</v>
      </c>
      <c r="E28" s="512" t="s">
        <v>833</v>
      </c>
      <c r="F28" s="875" t="s">
        <v>297</v>
      </c>
      <c r="G28" s="875" t="s">
        <v>297</v>
      </c>
      <c r="H28" s="874" t="s">
        <v>297</v>
      </c>
      <c r="I28" s="875" t="s">
        <v>297</v>
      </c>
      <c r="J28" s="874" t="s">
        <v>297</v>
      </c>
      <c r="K28" s="873"/>
      <c r="L28" s="656"/>
      <c r="W28" s="611"/>
      <c r="X28" s="692">
        <v>0</v>
      </c>
    </row>
    <row r="29" spans="1:24" s="2400" customFormat="1" ht="18.75" customHeight="1">
      <c r="A29" s="2751"/>
      <c r="C29" s="881"/>
      <c r="D29" s="878" t="s">
        <v>834</v>
      </c>
      <c r="E29" s="489" t="s">
        <v>827</v>
      </c>
      <c r="F29" s="875" t="s">
        <v>835</v>
      </c>
      <c r="G29" s="616"/>
      <c r="H29" s="622"/>
      <c r="I29" s="616"/>
      <c r="J29" s="622"/>
      <c r="K29" s="873"/>
      <c r="L29" s="656"/>
      <c r="W29" s="611"/>
      <c r="X29" s="692">
        <v>0</v>
      </c>
    </row>
    <row r="30" spans="1:24" s="2400" customFormat="1" ht="18.75" customHeight="1">
      <c r="A30" s="2751"/>
      <c r="C30" s="881"/>
      <c r="D30" s="878" t="s">
        <v>836</v>
      </c>
      <c r="E30" s="489" t="s">
        <v>837</v>
      </c>
      <c r="F30" s="875" t="s">
        <v>838</v>
      </c>
      <c r="G30" s="616"/>
      <c r="H30" s="622"/>
      <c r="I30" s="616"/>
      <c r="J30" s="622"/>
      <c r="K30" s="873"/>
      <c r="L30" s="656"/>
      <c r="W30" s="611"/>
      <c r="X30" s="692">
        <v>0</v>
      </c>
    </row>
    <row r="31" spans="1:24" ht="126.75" customHeight="1">
      <c r="A31" s="2751"/>
      <c r="D31" s="878" t="s">
        <v>104</v>
      </c>
      <c r="E31" s="216" t="s">
        <v>839</v>
      </c>
      <c r="F31" s="596" t="s">
        <v>549</v>
      </c>
      <c r="G31" s="493"/>
      <c r="H31" s="598"/>
      <c r="I31" s="493"/>
      <c r="J31" s="598"/>
      <c r="K31" s="226" t="s">
        <v>840</v>
      </c>
      <c r="L31" s="656"/>
      <c r="X31" s="441">
        <v>0</v>
      </c>
    </row>
    <row r="32" spans="1:24" ht="56.25" customHeight="1">
      <c r="A32" s="2751"/>
      <c r="D32" s="878" t="s">
        <v>88</v>
      </c>
      <c r="E32" s="216" t="s">
        <v>841</v>
      </c>
      <c r="F32" s="475" t="s">
        <v>811</v>
      </c>
      <c r="G32" s="493"/>
      <c r="H32" s="598"/>
      <c r="I32" s="493"/>
      <c r="J32" s="598"/>
      <c r="K32" s="226" t="s">
        <v>842</v>
      </c>
      <c r="L32" s="656"/>
      <c r="X32" s="441">
        <v>0</v>
      </c>
    </row>
    <row r="33" spans="1:24" ht="11.25" customHeight="1">
      <c r="A33" s="2751"/>
      <c r="E33" s="600"/>
      <c r="F33" s="118"/>
      <c r="G33" s="118"/>
      <c r="H33" s="118"/>
      <c r="I33" s="118"/>
      <c r="J33" s="118"/>
      <c r="K33" s="118"/>
      <c r="X33" s="441">
        <v>0</v>
      </c>
    </row>
    <row r="34" spans="1:24" ht="12.75" customHeight="1">
      <c r="A34" s="2751"/>
      <c r="D34" s="5">
        <v>1</v>
      </c>
      <c r="E34" s="272" t="s">
        <v>843</v>
      </c>
      <c r="X34" s="441">
        <v>0</v>
      </c>
    </row>
    <row r="35" spans="1:24" ht="11.25" customHeight="1">
      <c r="A35" s="2751"/>
      <c r="D35" s="305"/>
      <c r="E35" s="272" t="s">
        <v>844</v>
      </c>
      <c r="X35" s="441">
        <v>0</v>
      </c>
    </row>
    <row r="36" spans="1:24" s="2400" customFormat="1" ht="11.45" customHeight="1">
      <c r="A36" s="956"/>
      <c r="B36" s="454"/>
      <c r="D36" s="957"/>
      <c r="E36" s="958"/>
      <c r="X36" s="445">
        <v>11</v>
      </c>
    </row>
    <row r="37" spans="1:24" s="2400" customFormat="1" ht="22.5" hidden="1" customHeight="1">
      <c r="A37" s="2751" t="s">
        <v>845</v>
      </c>
      <c r="B37" s="447"/>
      <c r="D37" s="878">
        <v>1</v>
      </c>
      <c r="E37" s="643" t="s">
        <v>846</v>
      </c>
      <c r="F37" s="596" t="s">
        <v>801</v>
      </c>
      <c r="G37" s="493"/>
      <c r="H37" s="455"/>
      <c r="I37" s="493"/>
      <c r="J37" s="455"/>
      <c r="K37" s="226" t="s">
        <v>847</v>
      </c>
      <c r="X37" s="692">
        <v>0</v>
      </c>
    </row>
    <row r="38" spans="1:24" s="2400" customFormat="1" ht="22.5" hidden="1" customHeight="1">
      <c r="A38" s="2751"/>
      <c r="B38" s="447"/>
      <c r="D38" s="605" t="s">
        <v>103</v>
      </c>
      <c r="E38" s="955" t="s">
        <v>848</v>
      </c>
      <c r="F38" s="959" t="s">
        <v>537</v>
      </c>
      <c r="G38" s="959" t="s">
        <v>537</v>
      </c>
      <c r="H38" s="953"/>
      <c r="I38" s="959" t="s">
        <v>537</v>
      </c>
      <c r="J38" s="953"/>
      <c r="K38" s="954"/>
      <c r="X38" s="692">
        <v>0</v>
      </c>
    </row>
    <row r="39" spans="1:24" s="2400" customFormat="1" ht="33.75" hidden="1" customHeight="1">
      <c r="A39" s="2751"/>
      <c r="B39" s="447"/>
      <c r="D39" s="601" t="s">
        <v>703</v>
      </c>
      <c r="E39" s="659" t="s">
        <v>849</v>
      </c>
      <c r="F39" s="596" t="s">
        <v>850</v>
      </c>
      <c r="G39" s="604"/>
      <c r="H39" s="946"/>
      <c r="I39" s="604"/>
      <c r="J39" s="946"/>
      <c r="K39" s="226" t="s">
        <v>851</v>
      </c>
      <c r="X39" s="692">
        <v>0</v>
      </c>
    </row>
    <row r="40" spans="1:24" s="2400" customFormat="1" ht="33.75" hidden="1" customHeight="1">
      <c r="A40" s="2751"/>
      <c r="B40" s="447"/>
      <c r="D40" s="601" t="s">
        <v>706</v>
      </c>
      <c r="E40" s="659" t="s">
        <v>852</v>
      </c>
      <c r="F40" s="950" t="s">
        <v>853</v>
      </c>
      <c r="G40" s="677"/>
      <c r="H40" s="946"/>
      <c r="I40" s="677"/>
      <c r="J40" s="946"/>
      <c r="K40" s="226" t="s">
        <v>854</v>
      </c>
      <c r="X40" s="692">
        <v>0</v>
      </c>
    </row>
    <row r="41" spans="1:24" s="2400" customFormat="1" ht="22.5" hidden="1" customHeight="1">
      <c r="A41" s="2751"/>
      <c r="B41" s="447"/>
      <c r="D41" s="601" t="s">
        <v>86</v>
      </c>
      <c r="E41" s="658" t="s">
        <v>855</v>
      </c>
      <c r="F41" s="596" t="s">
        <v>537</v>
      </c>
      <c r="G41" s="596" t="s">
        <v>537</v>
      </c>
      <c r="H41" s="947"/>
      <c r="I41" s="596" t="s">
        <v>537</v>
      </c>
      <c r="J41" s="947"/>
      <c r="K41" s="239"/>
      <c r="X41" s="692">
        <v>0</v>
      </c>
    </row>
    <row r="42" spans="1:24" s="2400" customFormat="1" ht="45" hidden="1" customHeight="1">
      <c r="A42" s="2751"/>
      <c r="B42" s="447"/>
      <c r="D42" s="601" t="s">
        <v>315</v>
      </c>
      <c r="E42" s="659" t="s">
        <v>856</v>
      </c>
      <c r="F42" s="596" t="s">
        <v>549</v>
      </c>
      <c r="G42" s="493"/>
      <c r="H42" s="947"/>
      <c r="I42" s="493"/>
      <c r="J42" s="947"/>
      <c r="K42" s="239" t="s">
        <v>857</v>
      </c>
      <c r="X42" s="692">
        <v>0</v>
      </c>
    </row>
    <row r="43" spans="1:24" s="2400" customFormat="1" ht="45" hidden="1" customHeight="1">
      <c r="A43" s="2751"/>
      <c r="B43" s="447"/>
      <c r="D43" s="601" t="s">
        <v>323</v>
      </c>
      <c r="E43" s="603" t="s">
        <v>858</v>
      </c>
      <c r="F43" s="951" t="s">
        <v>549</v>
      </c>
      <c r="G43" s="678"/>
      <c r="H43" s="946"/>
      <c r="I43" s="678"/>
      <c r="J43" s="946"/>
      <c r="K43" s="239" t="s">
        <v>859</v>
      </c>
      <c r="X43" s="692">
        <v>0</v>
      </c>
    </row>
    <row r="44" spans="1:24" s="2400" customFormat="1" ht="11.25" hidden="1" customHeight="1">
      <c r="A44" s="2751"/>
      <c r="B44" s="447"/>
      <c r="D44" s="601" t="s">
        <v>87</v>
      </c>
      <c r="E44" s="602" t="s">
        <v>860</v>
      </c>
      <c r="F44" s="596" t="s">
        <v>850</v>
      </c>
      <c r="G44" s="604"/>
      <c r="H44" s="946"/>
      <c r="I44" s="604"/>
      <c r="J44" s="946"/>
      <c r="K44" s="226"/>
      <c r="X44" s="692">
        <v>0</v>
      </c>
    </row>
    <row r="45" spans="1:24" s="2400" customFormat="1" ht="11.25" hidden="1" customHeight="1">
      <c r="A45" s="2751"/>
      <c r="B45" s="447"/>
      <c r="D45" s="601" t="s">
        <v>745</v>
      </c>
      <c r="E45" s="603" t="s">
        <v>861</v>
      </c>
      <c r="F45" s="596" t="s">
        <v>850</v>
      </c>
      <c r="G45" s="604"/>
      <c r="H45" s="946"/>
      <c r="I45" s="604"/>
      <c r="J45" s="946"/>
      <c r="K45" s="226"/>
      <c r="X45" s="692">
        <v>0</v>
      </c>
    </row>
    <row r="46" spans="1:24" s="2400" customFormat="1" ht="11.25" hidden="1" customHeight="1">
      <c r="A46" s="2751"/>
      <c r="B46" s="447"/>
      <c r="D46" s="601" t="s">
        <v>787</v>
      </c>
      <c r="E46" s="603" t="s">
        <v>862</v>
      </c>
      <c r="F46" s="596" t="s">
        <v>850</v>
      </c>
      <c r="G46" s="604"/>
      <c r="H46" s="946"/>
      <c r="I46" s="604"/>
      <c r="J46" s="946"/>
      <c r="K46" s="226"/>
      <c r="X46" s="692">
        <v>0</v>
      </c>
    </row>
    <row r="47" spans="1:24" s="2400" customFormat="1" ht="11.25" hidden="1" customHeight="1">
      <c r="A47" s="2751"/>
      <c r="B47" s="447"/>
      <c r="D47" s="601" t="s">
        <v>790</v>
      </c>
      <c r="E47" s="603" t="s">
        <v>863</v>
      </c>
      <c r="F47" s="596" t="s">
        <v>850</v>
      </c>
      <c r="G47" s="604"/>
      <c r="H47" s="946"/>
      <c r="I47" s="604"/>
      <c r="J47" s="946"/>
      <c r="K47" s="226"/>
      <c r="X47" s="692">
        <v>0</v>
      </c>
    </row>
    <row r="48" spans="1:24" s="2400" customFormat="1" ht="11.25" hidden="1" customHeight="1">
      <c r="A48" s="2751"/>
      <c r="B48" s="447"/>
      <c r="D48" s="601" t="s">
        <v>864</v>
      </c>
      <c r="E48" s="607" t="s">
        <v>865</v>
      </c>
      <c r="F48" s="596" t="s">
        <v>850</v>
      </c>
      <c r="G48" s="604"/>
      <c r="H48" s="946"/>
      <c r="I48" s="604"/>
      <c r="J48" s="946"/>
      <c r="K48" s="226"/>
      <c r="X48" s="692">
        <v>0</v>
      </c>
    </row>
    <row r="49" spans="1:24" s="2400" customFormat="1" ht="11.25" hidden="1" customHeight="1">
      <c r="A49" s="2751"/>
      <c r="B49" s="447"/>
      <c r="D49" s="601" t="s">
        <v>866</v>
      </c>
      <c r="E49" s="607" t="s">
        <v>867</v>
      </c>
      <c r="F49" s="596" t="s">
        <v>850</v>
      </c>
      <c r="G49" s="604"/>
      <c r="H49" s="946"/>
      <c r="I49" s="604"/>
      <c r="J49" s="946"/>
      <c r="K49" s="226"/>
      <c r="X49" s="692">
        <v>0</v>
      </c>
    </row>
    <row r="50" spans="1:24" s="2400" customFormat="1" ht="11.25" hidden="1" customHeight="1">
      <c r="A50" s="2751"/>
      <c r="B50" s="447"/>
      <c r="D50" s="601" t="s">
        <v>868</v>
      </c>
      <c r="E50" s="603" t="s">
        <v>869</v>
      </c>
      <c r="F50" s="596" t="s">
        <v>850</v>
      </c>
      <c r="G50" s="604"/>
      <c r="H50" s="946"/>
      <c r="I50" s="604"/>
      <c r="J50" s="946"/>
      <c r="K50" s="226"/>
      <c r="X50" s="692">
        <v>0</v>
      </c>
    </row>
    <row r="51" spans="1:24" s="2400" customFormat="1" ht="11.25" hidden="1" customHeight="1">
      <c r="A51" s="2751"/>
      <c r="B51" s="447"/>
      <c r="D51" s="601" t="s">
        <v>870</v>
      </c>
      <c r="E51" s="603" t="s">
        <v>871</v>
      </c>
      <c r="F51" s="596" t="s">
        <v>850</v>
      </c>
      <c r="G51" s="604"/>
      <c r="H51" s="946"/>
      <c r="I51" s="604"/>
      <c r="J51" s="946"/>
      <c r="K51" s="226"/>
      <c r="X51" s="692">
        <v>0</v>
      </c>
    </row>
    <row r="52" spans="1:24" s="2400" customFormat="1" ht="45" hidden="1" customHeight="1">
      <c r="A52" s="2751"/>
      <c r="B52" s="447"/>
      <c r="D52" s="601" t="s">
        <v>104</v>
      </c>
      <c r="E52" s="602" t="s">
        <v>872</v>
      </c>
      <c r="F52" s="596" t="s">
        <v>850</v>
      </c>
      <c r="G52" s="604"/>
      <c r="H52" s="946"/>
      <c r="I52" s="604"/>
      <c r="J52" s="946"/>
      <c r="K52" s="226"/>
      <c r="X52" s="692">
        <v>0</v>
      </c>
    </row>
    <row r="53" spans="1:24" s="2400" customFormat="1" ht="11.25" hidden="1" customHeight="1">
      <c r="A53" s="2751"/>
      <c r="B53" s="447"/>
      <c r="D53" s="601" t="s">
        <v>304</v>
      </c>
      <c r="E53" s="603" t="s">
        <v>861</v>
      </c>
      <c r="F53" s="596" t="s">
        <v>850</v>
      </c>
      <c r="G53" s="604"/>
      <c r="H53" s="946"/>
      <c r="I53" s="604"/>
      <c r="J53" s="946"/>
      <c r="K53" s="226"/>
      <c r="X53" s="692">
        <v>0</v>
      </c>
    </row>
    <row r="54" spans="1:24" s="2400" customFormat="1" ht="11.25" hidden="1" customHeight="1">
      <c r="A54" s="2751"/>
      <c r="B54" s="447"/>
      <c r="D54" s="601" t="s">
        <v>873</v>
      </c>
      <c r="E54" s="603" t="s">
        <v>862</v>
      </c>
      <c r="F54" s="596" t="s">
        <v>850</v>
      </c>
      <c r="G54" s="604"/>
      <c r="H54" s="946"/>
      <c r="I54" s="604"/>
      <c r="J54" s="946"/>
      <c r="K54" s="226"/>
      <c r="X54" s="692">
        <v>0</v>
      </c>
    </row>
    <row r="55" spans="1:24" s="2400" customFormat="1" ht="11.25" hidden="1" customHeight="1">
      <c r="A55" s="2751"/>
      <c r="B55" s="447"/>
      <c r="D55" s="601" t="s">
        <v>874</v>
      </c>
      <c r="E55" s="603" t="s">
        <v>863</v>
      </c>
      <c r="F55" s="596" t="s">
        <v>850</v>
      </c>
      <c r="G55" s="604"/>
      <c r="H55" s="946"/>
      <c r="I55" s="604"/>
      <c r="J55" s="946"/>
      <c r="K55" s="226"/>
      <c r="X55" s="692">
        <v>0</v>
      </c>
    </row>
    <row r="56" spans="1:24" s="2400" customFormat="1" ht="11.25" hidden="1" customHeight="1">
      <c r="A56" s="2751"/>
      <c r="B56" s="447"/>
      <c r="D56" s="601" t="s">
        <v>875</v>
      </c>
      <c r="E56" s="607" t="s">
        <v>865</v>
      </c>
      <c r="F56" s="596" t="s">
        <v>850</v>
      </c>
      <c r="G56" s="604"/>
      <c r="H56" s="946"/>
      <c r="I56" s="604"/>
      <c r="J56" s="946"/>
      <c r="K56" s="226"/>
      <c r="X56" s="692">
        <v>0</v>
      </c>
    </row>
    <row r="57" spans="1:24" s="2400" customFormat="1" ht="11.25" hidden="1" customHeight="1">
      <c r="A57" s="2751"/>
      <c r="B57" s="447"/>
      <c r="D57" s="601" t="s">
        <v>876</v>
      </c>
      <c r="E57" s="607" t="s">
        <v>867</v>
      </c>
      <c r="F57" s="596" t="s">
        <v>850</v>
      </c>
      <c r="G57" s="604"/>
      <c r="H57" s="946"/>
      <c r="I57" s="604"/>
      <c r="J57" s="946"/>
      <c r="K57" s="226"/>
      <c r="X57" s="692">
        <v>0</v>
      </c>
    </row>
    <row r="58" spans="1:24" s="2400" customFormat="1" ht="11.25" hidden="1" customHeight="1">
      <c r="A58" s="2751"/>
      <c r="B58" s="447"/>
      <c r="D58" s="601" t="s">
        <v>877</v>
      </c>
      <c r="E58" s="603" t="s">
        <v>869</v>
      </c>
      <c r="F58" s="596" t="s">
        <v>850</v>
      </c>
      <c r="G58" s="604"/>
      <c r="H58" s="946"/>
      <c r="I58" s="604"/>
      <c r="J58" s="946"/>
      <c r="K58" s="226"/>
      <c r="X58" s="692">
        <v>0</v>
      </c>
    </row>
    <row r="59" spans="1:24" s="2400" customFormat="1" ht="11.25" hidden="1" customHeight="1">
      <c r="A59" s="2751"/>
      <c r="B59" s="447"/>
      <c r="D59" s="601" t="s">
        <v>878</v>
      </c>
      <c r="E59" s="603" t="s">
        <v>871</v>
      </c>
      <c r="F59" s="596" t="s">
        <v>850</v>
      </c>
      <c r="G59" s="604"/>
      <c r="H59" s="946"/>
      <c r="I59" s="604"/>
      <c r="J59" s="946"/>
      <c r="K59" s="226"/>
      <c r="X59" s="692">
        <v>0</v>
      </c>
    </row>
    <row r="60" spans="1:24" s="2400" customFormat="1" ht="33.75" hidden="1" customHeight="1">
      <c r="A60" s="2751"/>
      <c r="B60" s="447"/>
      <c r="D60" s="601" t="s">
        <v>88</v>
      </c>
      <c r="E60" s="602" t="s">
        <v>879</v>
      </c>
      <c r="F60" s="657" t="s">
        <v>549</v>
      </c>
      <c r="G60" s="678"/>
      <c r="H60" s="946"/>
      <c r="I60" s="678"/>
      <c r="J60" s="946"/>
      <c r="K60" s="239" t="s">
        <v>880</v>
      </c>
      <c r="X60" s="692">
        <v>0</v>
      </c>
    </row>
    <row r="61" spans="1:24" s="2400" customFormat="1" ht="33.75" hidden="1" customHeight="1">
      <c r="A61" s="2751"/>
      <c r="B61" s="447"/>
      <c r="D61" s="601" t="s">
        <v>89</v>
      </c>
      <c r="E61" s="602" t="s">
        <v>881</v>
      </c>
      <c r="F61" s="662" t="s">
        <v>811</v>
      </c>
      <c r="G61" s="604"/>
      <c r="H61" s="946"/>
      <c r="I61" s="604"/>
      <c r="J61" s="946"/>
      <c r="K61" s="226"/>
      <c r="X61" s="692">
        <v>0</v>
      </c>
    </row>
    <row r="62" spans="1:24" s="2400" customFormat="1" ht="22.5" hidden="1" customHeight="1">
      <c r="A62" s="2751"/>
      <c r="B62" s="447" t="s">
        <v>579</v>
      </c>
      <c r="D62" s="601" t="s">
        <v>105</v>
      </c>
      <c r="E62" s="602" t="s">
        <v>882</v>
      </c>
      <c r="F62" s="662" t="s">
        <v>297</v>
      </c>
      <c r="G62" s="318"/>
      <c r="H62" s="946"/>
      <c r="I62" s="318"/>
      <c r="J62" s="946"/>
      <c r="K62" s="226" t="s">
        <v>622</v>
      </c>
      <c r="X62" s="692">
        <v>0</v>
      </c>
    </row>
    <row r="63" spans="1:24" s="2400" customFormat="1" ht="45" hidden="1" customHeight="1">
      <c r="A63" s="2751"/>
      <c r="B63" s="447" t="s">
        <v>579</v>
      </c>
      <c r="D63" s="601" t="s">
        <v>883</v>
      </c>
      <c r="E63" s="603" t="s">
        <v>884</v>
      </c>
      <c r="F63" s="657" t="s">
        <v>297</v>
      </c>
      <c r="G63" s="318"/>
      <c r="H63" s="946"/>
      <c r="I63" s="318"/>
      <c r="J63" s="946"/>
      <c r="K63" s="226" t="s">
        <v>622</v>
      </c>
      <c r="X63" s="692">
        <v>0</v>
      </c>
    </row>
    <row r="64" spans="1:24" s="2400" customFormat="1" ht="11.45" customHeight="1">
      <c r="A64" s="956"/>
      <c r="B64" s="454"/>
      <c r="D64" s="957"/>
      <c r="E64" s="958"/>
      <c r="X64" s="445">
        <v>11</v>
      </c>
    </row>
    <row r="65" spans="1:24" s="2400" customFormat="1" ht="22.5" hidden="1" customHeight="1">
      <c r="A65" s="2751" t="s">
        <v>885</v>
      </c>
      <c r="B65" s="447"/>
      <c r="D65" s="601">
        <v>1</v>
      </c>
      <c r="E65" s="680" t="s">
        <v>886</v>
      </c>
      <c r="F65" s="676" t="s">
        <v>801</v>
      </c>
      <c r="G65" s="677"/>
      <c r="H65" s="952"/>
      <c r="I65" s="677"/>
      <c r="J65" s="952"/>
      <c r="K65" s="238" t="s">
        <v>887</v>
      </c>
      <c r="X65" s="692">
        <v>0</v>
      </c>
    </row>
    <row r="66" spans="1:24" s="2400" customFormat="1" ht="56.25" hidden="1" customHeight="1">
      <c r="A66" s="2751"/>
      <c r="B66" s="447"/>
      <c r="D66" s="679" t="s">
        <v>103</v>
      </c>
      <c r="E66" s="643" t="s">
        <v>888</v>
      </c>
      <c r="F66" s="596" t="s">
        <v>537</v>
      </c>
      <c r="G66" s="596" t="s">
        <v>537</v>
      </c>
      <c r="H66" s="455"/>
      <c r="I66" s="596" t="s">
        <v>537</v>
      </c>
      <c r="J66" s="455"/>
      <c r="K66" s="226"/>
      <c r="X66" s="692">
        <v>0</v>
      </c>
    </row>
    <row r="67" spans="1:24" s="2400" customFormat="1" ht="33.75" hidden="1" customHeight="1">
      <c r="A67" s="2751"/>
      <c r="B67" s="447"/>
      <c r="D67" s="679" t="s">
        <v>700</v>
      </c>
      <c r="E67" s="879" t="s">
        <v>889</v>
      </c>
      <c r="F67" s="596" t="s">
        <v>853</v>
      </c>
      <c r="G67" s="663"/>
      <c r="H67" s="455"/>
      <c r="I67" s="663"/>
      <c r="J67" s="455"/>
      <c r="K67" s="226"/>
      <c r="X67" s="692">
        <v>0</v>
      </c>
    </row>
    <row r="68" spans="1:24" s="2400" customFormat="1" ht="22.5" hidden="1" customHeight="1">
      <c r="A68" s="2751"/>
      <c r="B68" s="447"/>
      <c r="D68" s="679" t="s">
        <v>298</v>
      </c>
      <c r="E68" s="879" t="s">
        <v>890</v>
      </c>
      <c r="F68" s="596" t="s">
        <v>853</v>
      </c>
      <c r="G68" s="663"/>
      <c r="H68" s="455"/>
      <c r="I68" s="663"/>
      <c r="J68" s="455"/>
      <c r="K68" s="226"/>
      <c r="X68" s="692">
        <v>0</v>
      </c>
    </row>
    <row r="69" spans="1:24" s="2400" customFormat="1" ht="22.5" hidden="1" customHeight="1">
      <c r="A69" s="2751"/>
      <c r="B69" s="447"/>
      <c r="D69" s="679" t="s">
        <v>301</v>
      </c>
      <c r="E69" s="879" t="s">
        <v>891</v>
      </c>
      <c r="F69" s="657" t="s">
        <v>549</v>
      </c>
      <c r="G69" s="678"/>
      <c r="H69" s="455"/>
      <c r="I69" s="678"/>
      <c r="J69" s="455"/>
      <c r="K69" s="226"/>
      <c r="X69" s="692">
        <v>0</v>
      </c>
    </row>
    <row r="70" spans="1:24" s="2400" customFormat="1" ht="22.5" hidden="1" customHeight="1">
      <c r="A70" s="2751"/>
      <c r="B70" s="447"/>
      <c r="D70" s="679" t="s">
        <v>720</v>
      </c>
      <c r="E70" s="879" t="s">
        <v>892</v>
      </c>
      <c r="F70" s="657" t="s">
        <v>549</v>
      </c>
      <c r="G70" s="678"/>
      <c r="H70" s="455"/>
      <c r="I70" s="678"/>
      <c r="J70" s="455"/>
      <c r="K70" s="226"/>
      <c r="X70" s="692">
        <v>0</v>
      </c>
    </row>
    <row r="71" spans="1:24" s="2400" customFormat="1" ht="22.5" hidden="1" customHeight="1">
      <c r="A71" s="2751"/>
      <c r="B71" s="447"/>
      <c r="D71" s="601" t="s">
        <v>86</v>
      </c>
      <c r="E71" s="602" t="s">
        <v>893</v>
      </c>
      <c r="F71" s="596" t="s">
        <v>853</v>
      </c>
      <c r="G71" s="493"/>
      <c r="H71" s="953"/>
      <c r="I71" s="493"/>
      <c r="J71" s="953"/>
      <c r="K71" s="239"/>
      <c r="X71" s="692">
        <v>0</v>
      </c>
    </row>
    <row r="72" spans="1:24" s="2400" customFormat="1" ht="56.25" hidden="1" customHeight="1">
      <c r="A72" s="2751"/>
      <c r="B72" s="447"/>
      <c r="D72" s="601" t="s">
        <v>87</v>
      </c>
      <c r="E72" s="602" t="s">
        <v>894</v>
      </c>
      <c r="F72" s="657" t="s">
        <v>549</v>
      </c>
      <c r="G72" s="678"/>
      <c r="H72" s="946"/>
      <c r="I72" s="678"/>
      <c r="J72" s="946"/>
      <c r="K72" s="239"/>
      <c r="X72" s="692">
        <v>0</v>
      </c>
    </row>
    <row r="73" spans="1:24" s="2400" customFormat="1" ht="33.75" hidden="1" customHeight="1">
      <c r="A73" s="2751"/>
      <c r="B73" s="447"/>
      <c r="D73" s="601" t="s">
        <v>104</v>
      </c>
      <c r="E73" s="602" t="s">
        <v>895</v>
      </c>
      <c r="F73" s="662" t="s">
        <v>811</v>
      </c>
      <c r="G73" s="604"/>
      <c r="H73" s="946"/>
      <c r="I73" s="604"/>
      <c r="J73" s="946"/>
      <c r="K73" s="226"/>
      <c r="X73" s="692">
        <v>0</v>
      </c>
    </row>
    <row r="74" spans="1:24" s="2400" customFormat="1" ht="22.5" hidden="1" customHeight="1">
      <c r="A74" s="2751"/>
      <c r="B74" s="447" t="s">
        <v>579</v>
      </c>
      <c r="D74" s="601" t="s">
        <v>88</v>
      </c>
      <c r="E74" s="602" t="s">
        <v>896</v>
      </c>
      <c r="F74" s="662" t="s">
        <v>297</v>
      </c>
      <c r="G74" s="318"/>
      <c r="H74" s="946"/>
      <c r="I74" s="318"/>
      <c r="J74" s="946"/>
      <c r="K74" s="226" t="s">
        <v>622</v>
      </c>
      <c r="X74" s="692">
        <v>0</v>
      </c>
    </row>
    <row r="75" spans="1:24" s="2400" customFormat="1" ht="45" hidden="1" customHeight="1">
      <c r="A75" s="2751"/>
      <c r="B75" s="447" t="s">
        <v>579</v>
      </c>
      <c r="D75" s="601" t="s">
        <v>643</v>
      </c>
      <c r="E75" s="603" t="s">
        <v>897</v>
      </c>
      <c r="F75" s="657" t="s">
        <v>297</v>
      </c>
      <c r="G75" s="318"/>
      <c r="H75" s="946"/>
      <c r="I75" s="318"/>
      <c r="J75" s="946"/>
      <c r="K75" s="226" t="s">
        <v>622</v>
      </c>
      <c r="X75" s="692">
        <v>0</v>
      </c>
    </row>
    <row r="76" spans="1:24" s="2400" customFormat="1" ht="11.45" customHeight="1">
      <c r="A76" s="956"/>
      <c r="B76" s="454"/>
      <c r="D76" s="957"/>
      <c r="E76" s="958"/>
      <c r="X76" s="445">
        <v>11</v>
      </c>
    </row>
    <row r="77" spans="1:24" s="2400" customFormat="1" ht="11.25" hidden="1" customHeight="1">
      <c r="A77" s="2751" t="s">
        <v>898</v>
      </c>
      <c r="B77" s="447"/>
      <c r="D77" s="601">
        <v>1</v>
      </c>
      <c r="E77" s="602" t="s">
        <v>899</v>
      </c>
      <c r="F77" s="657" t="s">
        <v>801</v>
      </c>
      <c r="G77" s="660"/>
      <c r="H77" s="946"/>
      <c r="I77" s="660"/>
      <c r="J77" s="946"/>
      <c r="K77" s="226" t="s">
        <v>900</v>
      </c>
      <c r="X77" s="692">
        <v>0</v>
      </c>
    </row>
    <row r="78" spans="1:24" s="2400" customFormat="1" ht="11.25" hidden="1" customHeight="1">
      <c r="A78" s="2751"/>
      <c r="B78" s="447"/>
      <c r="D78" s="601" t="s">
        <v>103</v>
      </c>
      <c r="E78" s="602" t="s">
        <v>901</v>
      </c>
      <c r="F78" s="657" t="s">
        <v>801</v>
      </c>
      <c r="G78" s="660"/>
      <c r="H78" s="946"/>
      <c r="I78" s="660"/>
      <c r="J78" s="946"/>
      <c r="K78" s="226" t="s">
        <v>902</v>
      </c>
      <c r="X78" s="692">
        <v>0</v>
      </c>
    </row>
    <row r="79" spans="1:24" s="2400" customFormat="1" ht="22.5" hidden="1" customHeight="1">
      <c r="A79" s="2751"/>
      <c r="B79" s="447"/>
      <c r="D79" s="601" t="s">
        <v>86</v>
      </c>
      <c r="E79" s="658" t="s">
        <v>903</v>
      </c>
      <c r="F79" s="596" t="s">
        <v>850</v>
      </c>
      <c r="G79" s="660"/>
      <c r="H79" s="946"/>
      <c r="I79" s="660"/>
      <c r="J79" s="946"/>
      <c r="K79" s="226" t="s">
        <v>904</v>
      </c>
      <c r="X79" s="692">
        <v>0</v>
      </c>
    </row>
    <row r="80" spans="1:24" s="2400" customFormat="1" ht="11.25" hidden="1" customHeight="1">
      <c r="A80" s="2751"/>
      <c r="B80" s="447"/>
      <c r="D80" s="601" t="s">
        <v>315</v>
      </c>
      <c r="E80" s="659" t="s">
        <v>905</v>
      </c>
      <c r="F80" s="596" t="s">
        <v>850</v>
      </c>
      <c r="G80" s="660"/>
      <c r="H80" s="946"/>
      <c r="I80" s="660"/>
      <c r="J80" s="946"/>
      <c r="K80" s="226"/>
      <c r="X80" s="692">
        <v>0</v>
      </c>
    </row>
    <row r="81" spans="1:24" s="2400" customFormat="1" ht="11.25" hidden="1" customHeight="1">
      <c r="A81" s="2751"/>
      <c r="B81" s="447"/>
      <c r="D81" s="601" t="s">
        <v>323</v>
      </c>
      <c r="E81" s="659" t="s">
        <v>906</v>
      </c>
      <c r="F81" s="596" t="s">
        <v>850</v>
      </c>
      <c r="G81" s="660"/>
      <c r="H81" s="946"/>
      <c r="I81" s="660"/>
      <c r="J81" s="946"/>
      <c r="K81" s="226"/>
      <c r="X81" s="692">
        <v>0</v>
      </c>
    </row>
    <row r="82" spans="1:24" s="2400" customFormat="1" ht="11.25" hidden="1" customHeight="1">
      <c r="A82" s="2751"/>
      <c r="B82" s="447"/>
      <c r="D82" s="601" t="s">
        <v>325</v>
      </c>
      <c r="E82" s="659" t="s">
        <v>907</v>
      </c>
      <c r="F82" s="596" t="s">
        <v>850</v>
      </c>
      <c r="G82" s="660"/>
      <c r="H82" s="946"/>
      <c r="I82" s="660"/>
      <c r="J82" s="946"/>
      <c r="K82" s="226"/>
      <c r="X82" s="692">
        <v>0</v>
      </c>
    </row>
    <row r="83" spans="1:24" s="2400" customFormat="1" ht="11.25" hidden="1" customHeight="1">
      <c r="A83" s="2751"/>
      <c r="B83" s="447"/>
      <c r="D83" s="601" t="s">
        <v>327</v>
      </c>
      <c r="E83" s="659" t="s">
        <v>908</v>
      </c>
      <c r="F83" s="596" t="s">
        <v>850</v>
      </c>
      <c r="G83" s="660"/>
      <c r="H83" s="946"/>
      <c r="I83" s="660"/>
      <c r="J83" s="946"/>
      <c r="K83" s="226"/>
      <c r="X83" s="692">
        <v>0</v>
      </c>
    </row>
    <row r="84" spans="1:24" s="2400" customFormat="1" ht="11.25" hidden="1" customHeight="1">
      <c r="A84" s="2751"/>
      <c r="B84" s="447"/>
      <c r="D84" s="601" t="s">
        <v>909</v>
      </c>
      <c r="E84" s="659" t="s">
        <v>910</v>
      </c>
      <c r="F84" s="596" t="s">
        <v>850</v>
      </c>
      <c r="G84" s="660"/>
      <c r="H84" s="946"/>
      <c r="I84" s="660"/>
      <c r="J84" s="946"/>
      <c r="K84" s="226"/>
      <c r="X84" s="692">
        <v>0</v>
      </c>
    </row>
    <row r="85" spans="1:24" s="2400" customFormat="1" ht="11.25" hidden="1" customHeight="1">
      <c r="A85" s="2751"/>
      <c r="B85" s="447"/>
      <c r="D85" s="601" t="s">
        <v>911</v>
      </c>
      <c r="E85" s="659" t="s">
        <v>912</v>
      </c>
      <c r="F85" s="596" t="s">
        <v>850</v>
      </c>
      <c r="G85" s="660"/>
      <c r="H85" s="946"/>
      <c r="I85" s="660"/>
      <c r="J85" s="946"/>
      <c r="K85" s="226"/>
      <c r="X85" s="692">
        <v>0</v>
      </c>
    </row>
    <row r="86" spans="1:24" s="2400" customFormat="1" ht="11.25" hidden="1" customHeight="1">
      <c r="A86" s="2751"/>
      <c r="B86" s="447"/>
      <c r="D86" s="601" t="s">
        <v>913</v>
      </c>
      <c r="E86" s="659" t="s">
        <v>914</v>
      </c>
      <c r="F86" s="596" t="s">
        <v>850</v>
      </c>
      <c r="G86" s="660"/>
      <c r="H86" s="946"/>
      <c r="I86" s="660"/>
      <c r="J86" s="946"/>
      <c r="K86" s="226"/>
      <c r="X86" s="692">
        <v>0</v>
      </c>
    </row>
    <row r="87" spans="1:24" s="2400" customFormat="1" ht="45" hidden="1" customHeight="1">
      <c r="A87" s="2751"/>
      <c r="B87" s="447"/>
      <c r="D87" s="601" t="s">
        <v>87</v>
      </c>
      <c r="E87" s="602" t="s">
        <v>915</v>
      </c>
      <c r="F87" s="596" t="s">
        <v>850</v>
      </c>
      <c r="G87" s="660"/>
      <c r="H87" s="946"/>
      <c r="I87" s="660"/>
      <c r="J87" s="946"/>
      <c r="K87" s="226" t="s">
        <v>916</v>
      </c>
      <c r="X87" s="692">
        <v>0</v>
      </c>
    </row>
    <row r="88" spans="1:24" s="2400" customFormat="1" ht="11.25" hidden="1" customHeight="1">
      <c r="A88" s="2751"/>
      <c r="B88" s="447"/>
      <c r="D88" s="601" t="s">
        <v>745</v>
      </c>
      <c r="E88" s="659" t="s">
        <v>905</v>
      </c>
      <c r="F88" s="596" t="s">
        <v>850</v>
      </c>
      <c r="G88" s="660"/>
      <c r="H88" s="946"/>
      <c r="I88" s="660"/>
      <c r="J88" s="946"/>
      <c r="K88" s="226"/>
      <c r="X88" s="692">
        <v>0</v>
      </c>
    </row>
    <row r="89" spans="1:24" s="2400" customFormat="1" ht="11.25" hidden="1" customHeight="1">
      <c r="A89" s="2751"/>
      <c r="B89" s="447"/>
      <c r="D89" s="601" t="s">
        <v>787</v>
      </c>
      <c r="E89" s="659" t="s">
        <v>906</v>
      </c>
      <c r="F89" s="596" t="s">
        <v>850</v>
      </c>
      <c r="G89" s="660"/>
      <c r="H89" s="946"/>
      <c r="I89" s="660"/>
      <c r="J89" s="946"/>
      <c r="K89" s="226"/>
      <c r="X89" s="692">
        <v>0</v>
      </c>
    </row>
    <row r="90" spans="1:24" s="2400" customFormat="1" ht="11.25" hidden="1" customHeight="1">
      <c r="A90" s="2751"/>
      <c r="B90" s="447"/>
      <c r="D90" s="601" t="s">
        <v>790</v>
      </c>
      <c r="E90" s="659" t="s">
        <v>907</v>
      </c>
      <c r="F90" s="596" t="s">
        <v>850</v>
      </c>
      <c r="G90" s="660"/>
      <c r="H90" s="946"/>
      <c r="I90" s="660"/>
      <c r="J90" s="946"/>
      <c r="K90" s="226"/>
      <c r="X90" s="692">
        <v>0</v>
      </c>
    </row>
    <row r="91" spans="1:24" s="2400" customFormat="1" ht="11.25" hidden="1" customHeight="1">
      <c r="A91" s="2751"/>
      <c r="B91" s="447"/>
      <c r="D91" s="601" t="s">
        <v>868</v>
      </c>
      <c r="E91" s="659" t="s">
        <v>908</v>
      </c>
      <c r="F91" s="596" t="s">
        <v>850</v>
      </c>
      <c r="G91" s="660"/>
      <c r="H91" s="946"/>
      <c r="I91" s="660"/>
      <c r="J91" s="946"/>
      <c r="K91" s="226"/>
      <c r="X91" s="692">
        <v>0</v>
      </c>
    </row>
    <row r="92" spans="1:24" s="2400" customFormat="1" ht="11.25" hidden="1" customHeight="1">
      <c r="A92" s="2751"/>
      <c r="B92" s="447"/>
      <c r="D92" s="601" t="s">
        <v>870</v>
      </c>
      <c r="E92" s="659" t="s">
        <v>910</v>
      </c>
      <c r="F92" s="596" t="s">
        <v>850</v>
      </c>
      <c r="G92" s="660"/>
      <c r="H92" s="946"/>
      <c r="I92" s="660"/>
      <c r="J92" s="946"/>
      <c r="K92" s="226"/>
      <c r="X92" s="692">
        <v>0</v>
      </c>
    </row>
    <row r="93" spans="1:24" s="2400" customFormat="1" ht="11.25" hidden="1" customHeight="1">
      <c r="A93" s="2751"/>
      <c r="B93" s="447"/>
      <c r="D93" s="601" t="s">
        <v>917</v>
      </c>
      <c r="E93" s="659" t="s">
        <v>912</v>
      </c>
      <c r="F93" s="596" t="s">
        <v>850</v>
      </c>
      <c r="G93" s="660"/>
      <c r="H93" s="946"/>
      <c r="I93" s="660"/>
      <c r="J93" s="946"/>
      <c r="K93" s="226"/>
      <c r="X93" s="692">
        <v>0</v>
      </c>
    </row>
    <row r="94" spans="1:24" s="2400" customFormat="1" ht="11.25" hidden="1" customHeight="1">
      <c r="A94" s="2751"/>
      <c r="B94" s="447"/>
      <c r="D94" s="601" t="s">
        <v>918</v>
      </c>
      <c r="E94" s="659" t="s">
        <v>914</v>
      </c>
      <c r="F94" s="596" t="s">
        <v>850</v>
      </c>
      <c r="G94" s="660"/>
      <c r="H94" s="946"/>
      <c r="I94" s="660"/>
      <c r="J94" s="946"/>
      <c r="K94" s="226"/>
      <c r="X94" s="692">
        <v>0</v>
      </c>
    </row>
    <row r="95" spans="1:24" s="2400" customFormat="1" ht="24.75" hidden="1" customHeight="1">
      <c r="A95" s="2751"/>
      <c r="B95" s="447"/>
      <c r="D95" s="601" t="s">
        <v>104</v>
      </c>
      <c r="E95" s="602" t="s">
        <v>919</v>
      </c>
      <c r="F95" s="661" t="s">
        <v>549</v>
      </c>
      <c r="G95" s="663"/>
      <c r="H95" s="946"/>
      <c r="I95" s="663"/>
      <c r="J95" s="946"/>
      <c r="K95" s="226" t="s">
        <v>920</v>
      </c>
      <c r="X95" s="692">
        <v>0</v>
      </c>
    </row>
    <row r="96" spans="1:24" s="2400" customFormat="1" ht="33.75" hidden="1" customHeight="1">
      <c r="A96" s="2751"/>
      <c r="B96" s="447"/>
      <c r="D96" s="601" t="s">
        <v>88</v>
      </c>
      <c r="E96" s="602" t="s">
        <v>921</v>
      </c>
      <c r="F96" s="662" t="s">
        <v>811</v>
      </c>
      <c r="G96" s="664"/>
      <c r="H96" s="946"/>
      <c r="I96" s="664"/>
      <c r="J96" s="946"/>
      <c r="K96" s="226"/>
      <c r="X96" s="692">
        <v>0</v>
      </c>
    </row>
    <row r="97" spans="1:24" s="2400" customFormat="1" ht="22.5" hidden="1" customHeight="1">
      <c r="A97" s="2751"/>
      <c r="B97" s="447" t="s">
        <v>579</v>
      </c>
      <c r="D97" s="601" t="s">
        <v>89</v>
      </c>
      <c r="E97" s="602" t="s">
        <v>922</v>
      </c>
      <c r="F97" s="662" t="s">
        <v>297</v>
      </c>
      <c r="G97" s="321"/>
      <c r="H97" s="946"/>
      <c r="I97" s="321"/>
      <c r="J97" s="946"/>
      <c r="K97" s="226" t="s">
        <v>622</v>
      </c>
      <c r="X97" s="692">
        <v>0</v>
      </c>
    </row>
    <row r="98" spans="1:24" s="2400" customFormat="1" ht="45" hidden="1" customHeight="1">
      <c r="A98" s="2751"/>
      <c r="B98" s="447" t="s">
        <v>579</v>
      </c>
      <c r="D98" s="601" t="s">
        <v>923</v>
      </c>
      <c r="E98" s="603" t="s">
        <v>924</v>
      </c>
      <c r="F98" s="657" t="s">
        <v>297</v>
      </c>
      <c r="G98" s="321"/>
      <c r="H98" s="946"/>
      <c r="I98" s="321"/>
      <c r="J98" s="946"/>
      <c r="K98" s="226" t="s">
        <v>622</v>
      </c>
      <c r="X98" s="692">
        <v>0</v>
      </c>
    </row>
    <row r="99" spans="1:24" s="2400" customFormat="1" ht="95.25" hidden="1" customHeight="1">
      <c r="A99" s="2751"/>
      <c r="B99" s="447" t="s">
        <v>579</v>
      </c>
      <c r="D99" s="601" t="s">
        <v>105</v>
      </c>
      <c r="E99" s="602" t="s">
        <v>925</v>
      </c>
      <c r="F99" s="657" t="s">
        <v>297</v>
      </c>
      <c r="G99" s="321"/>
      <c r="H99" s="946"/>
      <c r="I99" s="321"/>
      <c r="J99" s="946"/>
      <c r="K99" s="226" t="s">
        <v>622</v>
      </c>
      <c r="X99" s="692">
        <v>0</v>
      </c>
    </row>
    <row r="100" spans="1:24" s="2400" customFormat="1" ht="22.5" hidden="1" customHeight="1">
      <c r="A100" s="2751"/>
      <c r="B100" s="447" t="s">
        <v>579</v>
      </c>
      <c r="D100" s="601" t="s">
        <v>141</v>
      </c>
      <c r="E100" s="602" t="s">
        <v>926</v>
      </c>
      <c r="F100" s="657" t="s">
        <v>297</v>
      </c>
      <c r="G100" s="321"/>
      <c r="H100" s="946"/>
      <c r="I100" s="321"/>
      <c r="J100" s="946"/>
      <c r="K100" s="226" t="s">
        <v>622</v>
      </c>
      <c r="X100" s="692">
        <v>0</v>
      </c>
    </row>
    <row r="101" spans="1:24" s="2400" customFormat="1" ht="11.45" customHeight="1">
      <c r="A101" s="956"/>
      <c r="B101" s="454"/>
      <c r="D101" s="957"/>
      <c r="E101" s="958"/>
      <c r="X101" s="445">
        <v>11</v>
      </c>
    </row>
    <row r="102" spans="1:24" ht="22.5" hidden="1" customHeight="1">
      <c r="A102" s="472" t="s">
        <v>78</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416" hidden="1" customWidth="1"/>
    <col min="2" max="2" width="2" style="2416" hidden="1" customWidth="1"/>
    <col min="3" max="3" width="3" style="2416" customWidth="1"/>
    <col min="4" max="4" width="4" style="2416" customWidth="1"/>
    <col min="5" max="5" width="44" style="2416" customWidth="1"/>
    <col min="6" max="6" width="6.42578125" style="2416" customWidth="1"/>
    <col min="7" max="7" width="4" style="2416" customWidth="1"/>
    <col min="8" max="8" width="5" style="2416" customWidth="1"/>
    <col min="9" max="9" width="52" style="2416" customWidth="1"/>
    <col min="10" max="10" width="7" style="2416" customWidth="1"/>
    <col min="11" max="11" width="3" style="2416" customWidth="1"/>
    <col min="12" max="12" width="6" style="2416" customWidth="1"/>
    <col min="13" max="13" width="56" style="2416" customWidth="1"/>
    <col min="14" max="14" width="8" style="2417" customWidth="1"/>
    <col min="15" max="20" width="9.140625" style="2413" hidden="1"/>
    <col min="21" max="24" width="9.140625" style="2418" hidden="1"/>
    <col min="25" max="37" width="9.140625" style="2417" hidden="1"/>
    <col min="38" max="38" width="8" style="2417" customWidth="1"/>
    <col min="39" max="39" width="9.140625" style="2416"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507" t="str">
        <f>Титульный!E5</f>
        <v>Информация об инвестиционных программах регулируемой организации в области теплоснабжения</v>
      </c>
      <c r="E4" s="2508"/>
      <c r="F4" s="2508"/>
      <c r="G4" s="2508"/>
      <c r="H4" s="2508"/>
      <c r="I4" s="2509"/>
      <c r="J4" s="520"/>
      <c r="K4" s="520"/>
      <c r="L4" s="520"/>
      <c r="M4" s="520"/>
      <c r="AM4" s="519">
        <v>34</v>
      </c>
    </row>
    <row r="5" spans="1:39" s="2415" customFormat="1" ht="14.65" customHeight="1">
      <c r="A5" s="521"/>
      <c r="B5" s="521"/>
      <c r="C5" s="521"/>
      <c r="D5" s="2510" t="str">
        <f>IF(org=0,"Не определено",org)</f>
        <v>ПАО "ТГК-1" (филиал "Кольский")</v>
      </c>
      <c r="E5" s="2511"/>
      <c r="F5" s="2511"/>
      <c r="G5" s="2511"/>
      <c r="H5" s="2511"/>
      <c r="I5" s="2512"/>
      <c r="J5" s="522"/>
      <c r="K5" s="522"/>
      <c r="L5" s="522"/>
      <c r="M5" s="522"/>
      <c r="N5" s="522"/>
      <c r="O5" s="796"/>
      <c r="P5" s="796"/>
      <c r="Q5" s="796"/>
      <c r="R5" s="796"/>
      <c r="S5" s="796"/>
      <c r="T5" s="796"/>
      <c r="U5" s="1179"/>
      <c r="V5" s="1179"/>
      <c r="W5" s="1179"/>
      <c r="X5" s="1179"/>
      <c r="Y5" s="522"/>
      <c r="Z5" s="522"/>
      <c r="AA5" s="522"/>
      <c r="AB5" s="522"/>
      <c r="AC5" s="522"/>
      <c r="AD5" s="522"/>
      <c r="AE5" s="522"/>
      <c r="AF5" s="522"/>
      <c r="AG5" s="522"/>
      <c r="AH5" s="522"/>
      <c r="AI5" s="522"/>
      <c r="AJ5" s="522"/>
      <c r="AK5" s="522"/>
      <c r="AL5" s="522"/>
      <c r="AM5" s="523">
        <v>14</v>
      </c>
    </row>
    <row r="6" spans="1:39" s="2415" customFormat="1" ht="6.4" customHeight="1">
      <c r="A6" s="2499"/>
      <c r="B6" s="2499"/>
      <c r="C6" s="2499"/>
      <c r="D6" s="2499"/>
      <c r="E6" s="2499"/>
      <c r="F6" s="2499"/>
      <c r="G6" s="524"/>
      <c r="H6" s="524"/>
      <c r="I6" s="524"/>
      <c r="J6" s="524"/>
      <c r="K6" s="524"/>
      <c r="N6" s="526"/>
      <c r="O6" s="1332"/>
      <c r="P6" s="1332"/>
      <c r="Q6" s="1332"/>
      <c r="R6" s="1332"/>
      <c r="S6" s="1332"/>
      <c r="T6" s="1332"/>
      <c r="U6" s="1182"/>
      <c r="V6" s="1182"/>
      <c r="W6" s="1182"/>
      <c r="X6" s="1182"/>
      <c r="Y6" s="526"/>
      <c r="Z6" s="526"/>
      <c r="AA6" s="526"/>
      <c r="AB6" s="526"/>
      <c r="AC6" s="526"/>
      <c r="AD6" s="526"/>
      <c r="AE6" s="526"/>
      <c r="AF6" s="526"/>
      <c r="AG6" s="526"/>
      <c r="AH6" s="526"/>
      <c r="AI6" s="526"/>
      <c r="AJ6" s="526"/>
      <c r="AK6" s="526"/>
      <c r="AL6" s="526"/>
      <c r="AM6" s="525">
        <v>6</v>
      </c>
    </row>
    <row r="7" spans="1:39" ht="45.75" hidden="1" customHeight="1">
      <c r="E7" s="251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18"/>
      <c r="G7" s="2518"/>
      <c r="H7" s="2518"/>
      <c r="I7" s="2518"/>
      <c r="J7" s="2518"/>
      <c r="K7" s="2518"/>
      <c r="L7" s="2518"/>
      <c r="M7" s="2518"/>
      <c r="AM7" s="519">
        <v>0</v>
      </c>
    </row>
    <row r="8" spans="1:39" s="2415" customFormat="1" ht="6.4" customHeight="1">
      <c r="A8" s="527"/>
      <c r="B8" s="527"/>
      <c r="C8" s="527"/>
      <c r="D8" s="527"/>
      <c r="E8" s="527"/>
      <c r="F8" s="527"/>
      <c r="G8" s="527"/>
      <c r="H8" s="527"/>
      <c r="I8" s="527"/>
      <c r="J8" s="527"/>
      <c r="K8" s="527"/>
      <c r="L8" s="527"/>
      <c r="M8" s="525"/>
      <c r="N8" s="522"/>
      <c r="O8" s="796"/>
      <c r="P8" s="796"/>
      <c r="Q8" s="796"/>
      <c r="R8" s="796"/>
      <c r="S8" s="796"/>
      <c r="T8" s="796"/>
      <c r="U8" s="1179"/>
      <c r="V8" s="1179"/>
      <c r="W8" s="1179"/>
      <c r="X8" s="1179"/>
      <c r="Y8" s="522"/>
      <c r="Z8" s="522"/>
      <c r="AA8" s="522"/>
      <c r="AB8" s="522"/>
      <c r="AC8" s="522"/>
      <c r="AD8" s="522"/>
      <c r="AE8" s="522"/>
      <c r="AF8" s="522"/>
      <c r="AG8" s="522"/>
      <c r="AH8" s="522"/>
      <c r="AI8" s="522"/>
      <c r="AJ8" s="522"/>
      <c r="AK8" s="522"/>
      <c r="AL8" s="522"/>
      <c r="AM8" s="523">
        <v>6</v>
      </c>
    </row>
    <row r="9" spans="1:39" ht="18.75" customHeight="1">
      <c r="A9" s="2513"/>
      <c r="B9" s="260"/>
      <c r="C9" s="260"/>
      <c r="D9" s="2514" t="s">
        <v>98</v>
      </c>
      <c r="E9" s="2514"/>
      <c r="F9" s="2515" t="s">
        <v>99</v>
      </c>
      <c r="G9" s="2516"/>
      <c r="H9" s="2516"/>
      <c r="I9" s="2516"/>
      <c r="J9" s="2519" t="s">
        <v>100</v>
      </c>
      <c r="K9" s="2519"/>
      <c r="L9" s="2519"/>
      <c r="M9" s="2519"/>
      <c r="AM9" s="519">
        <v>18</v>
      </c>
    </row>
    <row r="10" spans="1:39" ht="24" customHeight="1">
      <c r="A10" s="2513"/>
      <c r="B10" s="528"/>
      <c r="C10" s="461"/>
      <c r="D10" s="459" t="s">
        <v>84</v>
      </c>
      <c r="E10" s="459" t="s">
        <v>85</v>
      </c>
      <c r="F10" s="459" t="s">
        <v>101</v>
      </c>
      <c r="G10" s="2520" t="s">
        <v>84</v>
      </c>
      <c r="H10" s="2521"/>
      <c r="I10" s="459" t="s">
        <v>85</v>
      </c>
      <c r="J10" s="459" t="s">
        <v>101</v>
      </c>
      <c r="K10" s="2520" t="s">
        <v>84</v>
      </c>
      <c r="L10" s="2521"/>
      <c r="M10" s="459" t="s">
        <v>85</v>
      </c>
      <c r="N10" s="1545"/>
      <c r="AM10" s="519">
        <v>23</v>
      </c>
    </row>
    <row r="11" spans="1:39" s="2416" customFormat="1" ht="11.25" hidden="1" customHeight="1">
      <c r="A11" s="529"/>
      <c r="B11" s="529"/>
      <c r="C11" s="529"/>
      <c r="D11" s="530" t="s">
        <v>102</v>
      </c>
      <c r="E11" s="530" t="s">
        <v>103</v>
      </c>
      <c r="F11" s="530" t="s">
        <v>86</v>
      </c>
      <c r="G11" s="2503" t="s">
        <v>87</v>
      </c>
      <c r="H11" s="2504"/>
      <c r="I11" s="530" t="s">
        <v>104</v>
      </c>
      <c r="J11" s="530" t="s">
        <v>88</v>
      </c>
      <c r="K11" s="2505" t="s">
        <v>89</v>
      </c>
      <c r="L11" s="2506"/>
      <c r="M11" s="530" t="s">
        <v>105</v>
      </c>
      <c r="N11" s="1544"/>
      <c r="O11" s="1331"/>
      <c r="P11" s="1333"/>
      <c r="Q11" s="1333"/>
      <c r="R11" s="1333"/>
      <c r="S11" s="1333"/>
      <c r="T11" s="1333"/>
      <c r="U11" s="1183"/>
      <c r="V11" s="1183"/>
      <c r="W11" s="1183"/>
      <c r="X11" s="1183"/>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5"/>
      <c r="O12" s="1331" t="s">
        <v>106</v>
      </c>
      <c r="P12" s="1331" t="s">
        <v>107</v>
      </c>
      <c r="Q12" s="1331" t="s">
        <v>108</v>
      </c>
      <c r="R12" s="1331" t="s">
        <v>109</v>
      </c>
      <c r="AM12" s="519">
        <v>1</v>
      </c>
    </row>
    <row r="13" spans="1:39" s="2416" customFormat="1" ht="15.75" customHeight="1">
      <c r="A13" s="230"/>
      <c r="B13" s="230"/>
      <c r="C13" s="462"/>
      <c r="D13" s="2525" t="s">
        <v>102</v>
      </c>
      <c r="E13" s="2526"/>
      <c r="F13" s="2529" t="s">
        <v>65</v>
      </c>
      <c r="G13" s="2530"/>
      <c r="H13" s="2531">
        <v>1</v>
      </c>
      <c r="I13" s="2522" t="str">
        <f>IF(U13="","",INDEX(TERRITORY_MR_LIST,MATCH(U13,TERRITORY_LIST_ID,0)))</f>
        <v/>
      </c>
      <c r="J13" s="2524" t="s">
        <v>19</v>
      </c>
      <c r="K13" s="538"/>
      <c r="L13" s="463" t="s">
        <v>102</v>
      </c>
      <c r="M13" s="539" t="s">
        <v>22</v>
      </c>
      <c r="N13" s="742"/>
      <c r="O13" s="1334" t="s">
        <v>110</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40" t="s">
        <v>111</v>
      </c>
      <c r="Z13" s="540">
        <v>1705000</v>
      </c>
      <c r="AA13" s="540"/>
      <c r="AB13" s="540"/>
      <c r="AC13" s="540"/>
      <c r="AD13" s="540"/>
      <c r="AE13" s="540"/>
      <c r="AF13" s="540"/>
      <c r="AG13" s="540"/>
      <c r="AH13" s="540"/>
      <c r="AI13" s="540"/>
      <c r="AJ13" s="540"/>
      <c r="AK13" s="540"/>
      <c r="AL13" s="540"/>
      <c r="AM13" s="542">
        <v>15</v>
      </c>
    </row>
    <row r="14" spans="1:39" s="2416" customFormat="1" ht="15.75" customHeight="1">
      <c r="A14" s="230"/>
      <c r="B14" s="230"/>
      <c r="C14" s="113"/>
      <c r="D14" s="2525"/>
      <c r="E14" s="2527"/>
      <c r="F14" s="2524"/>
      <c r="G14" s="2530"/>
      <c r="H14" s="2531"/>
      <c r="I14" s="2523"/>
      <c r="J14" s="2524"/>
      <c r="K14" s="357"/>
      <c r="L14" s="114"/>
      <c r="M14" s="543" t="s">
        <v>112</v>
      </c>
      <c r="N14" s="742"/>
      <c r="O14" s="1334"/>
      <c r="P14" s="1331"/>
      <c r="Q14" s="1331"/>
      <c r="R14" s="1331"/>
      <c r="S14" s="1334"/>
      <c r="T14" s="1334"/>
      <c r="U14" s="1184"/>
      <c r="V14" s="1184"/>
      <c r="W14" s="1184"/>
      <c r="X14" s="1184"/>
      <c r="Y14" s="540"/>
      <c r="Z14" s="540"/>
      <c r="AA14" s="540"/>
      <c r="AB14" s="540"/>
      <c r="AC14" s="540"/>
      <c r="AD14" s="540"/>
      <c r="AE14" s="540"/>
      <c r="AF14" s="540"/>
      <c r="AG14" s="540"/>
      <c r="AH14" s="540"/>
      <c r="AI14" s="540"/>
      <c r="AJ14" s="540"/>
      <c r="AK14" s="540"/>
      <c r="AL14" s="540"/>
      <c r="AM14" s="542">
        <v>15</v>
      </c>
    </row>
    <row r="15" spans="1:39" s="2416" customFormat="1" ht="15.75" customHeight="1">
      <c r="A15" s="230"/>
      <c r="B15" s="230"/>
      <c r="C15" s="113"/>
      <c r="D15" s="2525"/>
      <c r="E15" s="2528"/>
      <c r="F15" s="2524"/>
      <c r="G15" s="983"/>
      <c r="H15" s="984"/>
      <c r="I15" s="516" t="s">
        <v>113</v>
      </c>
      <c r="J15" s="114"/>
      <c r="K15" s="114"/>
      <c r="L15" s="114"/>
      <c r="M15" s="544"/>
      <c r="N15" s="742"/>
      <c r="O15" s="1334"/>
      <c r="P15" s="1331"/>
      <c r="Q15" s="1331"/>
      <c r="R15" s="1331"/>
      <c r="S15" s="1334"/>
      <c r="T15" s="1334"/>
      <c r="U15" s="1184"/>
      <c r="V15" s="1184"/>
      <c r="W15" s="1184"/>
      <c r="X15" s="1184"/>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114</v>
      </c>
      <c r="F16" s="114"/>
      <c r="G16" s="114"/>
      <c r="H16" s="114"/>
      <c r="I16" s="114"/>
      <c r="J16" s="114"/>
      <c r="K16" s="114" t="s">
        <v>22</v>
      </c>
      <c r="L16" s="114"/>
      <c r="M16" s="544"/>
      <c r="N16" s="1545"/>
      <c r="AM16" s="519">
        <v>15</v>
      </c>
    </row>
    <row r="17" spans="1:39" ht="11.25" hidden="1" customHeight="1">
      <c r="A17" s="519" t="s">
        <v>78</v>
      </c>
      <c r="B17" s="519">
        <v>0</v>
      </c>
      <c r="C17" s="519">
        <v>3</v>
      </c>
      <c r="D17" s="519">
        <v>4</v>
      </c>
      <c r="E17" s="519">
        <v>44</v>
      </c>
      <c r="F17" s="519">
        <v>6</v>
      </c>
      <c r="G17" s="519">
        <v>4</v>
      </c>
      <c r="H17" s="519">
        <v>5</v>
      </c>
      <c r="I17" s="519">
        <v>52</v>
      </c>
      <c r="J17" s="519">
        <v>6</v>
      </c>
      <c r="K17" s="519">
        <v>3</v>
      </c>
      <c r="L17" s="519">
        <v>6</v>
      </c>
      <c r="M17" s="519">
        <v>56</v>
      </c>
      <c r="N17" s="520">
        <v>8</v>
      </c>
      <c r="O17" s="1331">
        <v>0</v>
      </c>
      <c r="P17" s="1331">
        <v>0</v>
      </c>
      <c r="Q17" s="1331">
        <v>0</v>
      </c>
      <c r="R17" s="1331">
        <v>0</v>
      </c>
      <c r="S17" s="1331">
        <v>0</v>
      </c>
      <c r="T17" s="1331">
        <v>0</v>
      </c>
      <c r="U17" s="1181">
        <v>0</v>
      </c>
      <c r="V17" s="1181">
        <v>0</v>
      </c>
      <c r="W17" s="1181">
        <v>0</v>
      </c>
      <c r="X17" s="1181">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398" hidden="1" customWidth="1"/>
    <col min="2" max="2" width="9.140625" style="2400" hidden="1" customWidth="1"/>
    <col min="3" max="3" width="4" style="2444" customWidth="1"/>
    <col min="4" max="4" width="6" style="2400" customWidth="1"/>
    <col min="5" max="5" width="36" style="2400" customWidth="1"/>
    <col min="6" max="6" width="9" style="2400" customWidth="1"/>
    <col min="7" max="7" width="25.7109375" style="2400" hidden="1" customWidth="1"/>
    <col min="8" max="8" width="33.7109375" style="2400" hidden="1" customWidth="1"/>
    <col min="9" max="9" width="25.7109375" style="2400" customWidth="1"/>
    <col min="10" max="10" width="33" style="2400" customWidth="1"/>
    <col min="11" max="11" width="93" style="2406" customWidth="1"/>
    <col min="12" max="20" width="10" style="2400" customWidth="1"/>
    <col min="21" max="21" width="10" style="2445" customWidth="1"/>
    <col min="22" max="22" width="10.5703125" style="2400" hidden="1"/>
  </cols>
  <sheetData>
    <row r="1" spans="1:22" s="2406" customFormat="1" ht="22.5" hidden="1" customHeight="1">
      <c r="C1" s="608"/>
      <c r="G1" s="353">
        <v>4</v>
      </c>
      <c r="I1" s="353">
        <v>4</v>
      </c>
      <c r="U1" s="356"/>
      <c r="V1" s="353" t="s">
        <v>14</v>
      </c>
    </row>
    <row r="2" spans="1:22" s="2406" customFormat="1" ht="15" hidden="1" customHeight="1">
      <c r="C2" s="608"/>
      <c r="U2" s="356"/>
      <c r="V2" s="353">
        <v>0</v>
      </c>
    </row>
    <row r="3" spans="1:22" ht="22.5" hidden="1" customHeight="1">
      <c r="A3" s="441"/>
      <c r="B3" s="2752"/>
      <c r="C3" s="2753" t="s">
        <v>680</v>
      </c>
      <c r="D3" s="625" t="str">
        <f>B3&amp;".1"</f>
        <v>.1</v>
      </c>
      <c r="E3" s="626" t="s">
        <v>927</v>
      </c>
      <c r="F3" s="627" t="s">
        <v>297</v>
      </c>
      <c r="G3" s="622"/>
      <c r="H3" s="337"/>
      <c r="I3" s="622"/>
      <c r="J3" s="337"/>
      <c r="K3" s="226" t="s">
        <v>928</v>
      </c>
      <c r="V3" s="441">
        <v>0</v>
      </c>
    </row>
    <row r="4" spans="1:22" ht="15" hidden="1" customHeight="1">
      <c r="A4" s="441"/>
      <c r="B4" s="2752"/>
      <c r="C4" s="2753"/>
      <c r="D4" s="625" t="str">
        <f>B3&amp;".2"</f>
        <v>.2</v>
      </c>
      <c r="E4" s="626" t="s">
        <v>929</v>
      </c>
      <c r="F4" s="627" t="s">
        <v>297</v>
      </c>
      <c r="G4" s="1655" t="s">
        <v>22</v>
      </c>
      <c r="H4" s="337"/>
      <c r="I4" s="1655" t="s">
        <v>22</v>
      </c>
      <c r="J4" s="337"/>
      <c r="K4" s="226" t="s">
        <v>930</v>
      </c>
      <c r="V4" s="441">
        <v>0</v>
      </c>
    </row>
    <row r="5" spans="1:22" s="2406" customFormat="1" ht="15" hidden="1" customHeight="1">
      <c r="C5" s="608"/>
      <c r="U5" s="356"/>
      <c r="V5" s="353">
        <v>0</v>
      </c>
    </row>
    <row r="6" spans="1:22" ht="22.5" hidden="1" customHeight="1">
      <c r="A6" s="441"/>
      <c r="B6" s="2752"/>
      <c r="C6" s="2753" t="s">
        <v>680</v>
      </c>
      <c r="D6" s="625" t="str">
        <f>B6&amp;".1"</f>
        <v>.1</v>
      </c>
      <c r="E6" s="626" t="s">
        <v>931</v>
      </c>
      <c r="F6" s="627" t="s">
        <v>297</v>
      </c>
      <c r="G6" s="622"/>
      <c r="H6" s="337"/>
      <c r="I6" s="622"/>
      <c r="J6" s="337"/>
      <c r="K6" s="226" t="s">
        <v>932</v>
      </c>
      <c r="V6" s="441">
        <v>0</v>
      </c>
    </row>
    <row r="7" spans="1:22" ht="15" hidden="1" customHeight="1">
      <c r="A7" s="441"/>
      <c r="B7" s="2752"/>
      <c r="C7" s="2753"/>
      <c r="D7" s="625" t="str">
        <f>B6&amp;".2"</f>
        <v>.2</v>
      </c>
      <c r="E7" s="626" t="s">
        <v>929</v>
      </c>
      <c r="F7" s="627" t="s">
        <v>297</v>
      </c>
      <c r="G7" s="1655" t="s">
        <v>22</v>
      </c>
      <c r="H7" s="337"/>
      <c r="I7" s="1655" t="s">
        <v>22</v>
      </c>
      <c r="J7" s="337"/>
      <c r="K7" s="226" t="s">
        <v>930</v>
      </c>
      <c r="V7" s="441">
        <v>0</v>
      </c>
    </row>
    <row r="8" spans="1:22" s="2406" customFormat="1" ht="15" hidden="1" customHeight="1">
      <c r="C8" s="608"/>
      <c r="U8" s="356"/>
      <c r="V8" s="353">
        <v>0</v>
      </c>
    </row>
    <row r="9" spans="1:22" ht="22.5" hidden="1" customHeight="1">
      <c r="A9" s="441"/>
      <c r="B9" s="2752"/>
      <c r="C9" s="2753" t="s">
        <v>680</v>
      </c>
      <c r="D9" s="625" t="str">
        <f>B9&amp;".1"</f>
        <v>.1</v>
      </c>
      <c r="E9" s="626" t="s">
        <v>933</v>
      </c>
      <c r="F9" s="627" t="s">
        <v>297</v>
      </c>
      <c r="G9" s="633" t="s">
        <v>22</v>
      </c>
      <c r="H9" s="337" t="s">
        <v>22</v>
      </c>
      <c r="I9" s="633" t="s">
        <v>22</v>
      </c>
      <c r="J9" s="337" t="s">
        <v>22</v>
      </c>
      <c r="K9" s="226"/>
      <c r="V9" s="441">
        <v>0</v>
      </c>
    </row>
    <row r="10" spans="1:22" ht="15" hidden="1" customHeight="1">
      <c r="A10" s="441"/>
      <c r="B10" s="2752"/>
      <c r="C10" s="2753"/>
      <c r="D10" s="625" t="str">
        <f>B9&amp;".2"</f>
        <v>.2</v>
      </c>
      <c r="E10" s="626" t="s">
        <v>934</v>
      </c>
      <c r="F10" s="627" t="s">
        <v>297</v>
      </c>
      <c r="G10" s="1649" t="s">
        <v>22</v>
      </c>
      <c r="H10" s="337" t="s">
        <v>22</v>
      </c>
      <c r="I10" s="1649" t="s">
        <v>22</v>
      </c>
      <c r="J10" s="337" t="s">
        <v>22</v>
      </c>
      <c r="K10" s="226" t="s">
        <v>935</v>
      </c>
      <c r="V10" s="441">
        <v>0</v>
      </c>
    </row>
    <row r="11" spans="1:22" ht="15" hidden="1" customHeight="1">
      <c r="A11" s="441"/>
      <c r="B11" s="2752"/>
      <c r="C11" s="2753"/>
      <c r="D11" s="625" t="str">
        <f>B9&amp;".3"</f>
        <v>.3</v>
      </c>
      <c r="E11" s="626" t="s">
        <v>936</v>
      </c>
      <c r="F11" s="627" t="s">
        <v>297</v>
      </c>
      <c r="G11" s="1649" t="s">
        <v>22</v>
      </c>
      <c r="H11" s="337" t="s">
        <v>22</v>
      </c>
      <c r="I11" s="1649" t="s">
        <v>22</v>
      </c>
      <c r="J11" s="337" t="s">
        <v>22</v>
      </c>
      <c r="K11" s="226" t="s">
        <v>937</v>
      </c>
      <c r="V11" s="441">
        <v>0</v>
      </c>
    </row>
    <row r="12" spans="1:22" s="2406" customFormat="1" ht="15" hidden="1" customHeight="1">
      <c r="C12" s="608"/>
      <c r="U12" s="356"/>
      <c r="V12" s="353">
        <v>0</v>
      </c>
    </row>
    <row r="13" spans="1:22" ht="33.75" hidden="1" customHeight="1">
      <c r="A13" s="441"/>
      <c r="B13" s="2752"/>
      <c r="C13" s="2753" t="s">
        <v>680</v>
      </c>
      <c r="D13" s="625" t="str">
        <f>B13&amp;".1"</f>
        <v>.1</v>
      </c>
      <c r="E13" s="626" t="s">
        <v>938</v>
      </c>
      <c r="F13" s="627" t="s">
        <v>297</v>
      </c>
      <c r="G13" s="633" t="s">
        <v>22</v>
      </c>
      <c r="H13" s="337" t="s">
        <v>22</v>
      </c>
      <c r="I13" s="633" t="s">
        <v>22</v>
      </c>
      <c r="J13" s="337" t="s">
        <v>22</v>
      </c>
      <c r="K13" s="226" t="s">
        <v>939</v>
      </c>
      <c r="V13" s="441">
        <v>0</v>
      </c>
    </row>
    <row r="14" spans="1:22" ht="15" hidden="1" customHeight="1">
      <c r="B14" s="2752"/>
      <c r="C14" s="2753"/>
      <c r="D14" s="625" t="str">
        <f>B13&amp;".2"</f>
        <v>.2</v>
      </c>
      <c r="E14" s="626" t="s">
        <v>940</v>
      </c>
      <c r="F14" s="627" t="s">
        <v>297</v>
      </c>
      <c r="G14" s="1649" t="s">
        <v>22</v>
      </c>
      <c r="H14" s="337" t="s">
        <v>22</v>
      </c>
      <c r="I14" s="1649" t="s">
        <v>22</v>
      </c>
      <c r="J14" s="337" t="s">
        <v>22</v>
      </c>
      <c r="K14" s="226" t="s">
        <v>941</v>
      </c>
      <c r="V14" s="441">
        <v>0</v>
      </c>
    </row>
    <row r="15" spans="1:22" s="2406" customFormat="1" ht="15" hidden="1" customHeight="1">
      <c r="C15" s="608"/>
      <c r="U15" s="356"/>
      <c r="V15" s="353">
        <v>0</v>
      </c>
    </row>
    <row r="16" spans="1:22" s="2406" customFormat="1" ht="15" hidden="1" customHeight="1">
      <c r="C16" s="608"/>
      <c r="U16" s="356"/>
      <c r="V16" s="353">
        <v>0</v>
      </c>
    </row>
    <row r="17" spans="1:22" s="2406" customFormat="1" ht="15" hidden="1" customHeight="1">
      <c r="C17" s="608"/>
      <c r="U17" s="356"/>
      <c r="V17" s="353">
        <v>0</v>
      </c>
    </row>
    <row r="18" spans="1:22" s="2406" customFormat="1" ht="15" hidden="1" customHeight="1">
      <c r="C18" s="608"/>
      <c r="U18" s="356"/>
      <c r="V18" s="353">
        <v>0</v>
      </c>
    </row>
    <row r="19" spans="1:22" s="2406" customFormat="1" ht="15" hidden="1" customHeight="1">
      <c r="C19" s="608"/>
      <c r="U19" s="356"/>
      <c r="V19" s="353">
        <v>0</v>
      </c>
    </row>
    <row r="20" spans="1:22" s="2406"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62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23"/>
      <c r="F22" s="2623"/>
      <c r="G22" s="2623"/>
      <c r="H22" s="2623"/>
      <c r="I22" s="2623"/>
      <c r="J22" s="612"/>
      <c r="K22" s="473"/>
      <c r="V22" s="441">
        <v>22</v>
      </c>
    </row>
    <row r="23" spans="1:22" ht="15.75" customHeight="1">
      <c r="C23" s="113"/>
      <c r="D23" s="2595" t="str">
        <f>IF(org=0,"Не определено",org)</f>
        <v>ПАО "ТГК-1" (филиал "Кольский")</v>
      </c>
      <c r="E23" s="2595"/>
      <c r="F23" s="2595"/>
      <c r="G23" s="2595"/>
      <c r="H23" s="2595"/>
      <c r="I23" s="2595"/>
      <c r="J23" s="612"/>
      <c r="K23" s="473"/>
      <c r="V23" s="441">
        <v>15</v>
      </c>
    </row>
    <row r="24" spans="1:22" ht="15.75" customHeight="1">
      <c r="C24" s="113"/>
      <c r="D24" s="445"/>
      <c r="E24" s="445"/>
      <c r="F24" s="445"/>
      <c r="G24" s="473">
        <v>22</v>
      </c>
      <c r="H24" s="688"/>
      <c r="I24" s="473">
        <v>22</v>
      </c>
      <c r="J24" s="688"/>
      <c r="V24" s="441">
        <v>15</v>
      </c>
    </row>
    <row r="25" spans="1:22" s="2400" customFormat="1" ht="1.1499999999999999" customHeight="1">
      <c r="A25" s="693"/>
      <c r="C25" s="113"/>
      <c r="D25" s="445"/>
      <c r="E25" s="445"/>
      <c r="F25" s="445"/>
      <c r="G25" s="473"/>
      <c r="H25" s="688"/>
      <c r="I25" s="473" t="s">
        <v>110</v>
      </c>
      <c r="J25" s="688"/>
      <c r="K25" s="353"/>
      <c r="U25" s="611"/>
      <c r="V25" s="692">
        <v>1</v>
      </c>
    </row>
    <row r="26" spans="1:22" ht="15.75" customHeight="1">
      <c r="C26" s="113"/>
      <c r="D26" s="647"/>
      <c r="E26" s="2729" t="s">
        <v>98</v>
      </c>
      <c r="F26" s="2730"/>
      <c r="G26" s="2754" t="str">
        <f>IF(G25="","",INDEX(DIFFERENTIATION_UNMERGE_VD,MATCH(G25,DIFFERENTIATION_ID_DIFF,0)))</f>
        <v/>
      </c>
      <c r="H26" s="2755"/>
      <c r="I26" s="2754">
        <f>IF(I25="","",INDEX(DIFFERENTIATION_UNMERGE_VD,MATCH(I25,DIFFERENTIATION_ID_DIFF,0)))</f>
        <v>0</v>
      </c>
      <c r="J26" s="2755"/>
      <c r="K26" s="2573" t="s">
        <v>292</v>
      </c>
      <c r="V26" s="441">
        <v>15</v>
      </c>
    </row>
    <row r="27" spans="1:22" s="2400" customFormat="1" ht="15.75" customHeight="1">
      <c r="A27" s="693"/>
      <c r="C27" s="113"/>
      <c r="D27" s="647"/>
      <c r="E27" s="2729" t="s">
        <v>555</v>
      </c>
      <c r="F27" s="2730"/>
      <c r="G27" s="2754" t="str">
        <f>IF(G25="","",INDEX(DIFFERENTIATION_UNMERGE_AREA,MATCH(G25,DIFFERENTIATION_ID_DIFF,0)))</f>
        <v/>
      </c>
      <c r="H27" s="2755"/>
      <c r="I27" s="2754" t="str">
        <f>IF(I25="","",INDEX(DIFFERENTIATION_UNMERGE_AREA,MATCH(I25,DIFFERENTIATION_ID_DIFF,0)))</f>
        <v/>
      </c>
      <c r="J27" s="2755"/>
      <c r="K27" s="2577"/>
      <c r="U27" s="611"/>
      <c r="V27" s="692">
        <v>15</v>
      </c>
    </row>
    <row r="28" spans="1:22" s="2400" customFormat="1" ht="15.75" customHeight="1">
      <c r="A28" s="693"/>
      <c r="C28" s="113"/>
      <c r="D28" s="647"/>
      <c r="E28" s="2729" t="s">
        <v>556</v>
      </c>
      <c r="F28" s="2730"/>
      <c r="G28" s="2754" t="str">
        <f>IF(G25="","",INDEX(DIFFERENTIATION_UNMERGE_SYSTEM,MATCH(G25,DIFFERENTIATION_ID_DIFF,0)))</f>
        <v/>
      </c>
      <c r="H28" s="2755"/>
      <c r="I28" s="2754" t="str">
        <f>IF(I25="","",INDEX(DIFFERENTIATION_UNMERGE_SYSTEM,MATCH(I25,DIFFERENTIATION_ID_DIFF,0)))</f>
        <v>без дифференциации</v>
      </c>
      <c r="J28" s="2755"/>
      <c r="K28" s="2577"/>
      <c r="U28" s="611"/>
      <c r="V28" s="692">
        <v>15</v>
      </c>
    </row>
    <row r="29" spans="1:22" s="2400" customFormat="1" ht="15.75" customHeight="1">
      <c r="A29" s="693"/>
      <c r="C29" s="113"/>
      <c r="D29" s="2731" t="s">
        <v>291</v>
      </c>
      <c r="E29" s="2732"/>
      <c r="F29" s="2732"/>
      <c r="G29" s="812"/>
      <c r="H29" s="812"/>
      <c r="I29" s="812"/>
      <c r="J29" s="813"/>
      <c r="K29" s="2577"/>
      <c r="U29" s="611"/>
      <c r="V29" s="692">
        <v>15</v>
      </c>
    </row>
    <row r="30" spans="1:22" ht="35.65" customHeight="1">
      <c r="C30" s="113"/>
      <c r="D30" s="695" t="s">
        <v>84</v>
      </c>
      <c r="E30" s="694" t="s">
        <v>293</v>
      </c>
      <c r="F30" s="694" t="s">
        <v>557</v>
      </c>
      <c r="G30" s="738" t="s">
        <v>294</v>
      </c>
      <c r="H30" s="737" t="s">
        <v>381</v>
      </c>
      <c r="I30" s="620" t="s">
        <v>294</v>
      </c>
      <c r="J30" s="401" t="s">
        <v>381</v>
      </c>
      <c r="K30" s="2580"/>
      <c r="V30" s="441">
        <v>34</v>
      </c>
    </row>
    <row r="31" spans="1:22" ht="15" hidden="1" customHeight="1">
      <c r="C31" s="113"/>
      <c r="D31" s="529"/>
      <c r="E31" s="529"/>
      <c r="F31" s="529"/>
      <c r="G31" s="595"/>
      <c r="H31" s="595"/>
      <c r="I31" s="595"/>
      <c r="J31" s="595"/>
      <c r="K31" s="226"/>
      <c r="V31" s="441">
        <v>0</v>
      </c>
    </row>
    <row r="32" spans="1:22" ht="24" customHeight="1">
      <c r="A32" s="441"/>
      <c r="B32" s="441" t="s">
        <v>942</v>
      </c>
      <c r="C32" s="462"/>
      <c r="D32" s="628">
        <v>1</v>
      </c>
      <c r="E32" s="629" t="s">
        <v>943</v>
      </c>
      <c r="F32" s="627" t="s">
        <v>297</v>
      </c>
      <c r="G32" s="743" t="s">
        <v>297</v>
      </c>
      <c r="H32" s="743" t="s">
        <v>297</v>
      </c>
      <c r="I32" s="627" t="s">
        <v>297</v>
      </c>
      <c r="J32" s="627" t="s">
        <v>297</v>
      </c>
      <c r="K32" s="226"/>
      <c r="V32" s="441">
        <v>23</v>
      </c>
    </row>
    <row r="33" spans="1:22" ht="11.45" customHeight="1">
      <c r="A33" s="441"/>
      <c r="C33" s="441"/>
      <c r="D33" s="284"/>
      <c r="E33" s="516" t="s">
        <v>577</v>
      </c>
      <c r="F33" s="508"/>
      <c r="G33" s="508"/>
      <c r="H33" s="508"/>
      <c r="I33" s="508"/>
      <c r="J33" s="508"/>
      <c r="K33" s="509"/>
      <c r="U33" s="441"/>
      <c r="V33" s="441">
        <v>11</v>
      </c>
    </row>
    <row r="34" spans="1:22" ht="24" customHeight="1">
      <c r="A34" s="441"/>
      <c r="B34" s="517" t="s">
        <v>627</v>
      </c>
      <c r="C34" s="462"/>
      <c r="D34" s="628">
        <v>2</v>
      </c>
      <c r="E34" s="629" t="s">
        <v>944</v>
      </c>
      <c r="F34" s="750" t="s">
        <v>297</v>
      </c>
      <c r="G34" s="750" t="s">
        <v>297</v>
      </c>
      <c r="H34" s="750" t="s">
        <v>297</v>
      </c>
      <c r="I34" s="627"/>
      <c r="J34" s="627"/>
      <c r="K34" s="226"/>
      <c r="V34" s="441">
        <v>23</v>
      </c>
    </row>
    <row r="35" spans="1:22" ht="11.45" customHeight="1">
      <c r="A35" s="441"/>
      <c r="C35" s="441"/>
      <c r="D35" s="284"/>
      <c r="E35" s="516" t="s">
        <v>945</v>
      </c>
      <c r="F35" s="508"/>
      <c r="G35" s="630"/>
      <c r="H35" s="508"/>
      <c r="I35" s="630"/>
      <c r="J35" s="508"/>
      <c r="K35" s="509"/>
      <c r="U35" s="441"/>
      <c r="V35" s="441">
        <v>11</v>
      </c>
    </row>
    <row r="36" spans="1:22" ht="71.25" customHeight="1">
      <c r="A36" s="441"/>
      <c r="B36" s="441" t="s">
        <v>946</v>
      </c>
      <c r="C36" s="462"/>
      <c r="D36" s="628">
        <v>3</v>
      </c>
      <c r="E36" s="629" t="s">
        <v>947</v>
      </c>
      <c r="F36" s="631" t="s">
        <v>297</v>
      </c>
      <c r="G36" s="744" t="s">
        <v>948</v>
      </c>
      <c r="H36" s="743" t="s">
        <v>297</v>
      </c>
      <c r="I36" s="460" t="s">
        <v>948</v>
      </c>
      <c r="J36" s="627" t="s">
        <v>297</v>
      </c>
      <c r="K36" s="226" t="s">
        <v>949</v>
      </c>
      <c r="V36" s="441">
        <v>68</v>
      </c>
    </row>
    <row r="37" spans="1:22" ht="11.45" customHeight="1">
      <c r="A37" s="441"/>
      <c r="C37" s="441"/>
      <c r="D37" s="284"/>
      <c r="E37" s="516" t="s">
        <v>950</v>
      </c>
      <c r="F37" s="508"/>
      <c r="G37" s="630"/>
      <c r="H37" s="630"/>
      <c r="I37" s="630"/>
      <c r="J37" s="630"/>
      <c r="K37" s="509"/>
      <c r="U37" s="441"/>
      <c r="V37" s="441">
        <v>11</v>
      </c>
    </row>
    <row r="38" spans="1:22" ht="71.25" customHeight="1">
      <c r="A38" s="441"/>
      <c r="B38" s="441" t="s">
        <v>951</v>
      </c>
      <c r="C38" s="462"/>
      <c r="D38" s="628">
        <v>4</v>
      </c>
      <c r="E38" s="629" t="s">
        <v>952</v>
      </c>
      <c r="F38" s="631" t="s">
        <v>297</v>
      </c>
      <c r="G38" s="744" t="s">
        <v>948</v>
      </c>
      <c r="H38" s="745" t="s">
        <v>297</v>
      </c>
      <c r="I38" s="460" t="s">
        <v>948</v>
      </c>
      <c r="J38" s="457" t="s">
        <v>297</v>
      </c>
      <c r="K38" s="615" t="s">
        <v>953</v>
      </c>
      <c r="V38" s="441">
        <v>68</v>
      </c>
    </row>
    <row r="39" spans="1:22" ht="11.45" customHeight="1">
      <c r="A39" s="441"/>
      <c r="C39" s="441"/>
      <c r="D39" s="284"/>
      <c r="E39" s="516" t="s">
        <v>954</v>
      </c>
      <c r="F39" s="508"/>
      <c r="G39" s="508"/>
      <c r="H39" s="632"/>
      <c r="I39" s="508"/>
      <c r="J39" s="632"/>
      <c r="K39" s="509"/>
      <c r="U39" s="441"/>
      <c r="V39" s="441">
        <v>11</v>
      </c>
    </row>
    <row r="40" spans="1:22" ht="22.5" hidden="1" customHeight="1">
      <c r="A40" s="385" t="s">
        <v>78</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
  <sheetViews>
    <sheetView showGridLines="0" topLeftCell="E4" zoomScale="85" workbookViewId="0">
      <selection activeCell="V13" sqref="V13:V14"/>
    </sheetView>
  </sheetViews>
  <sheetFormatPr defaultColWidth="9.140625" defaultRowHeight="10.5" customHeight="1"/>
  <cols>
    <col min="1" max="3" width="6.7109375" style="2443" hidden="1" customWidth="1"/>
    <col min="4" max="4" width="6.7109375" style="2406" hidden="1" customWidth="1"/>
    <col min="5" max="5" width="3" style="2400" customWidth="1"/>
    <col min="6" max="6" width="6" style="2400" customWidth="1"/>
    <col min="7" max="7" width="37" style="2400" customWidth="1"/>
    <col min="8" max="8" width="16" style="2400" customWidth="1"/>
    <col min="9" max="10" width="19" style="2400" customWidth="1"/>
    <col min="11" max="11" width="24" style="2400" customWidth="1"/>
    <col min="12" max="13" width="25" style="2400" customWidth="1"/>
    <col min="14" max="16" width="17" style="2400" customWidth="1"/>
    <col min="17" max="24" width="19" style="2400" customWidth="1"/>
    <col min="25" max="25" width="7" style="2400" customWidth="1"/>
    <col min="26" max="26" width="3" style="2400" customWidth="1"/>
    <col min="27" max="27" width="6" style="2400" customWidth="1"/>
    <col min="28" max="28" width="34" style="2400" customWidth="1"/>
    <col min="29" max="30" width="8" style="2400" customWidth="1"/>
    <col min="31" max="31" width="9.140625" style="2400" hidden="1"/>
  </cols>
  <sheetData>
    <row r="1" spans="1:31" s="2406" customFormat="1" ht="10.5" hidden="1" customHeight="1">
      <c r="A1" s="820"/>
      <c r="B1" s="820"/>
      <c r="C1" s="820"/>
      <c r="E1" s="473"/>
      <c r="H1" s="1078"/>
      <c r="AE1" s="353" t="s">
        <v>14</v>
      </c>
    </row>
    <row r="2" spans="1:31" ht="10.5" hidden="1" customHeight="1">
      <c r="AE2" s="692">
        <v>0</v>
      </c>
    </row>
    <row r="3" spans="1:31" s="2398" customFormat="1" ht="10.5" hidden="1" customHeight="1">
      <c r="A3" s="820"/>
      <c r="B3" s="820"/>
      <c r="C3" s="820"/>
      <c r="D3" s="353"/>
      <c r="E3" s="298"/>
      <c r="G3" s="1550" t="s">
        <v>955</v>
      </c>
      <c r="H3" s="1074"/>
      <c r="AE3" s="693">
        <v>0</v>
      </c>
    </row>
    <row r="4" spans="1:31" ht="3" customHeight="1">
      <c r="AE4" s="692">
        <v>3</v>
      </c>
    </row>
    <row r="5" spans="1:31" ht="27.4" customHeight="1">
      <c r="F5" s="262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3"/>
      <c r="H5" s="2623"/>
      <c r="I5" s="2623"/>
      <c r="J5" s="2623"/>
      <c r="K5" s="2623"/>
      <c r="M5" s="518"/>
      <c r="AB5" s="831"/>
      <c r="AE5" s="692">
        <v>26</v>
      </c>
    </row>
    <row r="6" spans="1:31" s="2400" customFormat="1" ht="16.899999999999999" customHeight="1">
      <c r="A6" s="1084"/>
      <c r="B6" s="1084"/>
      <c r="C6" s="1084"/>
      <c r="D6" s="1078"/>
      <c r="E6" s="1553"/>
      <c r="F6" s="2595" t="str">
        <f>IF(org=0,"Не определено",org)</f>
        <v>ПАО "ТГК-1" (филиал "Кольский")</v>
      </c>
      <c r="G6" s="2595"/>
      <c r="H6" s="2595"/>
      <c r="I6" s="2595"/>
      <c r="J6" s="2595"/>
      <c r="K6" s="2595"/>
      <c r="M6" s="518"/>
      <c r="AB6" s="1067"/>
      <c r="AE6" s="1549">
        <v>16</v>
      </c>
    </row>
    <row r="7" spans="1:31" ht="10.5" customHeight="1">
      <c r="AE7" s="692">
        <v>10</v>
      </c>
    </row>
    <row r="8" spans="1:31" ht="10.5" customHeight="1">
      <c r="A8" s="974"/>
      <c r="B8" s="974"/>
      <c r="C8" s="974"/>
      <c r="F8" s="2496" t="s">
        <v>291</v>
      </c>
      <c r="G8" s="2501"/>
      <c r="H8" s="2501"/>
      <c r="I8" s="2501"/>
      <c r="J8" s="2501"/>
      <c r="K8" s="2501"/>
      <c r="L8" s="2501"/>
      <c r="M8" s="2501"/>
      <c r="N8" s="2501"/>
      <c r="O8" s="2501"/>
      <c r="P8" s="2501"/>
      <c r="Q8" s="2501"/>
      <c r="R8" s="2501"/>
      <c r="S8" s="2501"/>
      <c r="T8" s="2501"/>
      <c r="U8" s="2501"/>
      <c r="V8" s="2501"/>
      <c r="W8" s="2501"/>
      <c r="X8" s="2501"/>
      <c r="Y8" s="2501"/>
      <c r="Z8" s="2501"/>
      <c r="AA8" s="2501"/>
      <c r="AB8" s="2495"/>
      <c r="AE8" s="692">
        <v>10</v>
      </c>
    </row>
    <row r="9" spans="1:31" ht="43.15" customHeight="1">
      <c r="A9" s="830"/>
      <c r="B9" s="830"/>
      <c r="C9" s="830"/>
      <c r="F9" s="2514" t="s">
        <v>84</v>
      </c>
      <c r="G9" s="2514" t="s">
        <v>955</v>
      </c>
      <c r="H9" s="2573" t="s">
        <v>956</v>
      </c>
      <c r="I9" s="2514" t="s">
        <v>957</v>
      </c>
      <c r="J9" s="2514" t="s">
        <v>958</v>
      </c>
      <c r="K9" s="2514" t="s">
        <v>959</v>
      </c>
      <c r="L9" s="2514" t="s">
        <v>960</v>
      </c>
      <c r="M9" s="2514" t="s">
        <v>961</v>
      </c>
      <c r="N9" s="2603" t="s">
        <v>962</v>
      </c>
      <c r="O9" s="2603"/>
      <c r="P9" s="2603"/>
      <c r="Q9" s="2656" t="s">
        <v>963</v>
      </c>
      <c r="R9" s="2657"/>
      <c r="S9" s="2657"/>
      <c r="T9" s="2658"/>
      <c r="U9" s="2656" t="s">
        <v>964</v>
      </c>
      <c r="V9" s="2657"/>
      <c r="W9" s="2657"/>
      <c r="X9" s="2658"/>
      <c r="Y9" s="2496" t="s">
        <v>965</v>
      </c>
      <c r="Z9" s="2501"/>
      <c r="AA9" s="2501"/>
      <c r="AB9" s="2495"/>
      <c r="AE9" s="692">
        <v>41</v>
      </c>
    </row>
    <row r="10" spans="1:31" ht="43.15" customHeight="1">
      <c r="A10" s="830"/>
      <c r="B10" s="830"/>
      <c r="C10" s="830"/>
      <c r="F10" s="2573"/>
      <c r="G10" s="2573"/>
      <c r="H10" s="2628"/>
      <c r="I10" s="2573"/>
      <c r="J10" s="2573"/>
      <c r="K10" s="2573"/>
      <c r="L10" s="2573"/>
      <c r="M10" s="2573"/>
      <c r="N10" s="828" t="s">
        <v>966</v>
      </c>
      <c r="O10" s="828" t="s">
        <v>967</v>
      </c>
      <c r="P10" s="829" t="s">
        <v>968</v>
      </c>
      <c r="Q10" s="840" t="s">
        <v>85</v>
      </c>
      <c r="R10" s="840" t="s">
        <v>969</v>
      </c>
      <c r="S10" s="840" t="s">
        <v>970</v>
      </c>
      <c r="T10" s="841" t="s">
        <v>971</v>
      </c>
      <c r="U10" s="840" t="s">
        <v>85</v>
      </c>
      <c r="V10" s="840" t="s">
        <v>972</v>
      </c>
      <c r="W10" s="840" t="s">
        <v>970</v>
      </c>
      <c r="X10" s="841" t="s">
        <v>971</v>
      </c>
      <c r="Y10" s="238" t="s">
        <v>973</v>
      </c>
      <c r="Z10" s="2496" t="s">
        <v>84</v>
      </c>
      <c r="AA10" s="2495"/>
      <c r="AB10" s="972" t="s">
        <v>974</v>
      </c>
      <c r="AE10" s="692">
        <v>41</v>
      </c>
    </row>
    <row r="11" spans="1:31" s="2407" customFormat="1" ht="5.25" hidden="1" customHeight="1">
      <c r="A11" s="975"/>
      <c r="B11" s="975"/>
      <c r="C11" s="975"/>
      <c r="E11" s="973"/>
      <c r="F11" s="2758" t="s">
        <v>367</v>
      </c>
      <c r="G11" s="2760"/>
      <c r="H11" s="2756"/>
      <c r="I11" s="2756"/>
      <c r="J11" s="2756"/>
      <c r="K11" s="2759"/>
      <c r="L11" s="2759"/>
      <c r="M11" s="2759"/>
      <c r="N11" s="2756"/>
      <c r="O11" s="2756"/>
      <c r="P11" s="2514"/>
      <c r="Q11" s="2583"/>
      <c r="R11" s="2583"/>
      <c r="S11" s="2583"/>
      <c r="T11" s="2756"/>
      <c r="U11" s="2583"/>
      <c r="V11" s="2583"/>
      <c r="W11" s="2583"/>
      <c r="X11" s="2756"/>
      <c r="Y11" s="2525"/>
      <c r="Z11" s="2525"/>
      <c r="AA11" s="2525"/>
      <c r="AB11" s="2525"/>
      <c r="AD11" s="447" t="s">
        <v>975</v>
      </c>
      <c r="AE11" s="447">
        <v>0</v>
      </c>
    </row>
    <row r="12" spans="1:31" s="2407" customFormat="1" ht="5.25" hidden="1" customHeight="1">
      <c r="A12" s="821"/>
      <c r="B12" s="821"/>
      <c r="C12" s="821"/>
      <c r="E12" s="454"/>
      <c r="F12" s="2758"/>
      <c r="G12" s="2760"/>
      <c r="H12" s="2756"/>
      <c r="I12" s="2756"/>
      <c r="J12" s="2756"/>
      <c r="K12" s="2759"/>
      <c r="L12" s="2759"/>
      <c r="M12" s="2759"/>
      <c r="N12" s="2756"/>
      <c r="O12" s="2756"/>
      <c r="P12" s="2514"/>
      <c r="Q12" s="2583"/>
      <c r="R12" s="2583"/>
      <c r="S12" s="2583"/>
      <c r="T12" s="2756"/>
      <c r="U12" s="2583"/>
      <c r="V12" s="2583"/>
      <c r="W12" s="2583"/>
      <c r="X12" s="2756"/>
      <c r="Y12" s="2757"/>
      <c r="Z12" s="2757"/>
      <c r="AA12" s="2757"/>
      <c r="AB12" s="2757"/>
      <c r="AE12" s="447">
        <v>0</v>
      </c>
    </row>
    <row r="13" spans="1:31" ht="27" customHeight="1">
      <c r="A13" s="1084"/>
      <c r="B13" s="1084"/>
      <c r="C13" s="1084"/>
      <c r="D13" s="1078"/>
      <c r="E13" s="2776" t="s">
        <v>680</v>
      </c>
      <c r="F13" s="2761" t="s">
        <v>102</v>
      </c>
      <c r="G13" s="2762" t="s">
        <v>976</v>
      </c>
      <c r="H13" s="2763" t="s">
        <v>65</v>
      </c>
      <c r="I13" s="2765">
        <v>44756.387118055558</v>
      </c>
      <c r="J13" s="2767">
        <v>45580.387615740743</v>
      </c>
      <c r="K13" s="2769" t="s">
        <v>977</v>
      </c>
      <c r="L13" s="2770" t="s">
        <v>978</v>
      </c>
      <c r="M13" s="2770" t="s">
        <v>979</v>
      </c>
      <c r="N13" s="2774" t="s">
        <v>980</v>
      </c>
      <c r="O13" s="2774" t="s">
        <v>981</v>
      </c>
      <c r="P13" s="2775" t="str">
        <f>DATEDIF(DATEVALUE(N13),DATEVALUE(O13),"y")&amp;"г. "&amp;DATEDIF(DATEVALUE(N13),DATEVALUE(O13),"ym")&amp;"мес. "&amp;DATEVALUE(O13)-DATE(YEAR(DATEVALUE(O13)),MONTH(DATEVALUE(O13)),1)&amp;"дн. "</f>
        <v xml:space="preserve">4г. 11мес. 30дн. </v>
      </c>
      <c r="Q13" s="2771" t="s">
        <v>982</v>
      </c>
      <c r="R13" s="2771" t="s">
        <v>983</v>
      </c>
      <c r="S13" s="2771">
        <v>143</v>
      </c>
      <c r="T13" s="2767">
        <v>44756</v>
      </c>
      <c r="U13" s="2771" t="s">
        <v>982</v>
      </c>
      <c r="V13" s="2771" t="s">
        <v>983</v>
      </c>
      <c r="W13" s="2771">
        <v>211</v>
      </c>
      <c r="X13" s="2767">
        <v>45580</v>
      </c>
      <c r="Y13" s="2772" t="s">
        <v>19</v>
      </c>
      <c r="Z13" s="1725"/>
      <c r="AA13" s="1709">
        <v>1</v>
      </c>
      <c r="AB13" s="2009" t="s">
        <v>22</v>
      </c>
      <c r="AC13" s="2010"/>
      <c r="AD13" s="1554" t="s">
        <v>984</v>
      </c>
      <c r="AE13" s="2010"/>
    </row>
    <row r="14" spans="1:31" ht="10.5" customHeight="1">
      <c r="A14" s="1084"/>
      <c r="B14" s="1084"/>
      <c r="C14" s="1084"/>
      <c r="D14" s="1078"/>
      <c r="E14" s="2777"/>
      <c r="F14" s="2761" t="s">
        <v>367</v>
      </c>
      <c r="G14" s="2762"/>
      <c r="H14" s="2764"/>
      <c r="I14" s="2766"/>
      <c r="J14" s="2768"/>
      <c r="K14" s="2769"/>
      <c r="L14" s="2770"/>
      <c r="M14" s="2770"/>
      <c r="N14" s="2774"/>
      <c r="O14" s="2774"/>
      <c r="P14" s="2775"/>
      <c r="Q14" s="2771"/>
      <c r="R14" s="2771"/>
      <c r="S14" s="2771"/>
      <c r="T14" s="2768"/>
      <c r="U14" s="2771"/>
      <c r="V14" s="2771"/>
      <c r="W14" s="2771"/>
      <c r="X14" s="2768"/>
      <c r="Y14" s="2773"/>
      <c r="Z14" s="284"/>
      <c r="AA14" s="508"/>
      <c r="AB14" s="588" t="s">
        <v>985</v>
      </c>
      <c r="AC14" s="2010"/>
      <c r="AD14" s="2010"/>
      <c r="AE14" s="2010"/>
    </row>
    <row r="15" spans="1:31" ht="27" customHeight="1">
      <c r="A15" s="1084"/>
      <c r="B15" s="1084"/>
      <c r="C15" s="1084"/>
      <c r="D15" s="1078"/>
      <c r="E15" s="2776" t="s">
        <v>680</v>
      </c>
      <c r="F15" s="2761" t="s">
        <v>103</v>
      </c>
      <c r="G15" s="2762" t="s">
        <v>986</v>
      </c>
      <c r="H15" s="2763" t="s">
        <v>65</v>
      </c>
      <c r="I15" s="2765">
        <v>44756.387349537035</v>
      </c>
      <c r="J15" s="2767">
        <v>45580.387673611112</v>
      </c>
      <c r="K15" s="2769" t="s">
        <v>977</v>
      </c>
      <c r="L15" s="2770" t="s">
        <v>978</v>
      </c>
      <c r="M15" s="2770" t="s">
        <v>979</v>
      </c>
      <c r="N15" s="2774" t="s">
        <v>980</v>
      </c>
      <c r="O15" s="2774" t="s">
        <v>981</v>
      </c>
      <c r="P15" s="2775" t="str">
        <f>DATEDIF(DATEVALUE(N15),DATEVALUE(O15),"y")&amp;"г. "&amp;DATEDIF(DATEVALUE(N15),DATEVALUE(O15),"ym")&amp;"мес. "&amp;DATEVALUE(O15)-DATE(YEAR(DATEVALUE(O15)),MONTH(DATEVALUE(O15)),1)&amp;"дн. "</f>
        <v xml:space="preserve">4г. 11мес. 30дн. </v>
      </c>
      <c r="Q15" s="2771" t="s">
        <v>982</v>
      </c>
      <c r="R15" s="2771" t="s">
        <v>983</v>
      </c>
      <c r="S15" s="2771">
        <v>143</v>
      </c>
      <c r="T15" s="2767">
        <v>44756</v>
      </c>
      <c r="U15" s="2771" t="s">
        <v>982</v>
      </c>
      <c r="V15" s="2771" t="s">
        <v>983</v>
      </c>
      <c r="W15" s="2771">
        <v>211</v>
      </c>
      <c r="X15" s="2767">
        <v>45580</v>
      </c>
      <c r="Y15" s="2772" t="s">
        <v>19</v>
      </c>
      <c r="Z15" s="1725"/>
      <c r="AA15" s="1709">
        <v>1</v>
      </c>
      <c r="AB15" s="2009" t="s">
        <v>22</v>
      </c>
      <c r="AC15" s="2010"/>
      <c r="AD15" s="1554" t="s">
        <v>987</v>
      </c>
      <c r="AE15" s="2010"/>
    </row>
    <row r="16" spans="1:31" ht="10.5" customHeight="1">
      <c r="A16" s="1084"/>
      <c r="B16" s="1084"/>
      <c r="C16" s="1084"/>
      <c r="D16" s="1078"/>
      <c r="E16" s="2777"/>
      <c r="F16" s="2761" t="s">
        <v>102</v>
      </c>
      <c r="G16" s="2762"/>
      <c r="H16" s="2764"/>
      <c r="I16" s="2766"/>
      <c r="J16" s="2768"/>
      <c r="K16" s="2769"/>
      <c r="L16" s="2770"/>
      <c r="M16" s="2770"/>
      <c r="N16" s="2774"/>
      <c r="O16" s="2774"/>
      <c r="P16" s="2775"/>
      <c r="Q16" s="2771"/>
      <c r="R16" s="2771"/>
      <c r="S16" s="2771"/>
      <c r="T16" s="2768"/>
      <c r="U16" s="2771"/>
      <c r="V16" s="2771"/>
      <c r="W16" s="2771"/>
      <c r="X16" s="2768"/>
      <c r="Y16" s="2773"/>
      <c r="Z16" s="284"/>
      <c r="AA16" s="508"/>
      <c r="AB16" s="588" t="s">
        <v>985</v>
      </c>
      <c r="AC16" s="2010"/>
      <c r="AD16" s="2010"/>
      <c r="AE16" s="2010"/>
    </row>
    <row r="17" spans="1:31" ht="10.5" customHeight="1">
      <c r="F17" s="827"/>
      <c r="G17" s="586" t="s">
        <v>988</v>
      </c>
      <c r="H17" s="1086"/>
      <c r="I17" s="508"/>
      <c r="J17" s="508"/>
      <c r="K17" s="508"/>
      <c r="L17" s="508"/>
      <c r="M17" s="508"/>
      <c r="N17" s="508"/>
      <c r="O17" s="508"/>
      <c r="P17" s="508"/>
      <c r="Q17" s="508"/>
      <c r="R17" s="508"/>
      <c r="S17" s="508"/>
      <c r="T17" s="508"/>
      <c r="U17" s="508"/>
      <c r="V17" s="508"/>
      <c r="W17" s="508"/>
      <c r="X17" s="508"/>
      <c r="Y17" s="508"/>
      <c r="Z17" s="632"/>
      <c r="AA17" s="632"/>
      <c r="AB17" s="842"/>
      <c r="AE17" s="692">
        <v>10</v>
      </c>
    </row>
    <row r="18" spans="1:31" ht="10.5" customHeight="1">
      <c r="AE18" s="692">
        <v>10</v>
      </c>
    </row>
    <row r="19" spans="1:31" s="2407" customFormat="1" ht="10.5" customHeight="1">
      <c r="A19" s="1085"/>
      <c r="B19" s="1085"/>
      <c r="C19" s="1085"/>
      <c r="E19" s="454"/>
      <c r="H19" s="447">
        <f>IFERROR(MATCH("нет",IP_MAIN_DIFFERENTIATION_EVENTS_FLAG,0),0)</f>
        <v>0</v>
      </c>
      <c r="AE19" s="447">
        <v>10</v>
      </c>
    </row>
    <row r="20" spans="1:31" ht="10.5" hidden="1" customHeight="1">
      <c r="A20" s="820" t="s">
        <v>78</v>
      </c>
      <c r="B20" s="820">
        <v>0</v>
      </c>
      <c r="C20" s="820">
        <v>0</v>
      </c>
      <c r="D20" s="353">
        <v>0</v>
      </c>
      <c r="E20" s="445">
        <v>3</v>
      </c>
      <c r="F20" s="692">
        <v>6</v>
      </c>
      <c r="G20" s="692">
        <v>37</v>
      </c>
      <c r="H20" s="1073">
        <v>16</v>
      </c>
      <c r="I20" s="692">
        <v>19</v>
      </c>
      <c r="J20" s="692">
        <v>19</v>
      </c>
      <c r="K20" s="692">
        <v>24</v>
      </c>
      <c r="L20" s="692">
        <v>25</v>
      </c>
      <c r="M20" s="692">
        <v>25</v>
      </c>
      <c r="N20" s="692">
        <v>17</v>
      </c>
      <c r="O20" s="692">
        <v>17</v>
      </c>
      <c r="P20" s="692">
        <v>17</v>
      </c>
      <c r="Q20" s="692">
        <v>19</v>
      </c>
      <c r="R20" s="692">
        <v>19</v>
      </c>
      <c r="S20" s="692">
        <v>19</v>
      </c>
      <c r="T20" s="692">
        <v>19</v>
      </c>
      <c r="U20" s="692">
        <v>19</v>
      </c>
      <c r="V20" s="692">
        <v>19</v>
      </c>
      <c r="W20" s="692">
        <v>19</v>
      </c>
      <c r="X20" s="692">
        <v>19</v>
      </c>
      <c r="Y20" s="692">
        <v>7</v>
      </c>
      <c r="Z20" s="692">
        <v>3</v>
      </c>
      <c r="AA20" s="692">
        <v>6</v>
      </c>
      <c r="AB20" s="692">
        <v>34</v>
      </c>
      <c r="AC20" s="692">
        <v>8</v>
      </c>
      <c r="AD20" s="692">
        <v>8</v>
      </c>
      <c r="AE20" s="692">
        <v>10</v>
      </c>
    </row>
  </sheetData>
  <sheetProtection formatColumns="0" formatRows="0" insertRows="0" deleteColumns="0" deleteRows="0" sort="0" autoFilter="0"/>
  <mergeCells count="81">
    <mergeCell ref="Y15:Y16"/>
    <mergeCell ref="S15:S16"/>
    <mergeCell ref="T15:T16"/>
    <mergeCell ref="M15:M16"/>
    <mergeCell ref="N15:N16"/>
    <mergeCell ref="O15:O16"/>
    <mergeCell ref="Q15:Q16"/>
    <mergeCell ref="R15:R16"/>
    <mergeCell ref="W15:W16"/>
    <mergeCell ref="X15:X16"/>
    <mergeCell ref="P15:P16"/>
    <mergeCell ref="J15:J16"/>
    <mergeCell ref="K15:K16"/>
    <mergeCell ref="L15:L16"/>
    <mergeCell ref="U15:U16"/>
    <mergeCell ref="V15:V16"/>
    <mergeCell ref="E13:E14"/>
    <mergeCell ref="F15:F16"/>
    <mergeCell ref="G15:G16"/>
    <mergeCell ref="H15:H16"/>
    <mergeCell ref="I15:I16"/>
    <mergeCell ref="E15:E16"/>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30">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433"/>
  <sheetViews>
    <sheetView showGridLines="0" topLeftCell="E4" zoomScale="90" workbookViewId="0">
      <selection activeCell="AC370" sqref="AC370"/>
    </sheetView>
  </sheetViews>
  <sheetFormatPr defaultColWidth="9.140625" defaultRowHeight="10.5" customHeight="1"/>
  <cols>
    <col min="1" max="3" width="4.140625" style="2443" hidden="1" customWidth="1"/>
    <col min="4" max="4" width="4.140625" style="2406" hidden="1" customWidth="1"/>
    <col min="5" max="5" width="3" style="2400" customWidth="1"/>
    <col min="6" max="6" width="14" style="2400" customWidth="1"/>
    <col min="7" max="7" width="3" style="2400" customWidth="1"/>
    <col min="8" max="8" width="7" style="2400" customWidth="1"/>
    <col min="9" max="10" width="16" style="2400" customWidth="1"/>
    <col min="11" max="11" width="25" style="2400" customWidth="1"/>
    <col min="12" max="12" width="7" style="2400" customWidth="1"/>
    <col min="13" max="13" width="15" style="2400" customWidth="1"/>
    <col min="14" max="14" width="3" style="2400" customWidth="1"/>
    <col min="15" max="15" width="4" style="2400" customWidth="1"/>
    <col min="16" max="16" width="8" style="2400" customWidth="1"/>
    <col min="17" max="17" width="21" style="2400" customWidth="1"/>
    <col min="18" max="18" width="14" style="2400" customWidth="1"/>
    <col min="19" max="20" width="17" style="2400" customWidth="1"/>
    <col min="21" max="21" width="9" style="2400" customWidth="1"/>
    <col min="22" max="22" width="12" style="2400" customWidth="1"/>
    <col min="23" max="23" width="9" style="2400" customWidth="1"/>
    <col min="24" max="24" width="21" style="2400" customWidth="1"/>
    <col min="25" max="25" width="12" style="2400" customWidth="1"/>
    <col min="26" max="26" width="3" style="2400" customWidth="1"/>
    <col min="27" max="27" width="6" style="2400" customWidth="1"/>
    <col min="28" max="28" width="38" style="2400" customWidth="1"/>
    <col min="29" max="29" width="15" style="2400" customWidth="1"/>
    <col min="30" max="30" width="37.5703125" style="2400" hidden="1" customWidth="1"/>
    <col min="31" max="31" width="15.7109375" style="2400" hidden="1" customWidth="1"/>
    <col min="32" max="34" width="16" style="2400" customWidth="1"/>
    <col min="35" max="37" width="16.7109375" style="2400" hidden="1" customWidth="1"/>
    <col min="38" max="58" width="8" style="2400" customWidth="1"/>
    <col min="59" max="59" width="9.140625" style="2400" hidden="1"/>
  </cols>
  <sheetData>
    <row r="1" spans="1:59" s="2406" customFormat="1" ht="10.5" hidden="1" customHeight="1">
      <c r="A1" s="820"/>
      <c r="B1" s="820"/>
      <c r="C1" s="820"/>
      <c r="E1" s="473"/>
      <c r="H1" s="1078"/>
      <c r="L1" s="1047"/>
      <c r="M1" s="1047"/>
      <c r="AD1" s="1047"/>
      <c r="AH1" s="1066"/>
      <c r="AI1" s="1059"/>
      <c r="BG1" s="353" t="s">
        <v>14</v>
      </c>
    </row>
    <row r="2" spans="1:59" ht="10.5" hidden="1" customHeight="1">
      <c r="BG2" s="692">
        <v>0</v>
      </c>
    </row>
    <row r="3" spans="1:59" s="2398" customFormat="1" ht="10.5" hidden="1" customHeight="1">
      <c r="A3" s="820"/>
      <c r="B3" s="820"/>
      <c r="C3" s="820"/>
      <c r="D3" s="353"/>
      <c r="E3" s="298"/>
      <c r="H3" s="1074"/>
      <c r="L3" s="1045"/>
      <c r="M3" s="1045"/>
      <c r="AD3" s="1045"/>
      <c r="AH3" s="1064"/>
      <c r="AI3" s="1057"/>
      <c r="BG3" s="693">
        <v>0</v>
      </c>
    </row>
    <row r="4" spans="1:59" ht="3" customHeight="1">
      <c r="BG4" s="692">
        <v>3</v>
      </c>
    </row>
    <row r="5" spans="1:59" ht="27.4" customHeight="1">
      <c r="F5" s="262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23"/>
      <c r="H5" s="2623"/>
      <c r="I5" s="2623"/>
      <c r="J5" s="2623"/>
      <c r="K5" s="2623"/>
      <c r="L5" s="1054"/>
      <c r="M5" s="1054"/>
      <c r="AG5" s="831"/>
      <c r="AH5" s="1067"/>
      <c r="BG5" s="692">
        <v>26</v>
      </c>
    </row>
    <row r="6" spans="1:59" ht="10.5" customHeight="1">
      <c r="F6" s="2595" t="str">
        <f>IF(org=0,"Не определено",org)</f>
        <v>ПАО "ТГК-1" (филиал "Кольский")</v>
      </c>
      <c r="G6" s="2595"/>
      <c r="H6" s="2595"/>
      <c r="I6" s="2595"/>
      <c r="J6" s="2595"/>
      <c r="K6" s="2595"/>
      <c r="L6" s="1055"/>
      <c r="M6" s="1055"/>
      <c r="BG6" s="692">
        <v>10</v>
      </c>
    </row>
    <row r="7" spans="1:59" ht="11.45" customHeight="1">
      <c r="E7" s="833"/>
      <c r="F7" s="844"/>
      <c r="G7" s="844"/>
      <c r="H7" s="1102"/>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780" t="s">
        <v>291</v>
      </c>
      <c r="G8" s="2781"/>
      <c r="H8" s="2781"/>
      <c r="I8" s="2781"/>
      <c r="J8" s="2781"/>
      <c r="K8" s="2781"/>
      <c r="L8" s="2781"/>
      <c r="M8" s="2781"/>
      <c r="N8" s="2781"/>
      <c r="O8" s="2781"/>
      <c r="P8" s="2781"/>
      <c r="Q8" s="2781"/>
      <c r="R8" s="2781"/>
      <c r="S8" s="2781"/>
      <c r="T8" s="2781"/>
      <c r="U8" s="2781"/>
      <c r="V8" s="2781"/>
      <c r="W8" s="2781"/>
      <c r="X8" s="2781"/>
      <c r="Y8" s="2781"/>
      <c r="Z8" s="2781"/>
      <c r="AA8" s="2781"/>
      <c r="AB8" s="2781"/>
      <c r="AC8" s="2781"/>
      <c r="AD8" s="2781"/>
      <c r="AE8" s="2781"/>
      <c r="AF8" s="2781"/>
      <c r="AG8" s="2781"/>
      <c r="AH8" s="2781"/>
      <c r="AI8" s="2781"/>
      <c r="AJ8" s="2781"/>
      <c r="AK8" s="2782"/>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603" t="s">
        <v>989</v>
      </c>
      <c r="G9" s="2704" t="s">
        <v>990</v>
      </c>
      <c r="H9" s="2745"/>
      <c r="I9" s="2514" t="s">
        <v>991</v>
      </c>
      <c r="J9" s="2514"/>
      <c r="K9" s="2514" t="s">
        <v>992</v>
      </c>
      <c r="L9" s="2514"/>
      <c r="M9" s="2514"/>
      <c r="N9" s="2514"/>
      <c r="O9" s="2514"/>
      <c r="P9" s="2514"/>
      <c r="Q9" s="2514"/>
      <c r="R9" s="2514"/>
      <c r="S9" s="2514"/>
      <c r="T9" s="2514"/>
      <c r="U9" s="2514"/>
      <c r="V9" s="2514"/>
      <c r="W9" s="2514"/>
      <c r="X9" s="2514"/>
      <c r="Y9" s="2514"/>
      <c r="Z9" s="2574" t="s">
        <v>993</v>
      </c>
      <c r="AA9" s="2575"/>
      <c r="AB9" s="2514" t="s">
        <v>994</v>
      </c>
      <c r="AC9" s="2514"/>
      <c r="AD9" s="2514"/>
      <c r="AE9" s="2514"/>
      <c r="AF9" s="2573" t="s">
        <v>995</v>
      </c>
      <c r="AG9" s="2514" t="s">
        <v>996</v>
      </c>
      <c r="AH9" s="2514"/>
      <c r="AI9" s="2573" t="s">
        <v>997</v>
      </c>
      <c r="AJ9" s="2514" t="s">
        <v>998</v>
      </c>
      <c r="AK9" s="2514"/>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603"/>
      <c r="G10" s="2705"/>
      <c r="H10" s="2607"/>
      <c r="I10" s="2514"/>
      <c r="J10" s="2514"/>
      <c r="K10" s="2514" t="s">
        <v>999</v>
      </c>
      <c r="L10" s="2496" t="s">
        <v>1000</v>
      </c>
      <c r="M10" s="2495"/>
      <c r="N10" s="2514" t="s">
        <v>1001</v>
      </c>
      <c r="O10" s="2514"/>
      <c r="P10" s="2514"/>
      <c r="Q10" s="2514"/>
      <c r="R10" s="2514"/>
      <c r="S10" s="2514"/>
      <c r="T10" s="2514"/>
      <c r="U10" s="2514"/>
      <c r="V10" s="2514"/>
      <c r="W10" s="2514"/>
      <c r="X10" s="2514"/>
      <c r="Y10" s="2514"/>
      <c r="Z10" s="2576"/>
      <c r="AA10" s="2577"/>
      <c r="AB10" s="2514"/>
      <c r="AC10" s="2514"/>
      <c r="AD10" s="2514"/>
      <c r="AE10" s="2514"/>
      <c r="AF10" s="2578"/>
      <c r="AG10" s="2514"/>
      <c r="AH10" s="2514"/>
      <c r="AI10" s="2578"/>
      <c r="AJ10" s="2514"/>
      <c r="AK10" s="2514"/>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400" customFormat="1" ht="25.15" customHeight="1">
      <c r="A11" s="1048"/>
      <c r="B11" s="1048"/>
      <c r="C11" s="1048"/>
      <c r="D11" s="1047"/>
      <c r="E11" s="1049"/>
      <c r="F11" s="2603"/>
      <c r="G11" s="2705"/>
      <c r="H11" s="2607"/>
      <c r="I11" s="2514"/>
      <c r="J11" s="2514"/>
      <c r="K11" s="2514"/>
      <c r="L11" s="2573" t="s">
        <v>1002</v>
      </c>
      <c r="M11" s="2573" t="s">
        <v>1003</v>
      </c>
      <c r="N11" s="2514" t="s">
        <v>1004</v>
      </c>
      <c r="O11" s="2514"/>
      <c r="P11" s="2571" t="s">
        <v>973</v>
      </c>
      <c r="Q11" s="2571" t="s">
        <v>1005</v>
      </c>
      <c r="R11" s="2571" t="s">
        <v>1006</v>
      </c>
      <c r="S11" s="2571" t="s">
        <v>1007</v>
      </c>
      <c r="T11" s="2571"/>
      <c r="U11" s="2571"/>
      <c r="V11" s="2571"/>
      <c r="W11" s="2571"/>
      <c r="X11" s="2571"/>
      <c r="Y11" s="2571"/>
      <c r="Z11" s="2576"/>
      <c r="AA11" s="2577"/>
      <c r="AB11" s="2514" t="s">
        <v>1008</v>
      </c>
      <c r="AC11" s="2514"/>
      <c r="AD11" s="2496" t="s">
        <v>1009</v>
      </c>
      <c r="AE11" s="2495"/>
      <c r="AF11" s="2578"/>
      <c r="AG11" s="2514"/>
      <c r="AH11" s="2514"/>
      <c r="AI11" s="2578"/>
      <c r="AJ11" s="2514"/>
      <c r="AK11" s="2514"/>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603"/>
      <c r="G12" s="2706"/>
      <c r="H12" s="2779"/>
      <c r="I12" s="1071" t="s">
        <v>85</v>
      </c>
      <c r="J12" s="1071" t="s">
        <v>1010</v>
      </c>
      <c r="K12" s="2514"/>
      <c r="L12" s="2628"/>
      <c r="M12" s="2628"/>
      <c r="N12" s="2514"/>
      <c r="O12" s="2514"/>
      <c r="P12" s="2571"/>
      <c r="Q12" s="2571"/>
      <c r="R12" s="2571"/>
      <c r="S12" s="1053" t="s">
        <v>82</v>
      </c>
      <c r="T12" s="1053" t="s">
        <v>83</v>
      </c>
      <c r="U12" s="1053" t="s">
        <v>81</v>
      </c>
      <c r="V12" s="1053" t="s">
        <v>1011</v>
      </c>
      <c r="W12" s="1053" t="s">
        <v>81</v>
      </c>
      <c r="X12" s="1053" t="s">
        <v>1012</v>
      </c>
      <c r="Y12" s="1053" t="s">
        <v>1013</v>
      </c>
      <c r="Z12" s="2579"/>
      <c r="AA12" s="2580"/>
      <c r="AB12" s="1060" t="s">
        <v>1014</v>
      </c>
      <c r="AC12" s="1060" t="s">
        <v>1015</v>
      </c>
      <c r="AD12" s="1060" t="s">
        <v>1014</v>
      </c>
      <c r="AE12" s="1060" t="s">
        <v>1015</v>
      </c>
      <c r="AF12" s="2628"/>
      <c r="AG12" s="1072" t="s">
        <v>1016</v>
      </c>
      <c r="AH12" s="1072" t="s">
        <v>1017</v>
      </c>
      <c r="AI12" s="2628"/>
      <c r="AJ12" s="1072" t="s">
        <v>1016</v>
      </c>
      <c r="AK12" s="1072" t="s">
        <v>1017</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5" t="s">
        <v>984</v>
      </c>
      <c r="B14" s="1084"/>
      <c r="C14" s="1084"/>
      <c r="D14" s="1078"/>
      <c r="E14" s="1088" t="s">
        <v>22</v>
      </c>
      <c r="F14" s="1041" t="str">
        <f>INDEX(IP_MAIN_LIST_NAME_IP,MATCH(A14,IP_MAIN_LIST_IP_ID,0))&amp;" ("&amp;INDEX(IP_MAIN_START_DATE,MATCH(A14,IP_MAIN_LIST_IP_ID,0))&amp;"-"&amp;INDEX(IP_MAIN_END_DATE,MATCH(A14,IP_MAIN_LIST_IP_ID,0))&amp;")"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G14" s="1042"/>
      <c r="H14" s="1042"/>
      <c r="I14" s="1103"/>
      <c r="J14" s="1103"/>
      <c r="K14" s="1104"/>
      <c r="L14" s="1104"/>
      <c r="M14" s="1104"/>
      <c r="N14" s="1105"/>
      <c r="O14" s="1105"/>
      <c r="P14" s="1105"/>
      <c r="Q14" s="1105"/>
      <c r="R14" s="1105"/>
      <c r="S14" s="1105"/>
      <c r="T14" s="1105"/>
      <c r="U14" s="1105"/>
      <c r="V14" s="1105"/>
      <c r="W14" s="1105"/>
      <c r="X14" s="1105"/>
      <c r="Y14" s="1105"/>
      <c r="Z14" s="1105"/>
      <c r="AA14" s="1105"/>
      <c r="AB14" s="1105"/>
      <c r="AC14" s="1105"/>
      <c r="AD14" s="1105"/>
      <c r="AE14" s="1106"/>
      <c r="AF14" s="1104"/>
      <c r="AG14" s="1104"/>
      <c r="AH14" s="1104"/>
      <c r="AI14" s="1104"/>
      <c r="AJ14" s="1104"/>
      <c r="AK14" s="1104"/>
      <c r="AL14" s="1900"/>
      <c r="AM14" s="1738"/>
      <c r="AN14" s="1738"/>
      <c r="AO14" s="1738"/>
      <c r="AP14" s="1738"/>
      <c r="AQ14" s="1738"/>
      <c r="AR14" s="1738"/>
      <c r="AS14" s="1738"/>
      <c r="AT14" s="1738"/>
      <c r="AU14" s="1738"/>
      <c r="AV14" s="1738"/>
      <c r="AW14" s="1738"/>
      <c r="AX14" s="1738"/>
      <c r="AY14" s="1738"/>
      <c r="AZ14" s="1738"/>
      <c r="BA14" s="1738"/>
      <c r="BB14" s="1738"/>
      <c r="BC14" s="1738"/>
      <c r="BD14" s="1738"/>
      <c r="BE14" s="1738"/>
      <c r="BF14" s="1738"/>
      <c r="BG14" s="2010"/>
    </row>
    <row r="15" spans="1:59" ht="0.75" customHeight="1">
      <c r="A15" s="1084" t="s">
        <v>984</v>
      </c>
      <c r="B15" s="1084"/>
      <c r="C15" s="1084"/>
      <c r="D15" s="1078"/>
      <c r="E15" s="1088"/>
      <c r="F15" s="2790">
        <v>2023</v>
      </c>
      <c r="G15" s="2787"/>
      <c r="H15" s="2794" t="s">
        <v>367</v>
      </c>
      <c r="I15" s="2795"/>
      <c r="J15" s="2786"/>
      <c r="K15" s="2786"/>
      <c r="L15" s="2788"/>
      <c r="M15" s="2639"/>
      <c r="N15" s="1948"/>
      <c r="O15" s="1947"/>
      <c r="P15" s="1948"/>
      <c r="Q15" s="1948"/>
      <c r="R15" s="1948"/>
      <c r="S15" s="1948"/>
      <c r="T15" s="1948"/>
      <c r="U15" s="1948"/>
      <c r="V15" s="1948"/>
      <c r="W15" s="1948"/>
      <c r="X15" s="1948"/>
      <c r="Y15" s="1948"/>
      <c r="Z15" s="1948"/>
      <c r="AA15" s="1948"/>
      <c r="AB15" s="1948"/>
      <c r="AC15" s="1948"/>
      <c r="AD15" s="1948"/>
      <c r="AE15" s="1948"/>
      <c r="AF15" s="2793"/>
      <c r="AG15" s="2788"/>
      <c r="AH15" s="2788"/>
      <c r="AI15" s="2793"/>
      <c r="AJ15" s="2788"/>
      <c r="AK15" s="2788"/>
      <c r="AL15" s="1900"/>
      <c r="AM15" s="1738"/>
      <c r="AN15" s="1738"/>
      <c r="AO15" s="1738"/>
      <c r="AP15" s="1738"/>
      <c r="AQ15" s="1738"/>
      <c r="AR15" s="1738"/>
      <c r="AS15" s="1738"/>
      <c r="AT15" s="1738"/>
      <c r="AU15" s="1738"/>
      <c r="AV15" s="1738"/>
      <c r="AW15" s="1738"/>
      <c r="AX15" s="1738"/>
      <c r="AY15" s="1738"/>
      <c r="AZ15" s="1738"/>
      <c r="BA15" s="1738"/>
      <c r="BB15" s="1738"/>
      <c r="BC15" s="1738"/>
      <c r="BD15" s="1738"/>
      <c r="BE15" s="1738"/>
      <c r="BF15" s="1738"/>
      <c r="BG15" s="2010"/>
    </row>
    <row r="16" spans="1:59" ht="0.75" customHeight="1">
      <c r="A16" s="1084" t="s">
        <v>984</v>
      </c>
      <c r="B16" s="1084"/>
      <c r="C16" s="1084"/>
      <c r="D16" s="1078"/>
      <c r="E16" s="1088"/>
      <c r="F16" s="2790"/>
      <c r="G16" s="2787"/>
      <c r="H16" s="2794"/>
      <c r="I16" s="2795"/>
      <c r="J16" s="2786"/>
      <c r="K16" s="2786"/>
      <c r="L16" s="2788"/>
      <c r="M16" s="2639"/>
      <c r="N16" s="2796"/>
      <c r="O16" s="2797"/>
      <c r="P16" s="2783"/>
      <c r="Q16" s="2786"/>
      <c r="R16" s="2786"/>
      <c r="S16" s="2786"/>
      <c r="T16" s="2786"/>
      <c r="U16" s="2786"/>
      <c r="V16" s="2786"/>
      <c r="W16" s="2786"/>
      <c r="X16" s="2786"/>
      <c r="Y16" s="2786"/>
      <c r="Z16" s="1949"/>
      <c r="AA16" s="1950"/>
      <c r="AB16" s="1950"/>
      <c r="AC16" s="1951"/>
      <c r="AD16" s="1951"/>
      <c r="AE16" s="1952"/>
      <c r="AF16" s="2793"/>
      <c r="AG16" s="2788"/>
      <c r="AH16" s="2788"/>
      <c r="AI16" s="2793"/>
      <c r="AJ16" s="2788"/>
      <c r="AK16" s="2788"/>
      <c r="AL16" s="1900"/>
      <c r="AM16" s="1738"/>
      <c r="AN16" s="1738"/>
      <c r="AO16" s="1738"/>
      <c r="AP16" s="1738"/>
      <c r="AQ16" s="1738"/>
      <c r="AR16" s="1738"/>
      <c r="AS16" s="1738"/>
      <c r="AT16" s="1738"/>
      <c r="AU16" s="1738"/>
      <c r="AV16" s="1738"/>
      <c r="AW16" s="1738"/>
      <c r="AX16" s="1738"/>
      <c r="AY16" s="1738"/>
      <c r="AZ16" s="1738"/>
      <c r="BA16" s="1738"/>
      <c r="BB16" s="1738"/>
      <c r="BC16" s="1738"/>
      <c r="BD16" s="1738"/>
      <c r="BE16" s="1738"/>
      <c r="BF16" s="1738"/>
      <c r="BG16" s="2010"/>
    </row>
    <row r="17" spans="1:59" ht="0.75" customHeight="1">
      <c r="A17" s="1084" t="s">
        <v>984</v>
      </c>
      <c r="B17" s="1084"/>
      <c r="C17" s="1084"/>
      <c r="D17" s="1078"/>
      <c r="E17" s="1088"/>
      <c r="F17" s="2790"/>
      <c r="G17" s="2787"/>
      <c r="H17" s="2794"/>
      <c r="I17" s="2795"/>
      <c r="J17" s="2786"/>
      <c r="K17" s="2786"/>
      <c r="L17" s="2788"/>
      <c r="M17" s="2639"/>
      <c r="N17" s="2796"/>
      <c r="O17" s="2797"/>
      <c r="P17" s="2784"/>
      <c r="Q17" s="2786"/>
      <c r="R17" s="2786"/>
      <c r="S17" s="2786"/>
      <c r="T17" s="2786"/>
      <c r="U17" s="2786"/>
      <c r="V17" s="2786"/>
      <c r="W17" s="2786"/>
      <c r="X17" s="2786"/>
      <c r="Y17" s="2786"/>
      <c r="Z17" s="1953"/>
      <c r="AA17" s="1954"/>
      <c r="AB17" s="1955"/>
      <c r="AC17" s="1956"/>
      <c r="AD17" s="1955"/>
      <c r="AE17" s="1956"/>
      <c r="AF17" s="2793"/>
      <c r="AG17" s="2788"/>
      <c r="AH17" s="2788"/>
      <c r="AI17" s="2793"/>
      <c r="AJ17" s="2788"/>
      <c r="AK17" s="2788"/>
      <c r="AL17" s="1900"/>
      <c r="AM17" s="1738"/>
      <c r="AN17" s="1738"/>
      <c r="AO17" s="1738"/>
      <c r="AP17" s="1738"/>
      <c r="AQ17" s="1738"/>
      <c r="AR17" s="1738"/>
      <c r="AS17" s="1738"/>
      <c r="AT17" s="1738"/>
      <c r="AU17" s="1738"/>
      <c r="AV17" s="1738"/>
      <c r="AW17" s="1738"/>
      <c r="AX17" s="1738"/>
      <c r="AY17" s="1738"/>
      <c r="AZ17" s="1738"/>
      <c r="BA17" s="1738"/>
      <c r="BB17" s="1738"/>
      <c r="BC17" s="1738"/>
      <c r="BD17" s="1738"/>
      <c r="BE17" s="1738"/>
      <c r="BF17" s="1738"/>
      <c r="BG17" s="2010"/>
    </row>
    <row r="18" spans="1:59" ht="0.75" customHeight="1">
      <c r="A18" s="1084" t="s">
        <v>984</v>
      </c>
      <c r="B18" s="1084"/>
      <c r="C18" s="1084"/>
      <c r="D18" s="1078"/>
      <c r="E18" s="1088"/>
      <c r="F18" s="2790"/>
      <c r="G18" s="2787"/>
      <c r="H18" s="2794"/>
      <c r="I18" s="2795"/>
      <c r="J18" s="2786"/>
      <c r="K18" s="2786"/>
      <c r="L18" s="2788"/>
      <c r="M18" s="2639"/>
      <c r="N18" s="2796"/>
      <c r="O18" s="2797"/>
      <c r="P18" s="2785"/>
      <c r="Q18" s="2786"/>
      <c r="R18" s="2786"/>
      <c r="S18" s="2786"/>
      <c r="T18" s="2786"/>
      <c r="U18" s="2786"/>
      <c r="V18" s="2786"/>
      <c r="W18" s="2786"/>
      <c r="X18" s="2786"/>
      <c r="Y18" s="2786"/>
      <c r="Z18" s="1949"/>
      <c r="AA18" s="1950"/>
      <c r="AB18" s="1957"/>
      <c r="AC18" s="1951"/>
      <c r="AD18" s="1951"/>
      <c r="AE18" s="1958"/>
      <c r="AF18" s="2793"/>
      <c r="AG18" s="2788"/>
      <c r="AH18" s="2788"/>
      <c r="AI18" s="2793"/>
      <c r="AJ18" s="2788"/>
      <c r="AK18" s="2788"/>
      <c r="AL18" s="1900"/>
      <c r="AM18" s="1738"/>
      <c r="AN18" s="1738"/>
      <c r="AO18" s="1738"/>
      <c r="AP18" s="1738"/>
      <c r="AQ18" s="1738"/>
      <c r="AR18" s="1738"/>
      <c r="AS18" s="1738"/>
      <c r="AT18" s="1738"/>
      <c r="AU18" s="1738"/>
      <c r="AV18" s="1738"/>
      <c r="AW18" s="1738"/>
      <c r="AX18" s="1738"/>
      <c r="AY18" s="1738"/>
      <c r="AZ18" s="1738"/>
      <c r="BA18" s="1738"/>
      <c r="BB18" s="1738"/>
      <c r="BC18" s="1738"/>
      <c r="BD18" s="1738"/>
      <c r="BE18" s="1738"/>
      <c r="BF18" s="1738"/>
      <c r="BG18" s="2010"/>
    </row>
    <row r="19" spans="1:59" ht="0.75" customHeight="1">
      <c r="A19" s="1084" t="s">
        <v>984</v>
      </c>
      <c r="B19" s="1084"/>
      <c r="C19" s="1084"/>
      <c r="D19" s="1078"/>
      <c r="E19" s="1088"/>
      <c r="F19" s="2790"/>
      <c r="G19" s="2787"/>
      <c r="H19" s="2794"/>
      <c r="I19" s="2795"/>
      <c r="J19" s="2786"/>
      <c r="K19" s="2786"/>
      <c r="L19" s="2788"/>
      <c r="M19" s="2639"/>
      <c r="N19" s="1950"/>
      <c r="O19" s="1950"/>
      <c r="P19" s="1957"/>
      <c r="Q19" s="1950"/>
      <c r="R19" s="1950"/>
      <c r="S19" s="1950"/>
      <c r="T19" s="1950"/>
      <c r="U19" s="1950"/>
      <c r="V19" s="1950"/>
      <c r="W19" s="1950"/>
      <c r="X19" s="1950"/>
      <c r="Y19" s="1950"/>
      <c r="Z19" s="1950"/>
      <c r="AA19" s="1950"/>
      <c r="AB19" s="1950"/>
      <c r="AC19" s="1950"/>
      <c r="AD19" s="1950"/>
      <c r="AE19" s="1959"/>
      <c r="AF19" s="2793"/>
      <c r="AG19" s="2788"/>
      <c r="AH19" s="2788"/>
      <c r="AI19" s="2793"/>
      <c r="AJ19" s="2788"/>
      <c r="AK19" s="2788"/>
      <c r="AL19" s="1900"/>
      <c r="AM19" s="1738"/>
      <c r="AN19" s="1738"/>
      <c r="AO19" s="1738"/>
      <c r="AP19" s="1738"/>
      <c r="AQ19" s="1738"/>
      <c r="AR19" s="1738"/>
      <c r="AS19" s="1738"/>
      <c r="AT19" s="1738"/>
      <c r="AU19" s="1738"/>
      <c r="AV19" s="1738"/>
      <c r="AW19" s="1738"/>
      <c r="AX19" s="1738"/>
      <c r="AY19" s="1738"/>
      <c r="AZ19" s="1738"/>
      <c r="BA19" s="1738"/>
      <c r="BB19" s="1738"/>
      <c r="BC19" s="1738"/>
      <c r="BD19" s="1738"/>
      <c r="BE19" s="1738"/>
      <c r="BF19" s="1738"/>
      <c r="BG19" s="2010"/>
    </row>
    <row r="20" spans="1:59" ht="11.25" customHeight="1">
      <c r="A20" s="1084" t="s">
        <v>984</v>
      </c>
      <c r="B20" s="1084" t="s">
        <v>1018</v>
      </c>
      <c r="C20" s="1084"/>
      <c r="D20" s="1078"/>
      <c r="E20" s="1088"/>
      <c r="F20" s="2791"/>
      <c r="G20" s="2776" t="s">
        <v>680</v>
      </c>
      <c r="H20" s="2787" t="s">
        <v>102</v>
      </c>
      <c r="I20" s="2799" t="s">
        <v>1019</v>
      </c>
      <c r="J20" s="2800" t="s">
        <v>1020</v>
      </c>
      <c r="K20" s="2801" t="s">
        <v>1021</v>
      </c>
      <c r="L20" s="2524" t="s">
        <v>19</v>
      </c>
      <c r="M20" s="2525"/>
      <c r="N20" s="1898"/>
      <c r="O20" s="1095" t="s">
        <v>367</v>
      </c>
      <c r="P20" s="1096"/>
      <c r="Q20" s="1096"/>
      <c r="R20" s="1096"/>
      <c r="S20" s="1096"/>
      <c r="T20" s="1096"/>
      <c r="U20" s="1096"/>
      <c r="V20" s="1096"/>
      <c r="W20" s="1096"/>
      <c r="X20" s="1096"/>
      <c r="Y20" s="1096"/>
      <c r="Z20" s="1096"/>
      <c r="AA20" s="1096"/>
      <c r="AB20" s="1096"/>
      <c r="AC20" s="1096"/>
      <c r="AD20" s="1096"/>
      <c r="AE20" s="1096"/>
      <c r="AF20" s="2802">
        <v>5</v>
      </c>
      <c r="AG20" s="2803" t="s">
        <v>1022</v>
      </c>
      <c r="AH20" s="2803" t="s">
        <v>1023</v>
      </c>
      <c r="AI20" s="2802"/>
      <c r="AJ20" s="2803"/>
      <c r="AK20" s="2803"/>
      <c r="AL20" s="1900"/>
      <c r="AM20" s="1738"/>
      <c r="AN20" s="1738"/>
      <c r="AO20" s="1738"/>
      <c r="AP20" s="1738"/>
      <c r="AQ20" s="1738"/>
      <c r="AR20" s="1738"/>
      <c r="AS20" s="1738"/>
      <c r="AT20" s="1738"/>
      <c r="AU20" s="1738"/>
      <c r="AV20" s="1738"/>
      <c r="AW20" s="1738"/>
      <c r="AX20" s="1738"/>
      <c r="AY20" s="1738"/>
      <c r="AZ20" s="1738"/>
      <c r="BA20" s="1738"/>
      <c r="BB20" s="1738"/>
      <c r="BC20" s="1738"/>
      <c r="BD20" s="1738"/>
      <c r="BE20" s="1738"/>
      <c r="BF20" s="1738"/>
      <c r="BG20" s="2010"/>
    </row>
    <row r="21" spans="1:59" ht="11.25" customHeight="1">
      <c r="A21" s="1084" t="s">
        <v>984</v>
      </c>
      <c r="B21" s="1084"/>
      <c r="C21" s="1084"/>
      <c r="D21" s="1078"/>
      <c r="E21" s="1088"/>
      <c r="F21" s="2791"/>
      <c r="G21" s="2798"/>
      <c r="H21" s="2787" t="s">
        <v>367</v>
      </c>
      <c r="I21" s="2799"/>
      <c r="J21" s="2800"/>
      <c r="K21" s="2801"/>
      <c r="L21" s="2524"/>
      <c r="M21" s="2525"/>
      <c r="N21" s="2804"/>
      <c r="O21" s="2805">
        <v>1</v>
      </c>
      <c r="P21" s="2806" t="s">
        <v>65</v>
      </c>
      <c r="Q21" s="2800" t="s">
        <v>1024</v>
      </c>
      <c r="R21" s="2809" t="s">
        <v>1025</v>
      </c>
      <c r="S21" s="2809" t="s">
        <v>1026</v>
      </c>
      <c r="T21" s="2809" t="s">
        <v>1026</v>
      </c>
      <c r="U21" s="2809" t="s">
        <v>1027</v>
      </c>
      <c r="V21" s="2809" t="s">
        <v>1028</v>
      </c>
      <c r="W21" s="2809" t="s">
        <v>1029</v>
      </c>
      <c r="X21" s="2809" t="s">
        <v>1030</v>
      </c>
      <c r="Y21" s="2809" t="s">
        <v>1031</v>
      </c>
      <c r="Z21" s="1093"/>
      <c r="AA21" s="1094"/>
      <c r="AB21" s="1094"/>
      <c r="AC21" s="1098"/>
      <c r="AD21" s="1098"/>
      <c r="AE21" s="1099"/>
      <c r="AF21" s="2802"/>
      <c r="AG21" s="2803"/>
      <c r="AH21" s="2803"/>
      <c r="AI21" s="2802"/>
      <c r="AJ21" s="2803"/>
      <c r="AK21" s="2803"/>
      <c r="AL21" s="1900"/>
      <c r="AM21" s="1738"/>
      <c r="AN21" s="1738"/>
      <c r="AO21" s="1738"/>
      <c r="AP21" s="1738"/>
      <c r="AQ21" s="1738"/>
      <c r="AR21" s="1738"/>
      <c r="AS21" s="1738"/>
      <c r="AT21" s="1738"/>
      <c r="AU21" s="1738"/>
      <c r="AV21" s="1738"/>
      <c r="AW21" s="1738"/>
      <c r="AX21" s="1738"/>
      <c r="AY21" s="1738"/>
      <c r="AZ21" s="1738"/>
      <c r="BA21" s="1738"/>
      <c r="BB21" s="1738"/>
      <c r="BC21" s="1738"/>
      <c r="BD21" s="1738"/>
      <c r="BE21" s="1738"/>
      <c r="BF21" s="1738"/>
      <c r="BG21" s="2010"/>
    </row>
    <row r="22" spans="1:59" ht="11.25" customHeight="1">
      <c r="A22" s="1084" t="s">
        <v>984</v>
      </c>
      <c r="B22" s="1084"/>
      <c r="C22" s="1084"/>
      <c r="D22" s="1078"/>
      <c r="E22" s="1088"/>
      <c r="F22" s="2791"/>
      <c r="G22" s="2798"/>
      <c r="H22" s="2787" t="s">
        <v>367</v>
      </c>
      <c r="I22" s="2799"/>
      <c r="J22" s="2800"/>
      <c r="K22" s="2801"/>
      <c r="L22" s="2524"/>
      <c r="M22" s="2525"/>
      <c r="N22" s="2804"/>
      <c r="O22" s="2805"/>
      <c r="P22" s="2807"/>
      <c r="Q22" s="2800"/>
      <c r="R22" s="2759"/>
      <c r="S22" s="2809"/>
      <c r="T22" s="2759"/>
      <c r="U22" s="2759"/>
      <c r="V22" s="2759"/>
      <c r="W22" s="2759"/>
      <c r="X22" s="2759"/>
      <c r="Y22" s="2759"/>
      <c r="Z22" s="1743"/>
      <c r="AA22" s="1711">
        <v>1</v>
      </c>
      <c r="AB22" s="1097" t="s">
        <v>1032</v>
      </c>
      <c r="AC22" s="1087">
        <v>18094.48</v>
      </c>
      <c r="AD22" s="1097" t="str">
        <f>AB22</f>
        <v xml:space="preserve">      Амортизационные отчисления с выделением результатов переоценки основных средств и нематериальных активов</v>
      </c>
      <c r="AE22" s="1087"/>
      <c r="AF22" s="2802"/>
      <c r="AG22" s="2803"/>
      <c r="AH22" s="2803"/>
      <c r="AI22" s="2802"/>
      <c r="AJ22" s="2803"/>
      <c r="AK22" s="2803"/>
      <c r="AL22" s="1900"/>
      <c r="AM22" s="1738"/>
      <c r="AN22" s="1738"/>
      <c r="AO22" s="1738"/>
      <c r="AP22" s="1738"/>
      <c r="AQ22" s="1738"/>
      <c r="AR22" s="1738"/>
      <c r="AS22" s="1738"/>
      <c r="AT22" s="1738"/>
      <c r="AU22" s="1738"/>
      <c r="AV22" s="1738"/>
      <c r="AW22" s="1738"/>
      <c r="AX22" s="1738"/>
      <c r="AY22" s="1738"/>
      <c r="AZ22" s="1738"/>
      <c r="BA22" s="1738"/>
      <c r="BB22" s="1738"/>
      <c r="BC22" s="1738"/>
      <c r="BD22" s="1738"/>
      <c r="BE22" s="1738"/>
      <c r="BF22" s="1738"/>
      <c r="BG22" s="2010"/>
    </row>
    <row r="23" spans="1:59" ht="11.25" customHeight="1">
      <c r="A23" s="1084" t="s">
        <v>984</v>
      </c>
      <c r="B23" s="1084"/>
      <c r="C23" s="1084"/>
      <c r="D23" s="1078"/>
      <c r="E23" s="1088"/>
      <c r="F23" s="2791"/>
      <c r="G23" s="2798"/>
      <c r="H23" s="2787" t="s">
        <v>367</v>
      </c>
      <c r="I23" s="2799"/>
      <c r="J23" s="2800"/>
      <c r="K23" s="2801"/>
      <c r="L23" s="2524"/>
      <c r="M23" s="2525"/>
      <c r="N23" s="2804"/>
      <c r="O23" s="2805"/>
      <c r="P23" s="2808"/>
      <c r="Q23" s="2800"/>
      <c r="R23" s="2759"/>
      <c r="S23" s="2809"/>
      <c r="T23" s="2759"/>
      <c r="U23" s="2759"/>
      <c r="V23" s="2759"/>
      <c r="W23" s="2759"/>
      <c r="X23" s="2759"/>
      <c r="Y23" s="2759"/>
      <c r="Z23" s="1093"/>
      <c r="AA23" s="1094"/>
      <c r="AB23" s="1159" t="s">
        <v>1033</v>
      </c>
      <c r="AC23" s="1098"/>
      <c r="AD23" s="1098"/>
      <c r="AE23" s="1100"/>
      <c r="AF23" s="2802"/>
      <c r="AG23" s="2803"/>
      <c r="AH23" s="2803"/>
      <c r="AI23" s="2802"/>
      <c r="AJ23" s="2803"/>
      <c r="AK23" s="2803"/>
      <c r="AL23" s="1900"/>
      <c r="AM23" s="1738"/>
      <c r="AN23" s="1738"/>
      <c r="AO23" s="1738"/>
      <c r="AP23" s="1738"/>
      <c r="AQ23" s="1738"/>
      <c r="AR23" s="1738"/>
      <c r="AS23" s="1738"/>
      <c r="AT23" s="1738"/>
      <c r="AU23" s="1738"/>
      <c r="AV23" s="1738"/>
      <c r="AW23" s="1738"/>
      <c r="AX23" s="1738"/>
      <c r="AY23" s="1738"/>
      <c r="AZ23" s="1738"/>
      <c r="BA23" s="1738"/>
      <c r="BB23" s="1738"/>
      <c r="BC23" s="1738"/>
      <c r="BD23" s="1738"/>
      <c r="BE23" s="1738"/>
      <c r="BF23" s="1738"/>
      <c r="BG23" s="2010"/>
    </row>
    <row r="24" spans="1:59" ht="11.25" customHeight="1">
      <c r="A24" s="1084" t="s">
        <v>984</v>
      </c>
      <c r="B24" s="1084"/>
      <c r="C24" s="1084"/>
      <c r="D24" s="1078"/>
      <c r="E24" s="1088"/>
      <c r="F24" s="2791"/>
      <c r="G24" s="2798"/>
      <c r="H24" s="2787" t="s">
        <v>367</v>
      </c>
      <c r="I24" s="2799"/>
      <c r="J24" s="2800"/>
      <c r="K24" s="2801"/>
      <c r="L24" s="2524"/>
      <c r="M24" s="2525"/>
      <c r="N24" s="1093"/>
      <c r="O24" s="1094"/>
      <c r="P24" s="1086" t="s">
        <v>1034</v>
      </c>
      <c r="Q24" s="1094"/>
      <c r="R24" s="1094"/>
      <c r="S24" s="1094"/>
      <c r="T24" s="1094"/>
      <c r="U24" s="1094"/>
      <c r="V24" s="1094"/>
      <c r="W24" s="1094"/>
      <c r="X24" s="1094"/>
      <c r="Y24" s="1094"/>
      <c r="Z24" s="1094"/>
      <c r="AA24" s="1094"/>
      <c r="AB24" s="1094"/>
      <c r="AC24" s="1094"/>
      <c r="AD24" s="1094"/>
      <c r="AE24" s="1101"/>
      <c r="AF24" s="2802"/>
      <c r="AG24" s="2803"/>
      <c r="AH24" s="2803"/>
      <c r="AI24" s="2802"/>
      <c r="AJ24" s="2803"/>
      <c r="AK24" s="2803"/>
      <c r="AL24" s="1900"/>
      <c r="AM24" s="1738"/>
      <c r="AN24" s="1738"/>
      <c r="AO24" s="1738"/>
      <c r="AP24" s="1738"/>
      <c r="AQ24" s="1738"/>
      <c r="AR24" s="1738"/>
      <c r="AS24" s="1738"/>
      <c r="AT24" s="1738"/>
      <c r="AU24" s="1738"/>
      <c r="AV24" s="1738"/>
      <c r="AW24" s="1738"/>
      <c r="AX24" s="1738"/>
      <c r="AY24" s="1738"/>
      <c r="AZ24" s="1738"/>
      <c r="BA24" s="1738"/>
      <c r="BB24" s="1738"/>
      <c r="BC24" s="1738"/>
      <c r="BD24" s="1738"/>
      <c r="BE24" s="1738"/>
      <c r="BF24" s="1738"/>
      <c r="BG24" s="2010"/>
    </row>
    <row r="25" spans="1:59" ht="11.25" customHeight="1">
      <c r="A25" s="1084" t="s">
        <v>984</v>
      </c>
      <c r="B25" s="1084" t="s">
        <v>1018</v>
      </c>
      <c r="C25" s="1084"/>
      <c r="D25" s="1078"/>
      <c r="E25" s="1088"/>
      <c r="F25" s="2791"/>
      <c r="G25" s="2776" t="s">
        <v>680</v>
      </c>
      <c r="H25" s="2787" t="s">
        <v>103</v>
      </c>
      <c r="I25" s="2799" t="s">
        <v>1019</v>
      </c>
      <c r="J25" s="2800" t="s">
        <v>1035</v>
      </c>
      <c r="K25" s="2801" t="s">
        <v>1036</v>
      </c>
      <c r="L25" s="2524" t="s">
        <v>19</v>
      </c>
      <c r="M25" s="2525"/>
      <c r="N25" s="1898"/>
      <c r="O25" s="1095" t="s">
        <v>367</v>
      </c>
      <c r="P25" s="1096"/>
      <c r="Q25" s="1096"/>
      <c r="R25" s="1096"/>
      <c r="S25" s="1096"/>
      <c r="T25" s="1096"/>
      <c r="U25" s="1096"/>
      <c r="V25" s="1096"/>
      <c r="W25" s="1096"/>
      <c r="X25" s="1096"/>
      <c r="Y25" s="1096"/>
      <c r="Z25" s="1096"/>
      <c r="AA25" s="1096"/>
      <c r="AB25" s="1096"/>
      <c r="AC25" s="1096"/>
      <c r="AD25" s="1096"/>
      <c r="AE25" s="1096"/>
      <c r="AF25" s="2802">
        <v>2</v>
      </c>
      <c r="AG25" s="2803" t="s">
        <v>1037</v>
      </c>
      <c r="AH25" s="2803" t="s">
        <v>1038</v>
      </c>
      <c r="AI25" s="2802"/>
      <c r="AJ25" s="2803"/>
      <c r="AK25" s="2803"/>
      <c r="AL25" s="1900"/>
      <c r="AM25" s="1738"/>
      <c r="AN25" s="1738"/>
      <c r="AO25" s="1738"/>
      <c r="AP25" s="1738"/>
      <c r="AQ25" s="1738"/>
      <c r="AR25" s="1738"/>
      <c r="AS25" s="1738"/>
      <c r="AT25" s="1738"/>
      <c r="AU25" s="1738"/>
      <c r="AV25" s="1738"/>
      <c r="AW25" s="1738"/>
      <c r="AX25" s="1738"/>
      <c r="AY25" s="1738"/>
      <c r="AZ25" s="1738"/>
      <c r="BA25" s="1738"/>
      <c r="BB25" s="1738"/>
      <c r="BC25" s="1738"/>
      <c r="BD25" s="1738"/>
      <c r="BE25" s="1738"/>
      <c r="BF25" s="1738"/>
      <c r="BG25" s="2010"/>
    </row>
    <row r="26" spans="1:59" ht="11.25" customHeight="1">
      <c r="A26" s="1084" t="s">
        <v>984</v>
      </c>
      <c r="B26" s="1084"/>
      <c r="C26" s="1084"/>
      <c r="D26" s="1078"/>
      <c r="E26" s="1088"/>
      <c r="F26" s="2791"/>
      <c r="G26" s="2798"/>
      <c r="H26" s="2787" t="s">
        <v>102</v>
      </c>
      <c r="I26" s="2799"/>
      <c r="J26" s="2800"/>
      <c r="K26" s="2801"/>
      <c r="L26" s="2524"/>
      <c r="M26" s="2525"/>
      <c r="N26" s="2804"/>
      <c r="O26" s="2805">
        <v>1</v>
      </c>
      <c r="P26" s="2806" t="s">
        <v>65</v>
      </c>
      <c r="Q26" s="2800" t="s">
        <v>1024</v>
      </c>
      <c r="R26" s="2809" t="s">
        <v>1025</v>
      </c>
      <c r="S26" s="2809" t="s">
        <v>1026</v>
      </c>
      <c r="T26" s="2809" t="s">
        <v>1026</v>
      </c>
      <c r="U26" s="2809" t="s">
        <v>1027</v>
      </c>
      <c r="V26" s="2809" t="s">
        <v>1028</v>
      </c>
      <c r="W26" s="2809" t="s">
        <v>1029</v>
      </c>
      <c r="X26" s="2809" t="s">
        <v>1030</v>
      </c>
      <c r="Y26" s="2809" t="s">
        <v>1031</v>
      </c>
      <c r="Z26" s="1093"/>
      <c r="AA26" s="1094"/>
      <c r="AB26" s="1094"/>
      <c r="AC26" s="1098"/>
      <c r="AD26" s="1098"/>
      <c r="AE26" s="1099"/>
      <c r="AF26" s="2802"/>
      <c r="AG26" s="2803"/>
      <c r="AH26" s="2803"/>
      <c r="AI26" s="2802"/>
      <c r="AJ26" s="2803"/>
      <c r="AK26" s="2803"/>
      <c r="AL26" s="1900"/>
      <c r="AM26" s="1738"/>
      <c r="AN26" s="1738"/>
      <c r="AO26" s="1738"/>
      <c r="AP26" s="1738"/>
      <c r="AQ26" s="1738"/>
      <c r="AR26" s="1738"/>
      <c r="AS26" s="1738"/>
      <c r="AT26" s="1738"/>
      <c r="AU26" s="1738"/>
      <c r="AV26" s="1738"/>
      <c r="AW26" s="1738"/>
      <c r="AX26" s="1738"/>
      <c r="AY26" s="1738"/>
      <c r="AZ26" s="1738"/>
      <c r="BA26" s="1738"/>
      <c r="BB26" s="1738"/>
      <c r="BC26" s="1738"/>
      <c r="BD26" s="1738"/>
      <c r="BE26" s="1738"/>
      <c r="BF26" s="1738"/>
      <c r="BG26" s="2010"/>
    </row>
    <row r="27" spans="1:59" ht="11.25" customHeight="1">
      <c r="A27" s="1084" t="s">
        <v>984</v>
      </c>
      <c r="B27" s="1084"/>
      <c r="C27" s="1084"/>
      <c r="D27" s="1078"/>
      <c r="E27" s="1088"/>
      <c r="F27" s="2791"/>
      <c r="G27" s="2798"/>
      <c r="H27" s="2787" t="s">
        <v>102</v>
      </c>
      <c r="I27" s="2799"/>
      <c r="J27" s="2800"/>
      <c r="K27" s="2801"/>
      <c r="L27" s="2524"/>
      <c r="M27" s="2525"/>
      <c r="N27" s="2804"/>
      <c r="O27" s="2805"/>
      <c r="P27" s="2807"/>
      <c r="Q27" s="2800"/>
      <c r="R27" s="2759"/>
      <c r="S27" s="2809"/>
      <c r="T27" s="2759"/>
      <c r="U27" s="2759"/>
      <c r="V27" s="2759"/>
      <c r="W27" s="2759"/>
      <c r="X27" s="2759"/>
      <c r="Y27" s="2759"/>
      <c r="Z27" s="1743"/>
      <c r="AA27" s="1711">
        <v>1</v>
      </c>
      <c r="AB27" s="1097" t="s">
        <v>1032</v>
      </c>
      <c r="AC27" s="1087">
        <v>4787.6318300000003</v>
      </c>
      <c r="AD27" s="1097" t="str">
        <f>AB27</f>
        <v xml:space="preserve">      Амортизационные отчисления с выделением результатов переоценки основных средств и нематериальных активов</v>
      </c>
      <c r="AE27" s="1087"/>
      <c r="AF27" s="2802"/>
      <c r="AG27" s="2803"/>
      <c r="AH27" s="2803"/>
      <c r="AI27" s="2802"/>
      <c r="AJ27" s="2803"/>
      <c r="AK27" s="2803"/>
      <c r="AL27" s="1900"/>
      <c r="AM27" s="1738"/>
      <c r="AN27" s="1738"/>
      <c r="AO27" s="1738"/>
      <c r="AP27" s="1738"/>
      <c r="AQ27" s="1738"/>
      <c r="AR27" s="1738"/>
      <c r="AS27" s="1738"/>
      <c r="AT27" s="1738"/>
      <c r="AU27" s="1738"/>
      <c r="AV27" s="1738"/>
      <c r="AW27" s="1738"/>
      <c r="AX27" s="1738"/>
      <c r="AY27" s="1738"/>
      <c r="AZ27" s="1738"/>
      <c r="BA27" s="1738"/>
      <c r="BB27" s="1738"/>
      <c r="BC27" s="1738"/>
      <c r="BD27" s="1738"/>
      <c r="BE27" s="1738"/>
      <c r="BF27" s="1738"/>
      <c r="BG27" s="2010"/>
    </row>
    <row r="28" spans="1:59" ht="11.25" customHeight="1">
      <c r="A28" s="1084" t="s">
        <v>984</v>
      </c>
      <c r="B28" s="1084"/>
      <c r="C28" s="1084"/>
      <c r="D28" s="1078"/>
      <c r="E28" s="1088"/>
      <c r="F28" s="2791"/>
      <c r="G28" s="2798"/>
      <c r="H28" s="2787" t="s">
        <v>102</v>
      </c>
      <c r="I28" s="2799"/>
      <c r="J28" s="2800"/>
      <c r="K28" s="2801"/>
      <c r="L28" s="2524"/>
      <c r="M28" s="2525"/>
      <c r="N28" s="2804"/>
      <c r="O28" s="2805"/>
      <c r="P28" s="2808"/>
      <c r="Q28" s="2800"/>
      <c r="R28" s="2759"/>
      <c r="S28" s="2809"/>
      <c r="T28" s="2759"/>
      <c r="U28" s="2759"/>
      <c r="V28" s="2759"/>
      <c r="W28" s="2759"/>
      <c r="X28" s="2759"/>
      <c r="Y28" s="2759"/>
      <c r="Z28" s="1093"/>
      <c r="AA28" s="1094"/>
      <c r="AB28" s="1159" t="s">
        <v>1033</v>
      </c>
      <c r="AC28" s="1098"/>
      <c r="AD28" s="1098"/>
      <c r="AE28" s="1100"/>
      <c r="AF28" s="2802"/>
      <c r="AG28" s="2803"/>
      <c r="AH28" s="2803"/>
      <c r="AI28" s="2802"/>
      <c r="AJ28" s="2803"/>
      <c r="AK28" s="2803"/>
      <c r="AL28" s="1900"/>
      <c r="AM28" s="1738"/>
      <c r="AN28" s="1738"/>
      <c r="AO28" s="1738"/>
      <c r="AP28" s="1738"/>
      <c r="AQ28" s="1738"/>
      <c r="AR28" s="1738"/>
      <c r="AS28" s="1738"/>
      <c r="AT28" s="1738"/>
      <c r="AU28" s="1738"/>
      <c r="AV28" s="1738"/>
      <c r="AW28" s="1738"/>
      <c r="AX28" s="1738"/>
      <c r="AY28" s="1738"/>
      <c r="AZ28" s="1738"/>
      <c r="BA28" s="1738"/>
      <c r="BB28" s="1738"/>
      <c r="BC28" s="1738"/>
      <c r="BD28" s="1738"/>
      <c r="BE28" s="1738"/>
      <c r="BF28" s="1738"/>
      <c r="BG28" s="2010"/>
    </row>
    <row r="29" spans="1:59" ht="11.25" customHeight="1">
      <c r="A29" s="1084" t="s">
        <v>984</v>
      </c>
      <c r="B29" s="1084"/>
      <c r="C29" s="1084"/>
      <c r="D29" s="1078"/>
      <c r="E29" s="1088"/>
      <c r="F29" s="2791"/>
      <c r="G29" s="2798"/>
      <c r="H29" s="2787" t="s">
        <v>102</v>
      </c>
      <c r="I29" s="2799"/>
      <c r="J29" s="2800"/>
      <c r="K29" s="2801"/>
      <c r="L29" s="2524"/>
      <c r="M29" s="2525"/>
      <c r="N29" s="1093"/>
      <c r="O29" s="1094"/>
      <c r="P29" s="1086" t="s">
        <v>1034</v>
      </c>
      <c r="Q29" s="1094"/>
      <c r="R29" s="1094"/>
      <c r="S29" s="1094"/>
      <c r="T29" s="1094"/>
      <c r="U29" s="1094"/>
      <c r="V29" s="1094"/>
      <c r="W29" s="1094"/>
      <c r="X29" s="1094"/>
      <c r="Y29" s="1094"/>
      <c r="Z29" s="1094"/>
      <c r="AA29" s="1094"/>
      <c r="AB29" s="1094"/>
      <c r="AC29" s="1094"/>
      <c r="AD29" s="1094"/>
      <c r="AE29" s="1101"/>
      <c r="AF29" s="2802"/>
      <c r="AG29" s="2803"/>
      <c r="AH29" s="2803"/>
      <c r="AI29" s="2802"/>
      <c r="AJ29" s="2803"/>
      <c r="AK29" s="2803"/>
      <c r="AL29" s="1900"/>
      <c r="AM29" s="1738"/>
      <c r="AN29" s="1738"/>
      <c r="AO29" s="1738"/>
      <c r="AP29" s="1738"/>
      <c r="AQ29" s="1738"/>
      <c r="AR29" s="1738"/>
      <c r="AS29" s="1738"/>
      <c r="AT29" s="1738"/>
      <c r="AU29" s="1738"/>
      <c r="AV29" s="1738"/>
      <c r="AW29" s="1738"/>
      <c r="AX29" s="1738"/>
      <c r="AY29" s="1738"/>
      <c r="AZ29" s="1738"/>
      <c r="BA29" s="1738"/>
      <c r="BB29" s="1738"/>
      <c r="BC29" s="1738"/>
      <c r="BD29" s="1738"/>
      <c r="BE29" s="1738"/>
      <c r="BF29" s="1738"/>
      <c r="BG29" s="2010"/>
    </row>
    <row r="30" spans="1:59" ht="11.25" customHeight="1">
      <c r="A30" s="1084" t="s">
        <v>984</v>
      </c>
      <c r="B30" s="1084" t="s">
        <v>1018</v>
      </c>
      <c r="C30" s="1084"/>
      <c r="D30" s="1078"/>
      <c r="E30" s="1088"/>
      <c r="F30" s="2791"/>
      <c r="G30" s="2776" t="s">
        <v>680</v>
      </c>
      <c r="H30" s="2787" t="s">
        <v>86</v>
      </c>
      <c r="I30" s="2799" t="s">
        <v>1019</v>
      </c>
      <c r="J30" s="2800" t="s">
        <v>1035</v>
      </c>
      <c r="K30" s="2801" t="s">
        <v>1039</v>
      </c>
      <c r="L30" s="2524" t="s">
        <v>19</v>
      </c>
      <c r="M30" s="2525"/>
      <c r="N30" s="1898"/>
      <c r="O30" s="1095" t="s">
        <v>367</v>
      </c>
      <c r="P30" s="1096"/>
      <c r="Q30" s="1096"/>
      <c r="R30" s="1096"/>
      <c r="S30" s="1096"/>
      <c r="T30" s="1096"/>
      <c r="U30" s="1096"/>
      <c r="V30" s="1096"/>
      <c r="W30" s="1096"/>
      <c r="X30" s="1096"/>
      <c r="Y30" s="1096"/>
      <c r="Z30" s="1096"/>
      <c r="AA30" s="1096"/>
      <c r="AB30" s="1096"/>
      <c r="AC30" s="1096"/>
      <c r="AD30" s="1096"/>
      <c r="AE30" s="1096"/>
      <c r="AF30" s="2802">
        <v>4</v>
      </c>
      <c r="AG30" s="2803" t="s">
        <v>1022</v>
      </c>
      <c r="AH30" s="2803" t="s">
        <v>1040</v>
      </c>
      <c r="AI30" s="2802"/>
      <c r="AJ30" s="2803"/>
      <c r="AK30" s="2803"/>
      <c r="AL30" s="1900"/>
      <c r="AM30" s="1738"/>
      <c r="AN30" s="1738"/>
      <c r="AO30" s="1738"/>
      <c r="AP30" s="1738"/>
      <c r="AQ30" s="1738"/>
      <c r="AR30" s="1738"/>
      <c r="AS30" s="1738"/>
      <c r="AT30" s="1738"/>
      <c r="AU30" s="1738"/>
      <c r="AV30" s="1738"/>
      <c r="AW30" s="1738"/>
      <c r="AX30" s="1738"/>
      <c r="AY30" s="1738"/>
      <c r="AZ30" s="1738"/>
      <c r="BA30" s="1738"/>
      <c r="BB30" s="1738"/>
      <c r="BC30" s="1738"/>
      <c r="BD30" s="1738"/>
      <c r="BE30" s="1738"/>
      <c r="BF30" s="1738"/>
      <c r="BG30" s="2010"/>
    </row>
    <row r="31" spans="1:59" ht="11.25" customHeight="1">
      <c r="A31" s="1084" t="s">
        <v>984</v>
      </c>
      <c r="B31" s="1084"/>
      <c r="C31" s="1084"/>
      <c r="D31" s="1078"/>
      <c r="E31" s="1088"/>
      <c r="F31" s="2791"/>
      <c r="G31" s="2798"/>
      <c r="H31" s="2787" t="s">
        <v>103</v>
      </c>
      <c r="I31" s="2799"/>
      <c r="J31" s="2800"/>
      <c r="K31" s="2801"/>
      <c r="L31" s="2524"/>
      <c r="M31" s="2525"/>
      <c r="N31" s="2804"/>
      <c r="O31" s="2805">
        <v>1</v>
      </c>
      <c r="P31" s="2806" t="s">
        <v>65</v>
      </c>
      <c r="Q31" s="2800" t="s">
        <v>1024</v>
      </c>
      <c r="R31" s="2809" t="s">
        <v>1025</v>
      </c>
      <c r="S31" s="2809" t="s">
        <v>1026</v>
      </c>
      <c r="T31" s="2809" t="s">
        <v>1026</v>
      </c>
      <c r="U31" s="2809" t="s">
        <v>1027</v>
      </c>
      <c r="V31" s="2809" t="s">
        <v>1028</v>
      </c>
      <c r="W31" s="2809" t="s">
        <v>1029</v>
      </c>
      <c r="X31" s="2809" t="s">
        <v>1030</v>
      </c>
      <c r="Y31" s="2809" t="s">
        <v>1031</v>
      </c>
      <c r="Z31" s="1093"/>
      <c r="AA31" s="1094"/>
      <c r="AB31" s="1094"/>
      <c r="AC31" s="1098"/>
      <c r="AD31" s="1098"/>
      <c r="AE31" s="1099"/>
      <c r="AF31" s="2802"/>
      <c r="AG31" s="2803"/>
      <c r="AH31" s="2803"/>
      <c r="AI31" s="2802"/>
      <c r="AJ31" s="2803"/>
      <c r="AK31" s="2803"/>
      <c r="AL31" s="1900"/>
      <c r="AM31" s="1738"/>
      <c r="AN31" s="1738"/>
      <c r="AO31" s="1738"/>
      <c r="AP31" s="1738"/>
      <c r="AQ31" s="1738"/>
      <c r="AR31" s="1738"/>
      <c r="AS31" s="1738"/>
      <c r="AT31" s="1738"/>
      <c r="AU31" s="1738"/>
      <c r="AV31" s="1738"/>
      <c r="AW31" s="1738"/>
      <c r="AX31" s="1738"/>
      <c r="AY31" s="1738"/>
      <c r="AZ31" s="1738"/>
      <c r="BA31" s="1738"/>
      <c r="BB31" s="1738"/>
      <c r="BC31" s="1738"/>
      <c r="BD31" s="1738"/>
      <c r="BE31" s="1738"/>
      <c r="BF31" s="1738"/>
      <c r="BG31" s="2010"/>
    </row>
    <row r="32" spans="1:59" ht="11.25" customHeight="1">
      <c r="A32" s="1084" t="s">
        <v>984</v>
      </c>
      <c r="B32" s="1084"/>
      <c r="C32" s="1084"/>
      <c r="D32" s="1078"/>
      <c r="E32" s="1088"/>
      <c r="F32" s="2791"/>
      <c r="G32" s="2798"/>
      <c r="H32" s="2787" t="s">
        <v>103</v>
      </c>
      <c r="I32" s="2799"/>
      <c r="J32" s="2800"/>
      <c r="K32" s="2801"/>
      <c r="L32" s="2524"/>
      <c r="M32" s="2525"/>
      <c r="N32" s="2804"/>
      <c r="O32" s="2805"/>
      <c r="P32" s="2807"/>
      <c r="Q32" s="2800"/>
      <c r="R32" s="2759"/>
      <c r="S32" s="2809"/>
      <c r="T32" s="2759"/>
      <c r="U32" s="2759"/>
      <c r="V32" s="2759"/>
      <c r="W32" s="2759"/>
      <c r="X32" s="2759"/>
      <c r="Y32" s="2759"/>
      <c r="Z32" s="1743"/>
      <c r="AA32" s="1711">
        <v>1</v>
      </c>
      <c r="AB32" s="1097" t="s">
        <v>1032</v>
      </c>
      <c r="AC32" s="1087">
        <v>2354.5680000000002</v>
      </c>
      <c r="AD32" s="1097" t="str">
        <f>AB32</f>
        <v xml:space="preserve">      Амортизационные отчисления с выделением результатов переоценки основных средств и нематериальных активов</v>
      </c>
      <c r="AE32" s="1087"/>
      <c r="AF32" s="2802"/>
      <c r="AG32" s="2803"/>
      <c r="AH32" s="2803"/>
      <c r="AI32" s="2802"/>
      <c r="AJ32" s="2803"/>
      <c r="AK32" s="2803"/>
      <c r="AL32" s="1900"/>
      <c r="AM32" s="1738"/>
      <c r="AN32" s="1738"/>
      <c r="AO32" s="1738"/>
      <c r="AP32" s="1738"/>
      <c r="AQ32" s="1738"/>
      <c r="AR32" s="1738"/>
      <c r="AS32" s="1738"/>
      <c r="AT32" s="1738"/>
      <c r="AU32" s="1738"/>
      <c r="AV32" s="1738"/>
      <c r="AW32" s="1738"/>
      <c r="AX32" s="1738"/>
      <c r="AY32" s="1738"/>
      <c r="AZ32" s="1738"/>
      <c r="BA32" s="1738"/>
      <c r="BB32" s="1738"/>
      <c r="BC32" s="1738"/>
      <c r="BD32" s="1738"/>
      <c r="BE32" s="1738"/>
      <c r="BF32" s="1738"/>
      <c r="BG32" s="2010"/>
    </row>
    <row r="33" spans="1:59" ht="11.25" customHeight="1">
      <c r="A33" s="1084" t="s">
        <v>984</v>
      </c>
      <c r="B33" s="1084"/>
      <c r="C33" s="1084"/>
      <c r="D33" s="1078"/>
      <c r="E33" s="1088"/>
      <c r="F33" s="2791"/>
      <c r="G33" s="2798"/>
      <c r="H33" s="2787" t="s">
        <v>103</v>
      </c>
      <c r="I33" s="2799"/>
      <c r="J33" s="2800"/>
      <c r="K33" s="2801"/>
      <c r="L33" s="2524"/>
      <c r="M33" s="2525"/>
      <c r="N33" s="2804"/>
      <c r="O33" s="2805"/>
      <c r="P33" s="2808"/>
      <c r="Q33" s="2800"/>
      <c r="R33" s="2759"/>
      <c r="S33" s="2809"/>
      <c r="T33" s="2759"/>
      <c r="U33" s="2759"/>
      <c r="V33" s="2759"/>
      <c r="W33" s="2759"/>
      <c r="X33" s="2759"/>
      <c r="Y33" s="2759"/>
      <c r="Z33" s="1093"/>
      <c r="AA33" s="1094"/>
      <c r="AB33" s="1159" t="s">
        <v>1033</v>
      </c>
      <c r="AC33" s="1098"/>
      <c r="AD33" s="1098"/>
      <c r="AE33" s="1100"/>
      <c r="AF33" s="2802"/>
      <c r="AG33" s="2803"/>
      <c r="AH33" s="2803"/>
      <c r="AI33" s="2802"/>
      <c r="AJ33" s="2803"/>
      <c r="AK33" s="2803"/>
      <c r="AL33" s="1900"/>
      <c r="AM33" s="1738"/>
      <c r="AN33" s="1738"/>
      <c r="AO33" s="1738"/>
      <c r="AP33" s="1738"/>
      <c r="AQ33" s="1738"/>
      <c r="AR33" s="1738"/>
      <c r="AS33" s="1738"/>
      <c r="AT33" s="1738"/>
      <c r="AU33" s="1738"/>
      <c r="AV33" s="1738"/>
      <c r="AW33" s="1738"/>
      <c r="AX33" s="1738"/>
      <c r="AY33" s="1738"/>
      <c r="AZ33" s="1738"/>
      <c r="BA33" s="1738"/>
      <c r="BB33" s="1738"/>
      <c r="BC33" s="1738"/>
      <c r="BD33" s="1738"/>
      <c r="BE33" s="1738"/>
      <c r="BF33" s="1738"/>
      <c r="BG33" s="2010"/>
    </row>
    <row r="34" spans="1:59" ht="11.25" customHeight="1">
      <c r="A34" s="1084" t="s">
        <v>984</v>
      </c>
      <c r="B34" s="1084"/>
      <c r="C34" s="1084"/>
      <c r="D34" s="1078"/>
      <c r="E34" s="1088"/>
      <c r="F34" s="2791"/>
      <c r="G34" s="2798"/>
      <c r="H34" s="2787" t="s">
        <v>103</v>
      </c>
      <c r="I34" s="2799"/>
      <c r="J34" s="2800"/>
      <c r="K34" s="2801"/>
      <c r="L34" s="2524"/>
      <c r="M34" s="2525"/>
      <c r="N34" s="1093"/>
      <c r="O34" s="1094"/>
      <c r="P34" s="1086" t="s">
        <v>1034</v>
      </c>
      <c r="Q34" s="1094"/>
      <c r="R34" s="1094"/>
      <c r="S34" s="1094"/>
      <c r="T34" s="1094"/>
      <c r="U34" s="1094"/>
      <c r="V34" s="1094"/>
      <c r="W34" s="1094"/>
      <c r="X34" s="1094"/>
      <c r="Y34" s="1094"/>
      <c r="Z34" s="1094"/>
      <c r="AA34" s="1094"/>
      <c r="AB34" s="1094"/>
      <c r="AC34" s="1094"/>
      <c r="AD34" s="1094"/>
      <c r="AE34" s="1101"/>
      <c r="AF34" s="2802"/>
      <c r="AG34" s="2803"/>
      <c r="AH34" s="2803"/>
      <c r="AI34" s="2802"/>
      <c r="AJ34" s="2803"/>
      <c r="AK34" s="2803"/>
      <c r="AL34" s="1900"/>
      <c r="AM34" s="1738"/>
      <c r="AN34" s="1738"/>
      <c r="AO34" s="1738"/>
      <c r="AP34" s="1738"/>
      <c r="AQ34" s="1738"/>
      <c r="AR34" s="1738"/>
      <c r="AS34" s="1738"/>
      <c r="AT34" s="1738"/>
      <c r="AU34" s="1738"/>
      <c r="AV34" s="1738"/>
      <c r="AW34" s="1738"/>
      <c r="AX34" s="1738"/>
      <c r="AY34" s="1738"/>
      <c r="AZ34" s="1738"/>
      <c r="BA34" s="1738"/>
      <c r="BB34" s="1738"/>
      <c r="BC34" s="1738"/>
      <c r="BD34" s="1738"/>
      <c r="BE34" s="1738"/>
      <c r="BF34" s="1738"/>
      <c r="BG34" s="2010"/>
    </row>
    <row r="35" spans="1:59" ht="11.25" customHeight="1">
      <c r="A35" s="1084" t="s">
        <v>984</v>
      </c>
      <c r="B35" s="1084" t="s">
        <v>1018</v>
      </c>
      <c r="C35" s="1084"/>
      <c r="D35" s="1078"/>
      <c r="E35" s="1088"/>
      <c r="F35" s="2791"/>
      <c r="G35" s="2776" t="s">
        <v>680</v>
      </c>
      <c r="H35" s="2787" t="s">
        <v>87</v>
      </c>
      <c r="I35" s="2799" t="s">
        <v>1019</v>
      </c>
      <c r="J35" s="2800" t="s">
        <v>1035</v>
      </c>
      <c r="K35" s="2801" t="s">
        <v>1041</v>
      </c>
      <c r="L35" s="2524" t="s">
        <v>19</v>
      </c>
      <c r="M35" s="2525"/>
      <c r="N35" s="1898"/>
      <c r="O35" s="1095" t="s">
        <v>367</v>
      </c>
      <c r="P35" s="1096"/>
      <c r="Q35" s="1096"/>
      <c r="R35" s="1096"/>
      <c r="S35" s="1096"/>
      <c r="T35" s="1096"/>
      <c r="U35" s="1096"/>
      <c r="V35" s="1096"/>
      <c r="W35" s="1096"/>
      <c r="X35" s="1096"/>
      <c r="Y35" s="1096"/>
      <c r="Z35" s="1096"/>
      <c r="AA35" s="1096"/>
      <c r="AB35" s="1096"/>
      <c r="AC35" s="1096"/>
      <c r="AD35" s="1096"/>
      <c r="AE35" s="1096"/>
      <c r="AF35" s="2802">
        <v>1</v>
      </c>
      <c r="AG35" s="2803" t="s">
        <v>1022</v>
      </c>
      <c r="AH35" s="2803" t="s">
        <v>1042</v>
      </c>
      <c r="AI35" s="2802"/>
      <c r="AJ35" s="2803"/>
      <c r="AK35" s="2803"/>
      <c r="AL35" s="1900"/>
      <c r="AM35" s="1738"/>
      <c r="AN35" s="1738"/>
      <c r="AO35" s="1738"/>
      <c r="AP35" s="1738"/>
      <c r="AQ35" s="1738"/>
      <c r="AR35" s="1738"/>
      <c r="AS35" s="1738"/>
      <c r="AT35" s="1738"/>
      <c r="AU35" s="1738"/>
      <c r="AV35" s="1738"/>
      <c r="AW35" s="1738"/>
      <c r="AX35" s="1738"/>
      <c r="AY35" s="1738"/>
      <c r="AZ35" s="1738"/>
      <c r="BA35" s="1738"/>
      <c r="BB35" s="1738"/>
      <c r="BC35" s="1738"/>
      <c r="BD35" s="1738"/>
      <c r="BE35" s="1738"/>
      <c r="BF35" s="1738"/>
      <c r="BG35" s="2010"/>
    </row>
    <row r="36" spans="1:59" ht="11.25" customHeight="1">
      <c r="A36" s="1084" t="s">
        <v>984</v>
      </c>
      <c r="B36" s="1084"/>
      <c r="C36" s="1084"/>
      <c r="D36" s="1078"/>
      <c r="E36" s="1088"/>
      <c r="F36" s="2791"/>
      <c r="G36" s="2798"/>
      <c r="H36" s="2787" t="s">
        <v>86</v>
      </c>
      <c r="I36" s="2799"/>
      <c r="J36" s="2800"/>
      <c r="K36" s="2801"/>
      <c r="L36" s="2524"/>
      <c r="M36" s="2525"/>
      <c r="N36" s="2804"/>
      <c r="O36" s="2805">
        <v>1</v>
      </c>
      <c r="P36" s="2806" t="s">
        <v>65</v>
      </c>
      <c r="Q36" s="2800" t="s">
        <v>1024</v>
      </c>
      <c r="R36" s="2809" t="s">
        <v>1025</v>
      </c>
      <c r="S36" s="2809" t="s">
        <v>1026</v>
      </c>
      <c r="T36" s="2809" t="s">
        <v>1026</v>
      </c>
      <c r="U36" s="2809" t="s">
        <v>1027</v>
      </c>
      <c r="V36" s="2809" t="s">
        <v>1028</v>
      </c>
      <c r="W36" s="2809" t="s">
        <v>1029</v>
      </c>
      <c r="X36" s="2809" t="s">
        <v>1030</v>
      </c>
      <c r="Y36" s="2809" t="s">
        <v>1031</v>
      </c>
      <c r="Z36" s="1093"/>
      <c r="AA36" s="1094"/>
      <c r="AB36" s="1094"/>
      <c r="AC36" s="1098"/>
      <c r="AD36" s="1098"/>
      <c r="AE36" s="1099"/>
      <c r="AF36" s="2802"/>
      <c r="AG36" s="2803"/>
      <c r="AH36" s="2803"/>
      <c r="AI36" s="2802"/>
      <c r="AJ36" s="2803"/>
      <c r="AK36" s="2803"/>
      <c r="AL36" s="1900"/>
      <c r="AM36" s="1738"/>
      <c r="AN36" s="1738"/>
      <c r="AO36" s="1738"/>
      <c r="AP36" s="1738"/>
      <c r="AQ36" s="1738"/>
      <c r="AR36" s="1738"/>
      <c r="AS36" s="1738"/>
      <c r="AT36" s="1738"/>
      <c r="AU36" s="1738"/>
      <c r="AV36" s="1738"/>
      <c r="AW36" s="1738"/>
      <c r="AX36" s="1738"/>
      <c r="AY36" s="1738"/>
      <c r="AZ36" s="1738"/>
      <c r="BA36" s="1738"/>
      <c r="BB36" s="1738"/>
      <c r="BC36" s="1738"/>
      <c r="BD36" s="1738"/>
      <c r="BE36" s="1738"/>
      <c r="BF36" s="1738"/>
      <c r="BG36" s="2010"/>
    </row>
    <row r="37" spans="1:59" ht="11.25" customHeight="1">
      <c r="A37" s="1084" t="s">
        <v>984</v>
      </c>
      <c r="B37" s="1084"/>
      <c r="C37" s="1084"/>
      <c r="D37" s="1078"/>
      <c r="E37" s="1088"/>
      <c r="F37" s="2791"/>
      <c r="G37" s="2798"/>
      <c r="H37" s="2787" t="s">
        <v>86</v>
      </c>
      <c r="I37" s="2799"/>
      <c r="J37" s="2800"/>
      <c r="K37" s="2801"/>
      <c r="L37" s="2524"/>
      <c r="M37" s="2525"/>
      <c r="N37" s="2804"/>
      <c r="O37" s="2805"/>
      <c r="P37" s="2807"/>
      <c r="Q37" s="2800"/>
      <c r="R37" s="2759"/>
      <c r="S37" s="2809"/>
      <c r="T37" s="2759"/>
      <c r="U37" s="2759"/>
      <c r="V37" s="2759"/>
      <c r="W37" s="2759"/>
      <c r="X37" s="2759"/>
      <c r="Y37" s="2759"/>
      <c r="Z37" s="1743"/>
      <c r="AA37" s="1711">
        <v>1</v>
      </c>
      <c r="AB37" s="1097" t="s">
        <v>1032</v>
      </c>
      <c r="AC37" s="1087">
        <v>3281.4436900000001</v>
      </c>
      <c r="AD37" s="1097" t="str">
        <f>AB37</f>
        <v xml:space="preserve">      Амортизационные отчисления с выделением результатов переоценки основных средств и нематериальных активов</v>
      </c>
      <c r="AE37" s="1087"/>
      <c r="AF37" s="2802"/>
      <c r="AG37" s="2803"/>
      <c r="AH37" s="2803"/>
      <c r="AI37" s="2802"/>
      <c r="AJ37" s="2803"/>
      <c r="AK37" s="2803"/>
      <c r="AL37" s="1900"/>
      <c r="AM37" s="1738"/>
      <c r="AN37" s="1738"/>
      <c r="AO37" s="1738"/>
      <c r="AP37" s="1738"/>
      <c r="AQ37" s="1738"/>
      <c r="AR37" s="1738"/>
      <c r="AS37" s="1738"/>
      <c r="AT37" s="1738"/>
      <c r="AU37" s="1738"/>
      <c r="AV37" s="1738"/>
      <c r="AW37" s="1738"/>
      <c r="AX37" s="1738"/>
      <c r="AY37" s="1738"/>
      <c r="AZ37" s="1738"/>
      <c r="BA37" s="1738"/>
      <c r="BB37" s="1738"/>
      <c r="BC37" s="1738"/>
      <c r="BD37" s="1738"/>
      <c r="BE37" s="1738"/>
      <c r="BF37" s="1738"/>
      <c r="BG37" s="2010"/>
    </row>
    <row r="38" spans="1:59" ht="11.25" customHeight="1">
      <c r="A38" s="1084" t="s">
        <v>984</v>
      </c>
      <c r="B38" s="1084"/>
      <c r="C38" s="1084"/>
      <c r="D38" s="1078"/>
      <c r="E38" s="1088"/>
      <c r="F38" s="2791"/>
      <c r="G38" s="2798"/>
      <c r="H38" s="2787" t="s">
        <v>86</v>
      </c>
      <c r="I38" s="2799"/>
      <c r="J38" s="2800"/>
      <c r="K38" s="2801"/>
      <c r="L38" s="2524"/>
      <c r="M38" s="2525"/>
      <c r="N38" s="2804"/>
      <c r="O38" s="2805"/>
      <c r="P38" s="2808"/>
      <c r="Q38" s="2800"/>
      <c r="R38" s="2759"/>
      <c r="S38" s="2809"/>
      <c r="T38" s="2759"/>
      <c r="U38" s="2759"/>
      <c r="V38" s="2759"/>
      <c r="W38" s="2759"/>
      <c r="X38" s="2759"/>
      <c r="Y38" s="2759"/>
      <c r="Z38" s="1093"/>
      <c r="AA38" s="1094"/>
      <c r="AB38" s="1159" t="s">
        <v>1033</v>
      </c>
      <c r="AC38" s="1098"/>
      <c r="AD38" s="1098"/>
      <c r="AE38" s="1100"/>
      <c r="AF38" s="2802"/>
      <c r="AG38" s="2803"/>
      <c r="AH38" s="2803"/>
      <c r="AI38" s="2802"/>
      <c r="AJ38" s="2803"/>
      <c r="AK38" s="2803"/>
      <c r="AL38" s="1900"/>
      <c r="AM38" s="1738"/>
      <c r="AN38" s="1738"/>
      <c r="AO38" s="1738"/>
      <c r="AP38" s="1738"/>
      <c r="AQ38" s="1738"/>
      <c r="AR38" s="1738"/>
      <c r="AS38" s="1738"/>
      <c r="AT38" s="1738"/>
      <c r="AU38" s="1738"/>
      <c r="AV38" s="1738"/>
      <c r="AW38" s="1738"/>
      <c r="AX38" s="1738"/>
      <c r="AY38" s="1738"/>
      <c r="AZ38" s="1738"/>
      <c r="BA38" s="1738"/>
      <c r="BB38" s="1738"/>
      <c r="BC38" s="1738"/>
      <c r="BD38" s="1738"/>
      <c r="BE38" s="1738"/>
      <c r="BF38" s="1738"/>
      <c r="BG38" s="2010"/>
    </row>
    <row r="39" spans="1:59" ht="11.25" customHeight="1">
      <c r="A39" s="1084" t="s">
        <v>984</v>
      </c>
      <c r="B39" s="1084"/>
      <c r="C39" s="1084"/>
      <c r="D39" s="1078"/>
      <c r="E39" s="1088"/>
      <c r="F39" s="2791"/>
      <c r="G39" s="2798"/>
      <c r="H39" s="2787" t="s">
        <v>86</v>
      </c>
      <c r="I39" s="2799"/>
      <c r="J39" s="2800"/>
      <c r="K39" s="2801"/>
      <c r="L39" s="2524"/>
      <c r="M39" s="2525"/>
      <c r="N39" s="1093"/>
      <c r="O39" s="1094"/>
      <c r="P39" s="1086" t="s">
        <v>1034</v>
      </c>
      <c r="Q39" s="1094"/>
      <c r="R39" s="1094"/>
      <c r="S39" s="1094"/>
      <c r="T39" s="1094"/>
      <c r="U39" s="1094"/>
      <c r="V39" s="1094"/>
      <c r="W39" s="1094"/>
      <c r="X39" s="1094"/>
      <c r="Y39" s="1094"/>
      <c r="Z39" s="1094"/>
      <c r="AA39" s="1094"/>
      <c r="AB39" s="1094"/>
      <c r="AC39" s="1094"/>
      <c r="AD39" s="1094"/>
      <c r="AE39" s="1101"/>
      <c r="AF39" s="2802"/>
      <c r="AG39" s="2803"/>
      <c r="AH39" s="2803"/>
      <c r="AI39" s="2802"/>
      <c r="AJ39" s="2803"/>
      <c r="AK39" s="2803"/>
      <c r="AL39" s="1900"/>
      <c r="AM39" s="1738"/>
      <c r="AN39" s="1738"/>
      <c r="AO39" s="1738"/>
      <c r="AP39" s="1738"/>
      <c r="AQ39" s="1738"/>
      <c r="AR39" s="1738"/>
      <c r="AS39" s="1738"/>
      <c r="AT39" s="1738"/>
      <c r="AU39" s="1738"/>
      <c r="AV39" s="1738"/>
      <c r="AW39" s="1738"/>
      <c r="AX39" s="1738"/>
      <c r="AY39" s="1738"/>
      <c r="AZ39" s="1738"/>
      <c r="BA39" s="1738"/>
      <c r="BB39" s="1738"/>
      <c r="BC39" s="1738"/>
      <c r="BD39" s="1738"/>
      <c r="BE39" s="1738"/>
      <c r="BF39" s="1738"/>
      <c r="BG39" s="2010"/>
    </row>
    <row r="40" spans="1:59" ht="11.25" customHeight="1">
      <c r="A40" s="1084" t="s">
        <v>984</v>
      </c>
      <c r="B40" s="1084" t="s">
        <v>1018</v>
      </c>
      <c r="C40" s="1084"/>
      <c r="D40" s="1078"/>
      <c r="E40" s="1088"/>
      <c r="F40" s="2791"/>
      <c r="G40" s="2776" t="s">
        <v>680</v>
      </c>
      <c r="H40" s="2787" t="s">
        <v>104</v>
      </c>
      <c r="I40" s="2799" t="s">
        <v>1019</v>
      </c>
      <c r="J40" s="2800" t="s">
        <v>1035</v>
      </c>
      <c r="K40" s="2801" t="s">
        <v>1043</v>
      </c>
      <c r="L40" s="2524" t="s">
        <v>19</v>
      </c>
      <c r="M40" s="2525"/>
      <c r="N40" s="1898"/>
      <c r="O40" s="1095" t="s">
        <v>367</v>
      </c>
      <c r="P40" s="1096"/>
      <c r="Q40" s="1096"/>
      <c r="R40" s="1096"/>
      <c r="S40" s="1096"/>
      <c r="T40" s="1096"/>
      <c r="U40" s="1096"/>
      <c r="V40" s="1096"/>
      <c r="W40" s="1096"/>
      <c r="X40" s="1096"/>
      <c r="Y40" s="1096"/>
      <c r="Z40" s="1096"/>
      <c r="AA40" s="1096"/>
      <c r="AB40" s="1096"/>
      <c r="AC40" s="1096"/>
      <c r="AD40" s="1096"/>
      <c r="AE40" s="1096"/>
      <c r="AF40" s="2802">
        <v>4</v>
      </c>
      <c r="AG40" s="2803" t="s">
        <v>1022</v>
      </c>
      <c r="AH40" s="2803" t="s">
        <v>1040</v>
      </c>
      <c r="AI40" s="2802"/>
      <c r="AJ40" s="2803"/>
      <c r="AK40" s="2803"/>
      <c r="AL40" s="1900"/>
      <c r="AM40" s="1738"/>
      <c r="AN40" s="1738"/>
      <c r="AO40" s="1738"/>
      <c r="AP40" s="1738"/>
      <c r="AQ40" s="1738"/>
      <c r="AR40" s="1738"/>
      <c r="AS40" s="1738"/>
      <c r="AT40" s="1738"/>
      <c r="AU40" s="1738"/>
      <c r="AV40" s="1738"/>
      <c r="AW40" s="1738"/>
      <c r="AX40" s="1738"/>
      <c r="AY40" s="1738"/>
      <c r="AZ40" s="1738"/>
      <c r="BA40" s="1738"/>
      <c r="BB40" s="1738"/>
      <c r="BC40" s="1738"/>
      <c r="BD40" s="1738"/>
      <c r="BE40" s="1738"/>
      <c r="BF40" s="1738"/>
      <c r="BG40" s="2010"/>
    </row>
    <row r="41" spans="1:59" ht="11.25" customHeight="1">
      <c r="A41" s="1084" t="s">
        <v>984</v>
      </c>
      <c r="B41" s="1084"/>
      <c r="C41" s="1084"/>
      <c r="D41" s="1078"/>
      <c r="E41" s="1088"/>
      <c r="F41" s="2791"/>
      <c r="G41" s="2798"/>
      <c r="H41" s="2787" t="s">
        <v>87</v>
      </c>
      <c r="I41" s="2799"/>
      <c r="J41" s="2800"/>
      <c r="K41" s="2801"/>
      <c r="L41" s="2524"/>
      <c r="M41" s="2525"/>
      <c r="N41" s="2804"/>
      <c r="O41" s="2805">
        <v>1</v>
      </c>
      <c r="P41" s="2806" t="s">
        <v>65</v>
      </c>
      <c r="Q41" s="2800" t="s">
        <v>1024</v>
      </c>
      <c r="R41" s="2809" t="s">
        <v>1025</v>
      </c>
      <c r="S41" s="2809" t="s">
        <v>1026</v>
      </c>
      <c r="T41" s="2809" t="s">
        <v>1026</v>
      </c>
      <c r="U41" s="2809" t="s">
        <v>1027</v>
      </c>
      <c r="V41" s="2809" t="s">
        <v>1028</v>
      </c>
      <c r="W41" s="2809" t="s">
        <v>1029</v>
      </c>
      <c r="X41" s="2809" t="s">
        <v>1030</v>
      </c>
      <c r="Y41" s="2809" t="s">
        <v>1031</v>
      </c>
      <c r="Z41" s="1093"/>
      <c r="AA41" s="1094"/>
      <c r="AB41" s="1094"/>
      <c r="AC41" s="1098"/>
      <c r="AD41" s="1098"/>
      <c r="AE41" s="1099"/>
      <c r="AF41" s="2802"/>
      <c r="AG41" s="2803"/>
      <c r="AH41" s="2803"/>
      <c r="AI41" s="2802"/>
      <c r="AJ41" s="2803"/>
      <c r="AK41" s="2803"/>
      <c r="AL41" s="1900"/>
      <c r="AM41" s="1738"/>
      <c r="AN41" s="1738"/>
      <c r="AO41" s="1738"/>
      <c r="AP41" s="1738"/>
      <c r="AQ41" s="1738"/>
      <c r="AR41" s="1738"/>
      <c r="AS41" s="1738"/>
      <c r="AT41" s="1738"/>
      <c r="AU41" s="1738"/>
      <c r="AV41" s="1738"/>
      <c r="AW41" s="1738"/>
      <c r="AX41" s="1738"/>
      <c r="AY41" s="1738"/>
      <c r="AZ41" s="1738"/>
      <c r="BA41" s="1738"/>
      <c r="BB41" s="1738"/>
      <c r="BC41" s="1738"/>
      <c r="BD41" s="1738"/>
      <c r="BE41" s="1738"/>
      <c r="BF41" s="1738"/>
      <c r="BG41" s="2010"/>
    </row>
    <row r="42" spans="1:59" ht="11.25" customHeight="1">
      <c r="A42" s="1084" t="s">
        <v>984</v>
      </c>
      <c r="B42" s="1084"/>
      <c r="C42" s="1084"/>
      <c r="D42" s="1078"/>
      <c r="E42" s="1088"/>
      <c r="F42" s="2791"/>
      <c r="G42" s="2798"/>
      <c r="H42" s="2787" t="s">
        <v>87</v>
      </c>
      <c r="I42" s="2799"/>
      <c r="J42" s="2800"/>
      <c r="K42" s="2801"/>
      <c r="L42" s="2524"/>
      <c r="M42" s="2525"/>
      <c r="N42" s="2804"/>
      <c r="O42" s="2805"/>
      <c r="P42" s="2807"/>
      <c r="Q42" s="2800"/>
      <c r="R42" s="2759"/>
      <c r="S42" s="2809"/>
      <c r="T42" s="2759"/>
      <c r="U42" s="2759"/>
      <c r="V42" s="2759"/>
      <c r="W42" s="2759"/>
      <c r="X42" s="2759"/>
      <c r="Y42" s="2759"/>
      <c r="Z42" s="1743"/>
      <c r="AA42" s="1711">
        <v>1</v>
      </c>
      <c r="AB42" s="1097" t="s">
        <v>1032</v>
      </c>
      <c r="AC42" s="1087">
        <v>494.45927999999998</v>
      </c>
      <c r="AD42" s="1097" t="str">
        <f>AB42</f>
        <v xml:space="preserve">      Амортизационные отчисления с выделением результатов переоценки основных средств и нематериальных активов</v>
      </c>
      <c r="AE42" s="1087"/>
      <c r="AF42" s="2802"/>
      <c r="AG42" s="2803"/>
      <c r="AH42" s="2803"/>
      <c r="AI42" s="2802"/>
      <c r="AJ42" s="2803"/>
      <c r="AK42" s="2803"/>
      <c r="AL42" s="1900"/>
      <c r="AM42" s="1738"/>
      <c r="AN42" s="1738"/>
      <c r="AO42" s="1738"/>
      <c r="AP42" s="1738"/>
      <c r="AQ42" s="1738"/>
      <c r="AR42" s="1738"/>
      <c r="AS42" s="1738"/>
      <c r="AT42" s="1738"/>
      <c r="AU42" s="1738"/>
      <c r="AV42" s="1738"/>
      <c r="AW42" s="1738"/>
      <c r="AX42" s="1738"/>
      <c r="AY42" s="1738"/>
      <c r="AZ42" s="1738"/>
      <c r="BA42" s="1738"/>
      <c r="BB42" s="1738"/>
      <c r="BC42" s="1738"/>
      <c r="BD42" s="1738"/>
      <c r="BE42" s="1738"/>
      <c r="BF42" s="1738"/>
      <c r="BG42" s="2010"/>
    </row>
    <row r="43" spans="1:59" ht="11.25" customHeight="1">
      <c r="A43" s="1084" t="s">
        <v>984</v>
      </c>
      <c r="B43" s="1084"/>
      <c r="C43" s="1084"/>
      <c r="D43" s="1078"/>
      <c r="E43" s="1088"/>
      <c r="F43" s="2791"/>
      <c r="G43" s="2798"/>
      <c r="H43" s="2787" t="s">
        <v>87</v>
      </c>
      <c r="I43" s="2799"/>
      <c r="J43" s="2800"/>
      <c r="K43" s="2801"/>
      <c r="L43" s="2524"/>
      <c r="M43" s="2525"/>
      <c r="N43" s="2804"/>
      <c r="O43" s="2805"/>
      <c r="P43" s="2808"/>
      <c r="Q43" s="2800"/>
      <c r="R43" s="2759"/>
      <c r="S43" s="2809"/>
      <c r="T43" s="2759"/>
      <c r="U43" s="2759"/>
      <c r="V43" s="2759"/>
      <c r="W43" s="2759"/>
      <c r="X43" s="2759"/>
      <c r="Y43" s="2759"/>
      <c r="Z43" s="1093"/>
      <c r="AA43" s="1094"/>
      <c r="AB43" s="1159" t="s">
        <v>1033</v>
      </c>
      <c r="AC43" s="1098"/>
      <c r="AD43" s="1098"/>
      <c r="AE43" s="1100"/>
      <c r="AF43" s="2802"/>
      <c r="AG43" s="2803"/>
      <c r="AH43" s="2803"/>
      <c r="AI43" s="2802"/>
      <c r="AJ43" s="2803"/>
      <c r="AK43" s="2803"/>
      <c r="AL43" s="1900"/>
      <c r="AM43" s="1738"/>
      <c r="AN43" s="1738"/>
      <c r="AO43" s="1738"/>
      <c r="AP43" s="1738"/>
      <c r="AQ43" s="1738"/>
      <c r="AR43" s="1738"/>
      <c r="AS43" s="1738"/>
      <c r="AT43" s="1738"/>
      <c r="AU43" s="1738"/>
      <c r="AV43" s="1738"/>
      <c r="AW43" s="1738"/>
      <c r="AX43" s="1738"/>
      <c r="AY43" s="1738"/>
      <c r="AZ43" s="1738"/>
      <c r="BA43" s="1738"/>
      <c r="BB43" s="1738"/>
      <c r="BC43" s="1738"/>
      <c r="BD43" s="1738"/>
      <c r="BE43" s="1738"/>
      <c r="BF43" s="1738"/>
      <c r="BG43" s="2010"/>
    </row>
    <row r="44" spans="1:59" ht="11.25" customHeight="1">
      <c r="A44" s="1084" t="s">
        <v>984</v>
      </c>
      <c r="B44" s="1084"/>
      <c r="C44" s="1084"/>
      <c r="D44" s="1078"/>
      <c r="E44" s="1088"/>
      <c r="F44" s="2791"/>
      <c r="G44" s="2798"/>
      <c r="H44" s="2787" t="s">
        <v>87</v>
      </c>
      <c r="I44" s="2799"/>
      <c r="J44" s="2800"/>
      <c r="K44" s="2801"/>
      <c r="L44" s="2524"/>
      <c r="M44" s="2525"/>
      <c r="N44" s="1093"/>
      <c r="O44" s="1094"/>
      <c r="P44" s="1086" t="s">
        <v>1034</v>
      </c>
      <c r="Q44" s="1094"/>
      <c r="R44" s="1094"/>
      <c r="S44" s="1094"/>
      <c r="T44" s="1094"/>
      <c r="U44" s="1094"/>
      <c r="V44" s="1094"/>
      <c r="W44" s="1094"/>
      <c r="X44" s="1094"/>
      <c r="Y44" s="1094"/>
      <c r="Z44" s="1094"/>
      <c r="AA44" s="1094"/>
      <c r="AB44" s="1094"/>
      <c r="AC44" s="1094"/>
      <c r="AD44" s="1094"/>
      <c r="AE44" s="1101"/>
      <c r="AF44" s="2802"/>
      <c r="AG44" s="2803"/>
      <c r="AH44" s="2803"/>
      <c r="AI44" s="2802"/>
      <c r="AJ44" s="2803"/>
      <c r="AK44" s="2803"/>
      <c r="AL44" s="1900"/>
      <c r="AM44" s="1738"/>
      <c r="AN44" s="1738"/>
      <c r="AO44" s="1738"/>
      <c r="AP44" s="1738"/>
      <c r="AQ44" s="1738"/>
      <c r="AR44" s="1738"/>
      <c r="AS44" s="1738"/>
      <c r="AT44" s="1738"/>
      <c r="AU44" s="1738"/>
      <c r="AV44" s="1738"/>
      <c r="AW44" s="1738"/>
      <c r="AX44" s="1738"/>
      <c r="AY44" s="1738"/>
      <c r="AZ44" s="1738"/>
      <c r="BA44" s="1738"/>
      <c r="BB44" s="1738"/>
      <c r="BC44" s="1738"/>
      <c r="BD44" s="1738"/>
      <c r="BE44" s="1738"/>
      <c r="BF44" s="1738"/>
      <c r="BG44" s="2010"/>
    </row>
    <row r="45" spans="1:59" ht="11.25" customHeight="1">
      <c r="A45" s="1084" t="s">
        <v>984</v>
      </c>
      <c r="B45" s="1084" t="s">
        <v>1018</v>
      </c>
      <c r="C45" s="1084"/>
      <c r="D45" s="1078"/>
      <c r="E45" s="1088"/>
      <c r="F45" s="2791"/>
      <c r="G45" s="2776" t="s">
        <v>680</v>
      </c>
      <c r="H45" s="2787" t="s">
        <v>88</v>
      </c>
      <c r="I45" s="2799" t="s">
        <v>1019</v>
      </c>
      <c r="J45" s="2800" t="s">
        <v>1035</v>
      </c>
      <c r="K45" s="2801" t="s">
        <v>1044</v>
      </c>
      <c r="L45" s="2524" t="s">
        <v>19</v>
      </c>
      <c r="M45" s="2525"/>
      <c r="N45" s="1898"/>
      <c r="O45" s="1095" t="s">
        <v>367</v>
      </c>
      <c r="P45" s="1096"/>
      <c r="Q45" s="1096"/>
      <c r="R45" s="1096"/>
      <c r="S45" s="1096"/>
      <c r="T45" s="1096"/>
      <c r="U45" s="1096"/>
      <c r="V45" s="1096"/>
      <c r="W45" s="1096"/>
      <c r="X45" s="1096"/>
      <c r="Y45" s="1096"/>
      <c r="Z45" s="1096"/>
      <c r="AA45" s="1096"/>
      <c r="AB45" s="1096"/>
      <c r="AC45" s="1096"/>
      <c r="AD45" s="1096"/>
      <c r="AE45" s="1096"/>
      <c r="AF45" s="2802">
        <v>5</v>
      </c>
      <c r="AG45" s="2803" t="s">
        <v>1022</v>
      </c>
      <c r="AH45" s="2803" t="s">
        <v>1045</v>
      </c>
      <c r="AI45" s="2802"/>
      <c r="AJ45" s="2803"/>
      <c r="AK45" s="2803"/>
      <c r="AL45" s="1900"/>
      <c r="AM45" s="1738"/>
      <c r="AN45" s="1738"/>
      <c r="AO45" s="1738"/>
      <c r="AP45" s="1738"/>
      <c r="AQ45" s="1738"/>
      <c r="AR45" s="1738"/>
      <c r="AS45" s="1738"/>
      <c r="AT45" s="1738"/>
      <c r="AU45" s="1738"/>
      <c r="AV45" s="1738"/>
      <c r="AW45" s="1738"/>
      <c r="AX45" s="1738"/>
      <c r="AY45" s="1738"/>
      <c r="AZ45" s="1738"/>
      <c r="BA45" s="1738"/>
      <c r="BB45" s="1738"/>
      <c r="BC45" s="1738"/>
      <c r="BD45" s="1738"/>
      <c r="BE45" s="1738"/>
      <c r="BF45" s="1738"/>
      <c r="BG45" s="2010"/>
    </row>
    <row r="46" spans="1:59" ht="11.25" customHeight="1">
      <c r="A46" s="1084" t="s">
        <v>984</v>
      </c>
      <c r="B46" s="1084"/>
      <c r="C46" s="1084"/>
      <c r="D46" s="1078"/>
      <c r="E46" s="1088"/>
      <c r="F46" s="2791"/>
      <c r="G46" s="2798"/>
      <c r="H46" s="2787" t="s">
        <v>104</v>
      </c>
      <c r="I46" s="2799"/>
      <c r="J46" s="2800"/>
      <c r="K46" s="2801"/>
      <c r="L46" s="2524"/>
      <c r="M46" s="2525"/>
      <c r="N46" s="2804"/>
      <c r="O46" s="2805">
        <v>1</v>
      </c>
      <c r="P46" s="2806" t="s">
        <v>65</v>
      </c>
      <c r="Q46" s="2800" t="s">
        <v>1024</v>
      </c>
      <c r="R46" s="2809" t="s">
        <v>1025</v>
      </c>
      <c r="S46" s="2809" t="s">
        <v>1026</v>
      </c>
      <c r="T46" s="2809" t="s">
        <v>1026</v>
      </c>
      <c r="U46" s="2809" t="s">
        <v>1027</v>
      </c>
      <c r="V46" s="2809" t="s">
        <v>1028</v>
      </c>
      <c r="W46" s="2809" t="s">
        <v>1029</v>
      </c>
      <c r="X46" s="2809" t="s">
        <v>1030</v>
      </c>
      <c r="Y46" s="2809" t="s">
        <v>1031</v>
      </c>
      <c r="Z46" s="1093"/>
      <c r="AA46" s="1094"/>
      <c r="AB46" s="1094"/>
      <c r="AC46" s="1098"/>
      <c r="AD46" s="1098"/>
      <c r="AE46" s="1099"/>
      <c r="AF46" s="2802"/>
      <c r="AG46" s="2803"/>
      <c r="AH46" s="2803"/>
      <c r="AI46" s="2802"/>
      <c r="AJ46" s="2803"/>
      <c r="AK46" s="2803"/>
      <c r="AL46" s="1900"/>
      <c r="AM46" s="1738"/>
      <c r="AN46" s="1738"/>
      <c r="AO46" s="1738"/>
      <c r="AP46" s="1738"/>
      <c r="AQ46" s="1738"/>
      <c r="AR46" s="1738"/>
      <c r="AS46" s="1738"/>
      <c r="AT46" s="1738"/>
      <c r="AU46" s="1738"/>
      <c r="AV46" s="1738"/>
      <c r="AW46" s="1738"/>
      <c r="AX46" s="1738"/>
      <c r="AY46" s="1738"/>
      <c r="AZ46" s="1738"/>
      <c r="BA46" s="1738"/>
      <c r="BB46" s="1738"/>
      <c r="BC46" s="1738"/>
      <c r="BD46" s="1738"/>
      <c r="BE46" s="1738"/>
      <c r="BF46" s="1738"/>
      <c r="BG46" s="2010"/>
    </row>
    <row r="47" spans="1:59" ht="11.25" customHeight="1">
      <c r="A47" s="1084" t="s">
        <v>984</v>
      </c>
      <c r="B47" s="1084"/>
      <c r="C47" s="1084"/>
      <c r="D47" s="1078"/>
      <c r="E47" s="1088"/>
      <c r="F47" s="2791"/>
      <c r="G47" s="2798"/>
      <c r="H47" s="2787" t="s">
        <v>104</v>
      </c>
      <c r="I47" s="2799"/>
      <c r="J47" s="2800"/>
      <c r="K47" s="2801"/>
      <c r="L47" s="2524"/>
      <c r="M47" s="2525"/>
      <c r="N47" s="2804"/>
      <c r="O47" s="2805"/>
      <c r="P47" s="2807"/>
      <c r="Q47" s="2800"/>
      <c r="R47" s="2759"/>
      <c r="S47" s="2809"/>
      <c r="T47" s="2759"/>
      <c r="U47" s="2759"/>
      <c r="V47" s="2759"/>
      <c r="W47" s="2759"/>
      <c r="X47" s="2759"/>
      <c r="Y47" s="2759"/>
      <c r="Z47" s="1743"/>
      <c r="AA47" s="1711">
        <v>1</v>
      </c>
      <c r="AB47" s="1097" t="s">
        <v>1032</v>
      </c>
      <c r="AC47" s="1087">
        <v>9158.0164700000005</v>
      </c>
      <c r="AD47" s="1097" t="str">
        <f>AB47</f>
        <v xml:space="preserve">      Амортизационные отчисления с выделением результатов переоценки основных средств и нематериальных активов</v>
      </c>
      <c r="AE47" s="1087"/>
      <c r="AF47" s="2802"/>
      <c r="AG47" s="2803"/>
      <c r="AH47" s="2803"/>
      <c r="AI47" s="2802"/>
      <c r="AJ47" s="2803"/>
      <c r="AK47" s="2803"/>
      <c r="AL47" s="1900"/>
      <c r="AM47" s="1738"/>
      <c r="AN47" s="1738"/>
      <c r="AO47" s="1738"/>
      <c r="AP47" s="1738"/>
      <c r="AQ47" s="1738"/>
      <c r="AR47" s="1738"/>
      <c r="AS47" s="1738"/>
      <c r="AT47" s="1738"/>
      <c r="AU47" s="1738"/>
      <c r="AV47" s="1738"/>
      <c r="AW47" s="1738"/>
      <c r="AX47" s="1738"/>
      <c r="AY47" s="1738"/>
      <c r="AZ47" s="1738"/>
      <c r="BA47" s="1738"/>
      <c r="BB47" s="1738"/>
      <c r="BC47" s="1738"/>
      <c r="BD47" s="1738"/>
      <c r="BE47" s="1738"/>
      <c r="BF47" s="1738"/>
      <c r="BG47" s="2010"/>
    </row>
    <row r="48" spans="1:59" ht="11.25" customHeight="1">
      <c r="A48" s="1084" t="s">
        <v>984</v>
      </c>
      <c r="B48" s="1084"/>
      <c r="C48" s="1084"/>
      <c r="D48" s="1078"/>
      <c r="E48" s="1088"/>
      <c r="F48" s="2791"/>
      <c r="G48" s="2798"/>
      <c r="H48" s="2787" t="s">
        <v>104</v>
      </c>
      <c r="I48" s="2799"/>
      <c r="J48" s="2800"/>
      <c r="K48" s="2801"/>
      <c r="L48" s="2524"/>
      <c r="M48" s="2525"/>
      <c r="N48" s="2804"/>
      <c r="O48" s="2805"/>
      <c r="P48" s="2808"/>
      <c r="Q48" s="2800"/>
      <c r="R48" s="2759"/>
      <c r="S48" s="2809"/>
      <c r="T48" s="2759"/>
      <c r="U48" s="2759"/>
      <c r="V48" s="2759"/>
      <c r="W48" s="2759"/>
      <c r="X48" s="2759"/>
      <c r="Y48" s="2759"/>
      <c r="Z48" s="1093"/>
      <c r="AA48" s="1094"/>
      <c r="AB48" s="1159" t="s">
        <v>1033</v>
      </c>
      <c r="AC48" s="1098"/>
      <c r="AD48" s="1098"/>
      <c r="AE48" s="1100"/>
      <c r="AF48" s="2802"/>
      <c r="AG48" s="2803"/>
      <c r="AH48" s="2803"/>
      <c r="AI48" s="2802"/>
      <c r="AJ48" s="2803"/>
      <c r="AK48" s="2803"/>
      <c r="AL48" s="1900"/>
      <c r="AM48" s="1738"/>
      <c r="AN48" s="1738"/>
      <c r="AO48" s="1738"/>
      <c r="AP48" s="1738"/>
      <c r="AQ48" s="1738"/>
      <c r="AR48" s="1738"/>
      <c r="AS48" s="1738"/>
      <c r="AT48" s="1738"/>
      <c r="AU48" s="1738"/>
      <c r="AV48" s="1738"/>
      <c r="AW48" s="1738"/>
      <c r="AX48" s="1738"/>
      <c r="AY48" s="1738"/>
      <c r="AZ48" s="1738"/>
      <c r="BA48" s="1738"/>
      <c r="BB48" s="1738"/>
      <c r="BC48" s="1738"/>
      <c r="BD48" s="1738"/>
      <c r="BE48" s="1738"/>
      <c r="BF48" s="1738"/>
      <c r="BG48" s="2010"/>
    </row>
    <row r="49" spans="1:59" ht="11.25" customHeight="1">
      <c r="A49" s="1084" t="s">
        <v>984</v>
      </c>
      <c r="B49" s="1084"/>
      <c r="C49" s="1084"/>
      <c r="D49" s="1078"/>
      <c r="E49" s="1088"/>
      <c r="F49" s="2791"/>
      <c r="G49" s="2798"/>
      <c r="H49" s="2787" t="s">
        <v>104</v>
      </c>
      <c r="I49" s="2799"/>
      <c r="J49" s="2800"/>
      <c r="K49" s="2801"/>
      <c r="L49" s="2524"/>
      <c r="M49" s="2525"/>
      <c r="N49" s="1093"/>
      <c r="O49" s="1094"/>
      <c r="P49" s="1086" t="s">
        <v>1034</v>
      </c>
      <c r="Q49" s="1094"/>
      <c r="R49" s="1094"/>
      <c r="S49" s="1094"/>
      <c r="T49" s="1094"/>
      <c r="U49" s="1094"/>
      <c r="V49" s="1094"/>
      <c r="W49" s="1094"/>
      <c r="X49" s="1094"/>
      <c r="Y49" s="1094"/>
      <c r="Z49" s="1094"/>
      <c r="AA49" s="1094"/>
      <c r="AB49" s="1094"/>
      <c r="AC49" s="1094"/>
      <c r="AD49" s="1094"/>
      <c r="AE49" s="1101"/>
      <c r="AF49" s="2802"/>
      <c r="AG49" s="2803"/>
      <c r="AH49" s="2803"/>
      <c r="AI49" s="2802"/>
      <c r="AJ49" s="2803"/>
      <c r="AK49" s="2803"/>
      <c r="AL49" s="1900"/>
      <c r="AM49" s="1738"/>
      <c r="AN49" s="1738"/>
      <c r="AO49" s="1738"/>
      <c r="AP49" s="1738"/>
      <c r="AQ49" s="1738"/>
      <c r="AR49" s="1738"/>
      <c r="AS49" s="1738"/>
      <c r="AT49" s="1738"/>
      <c r="AU49" s="1738"/>
      <c r="AV49" s="1738"/>
      <c r="AW49" s="1738"/>
      <c r="AX49" s="1738"/>
      <c r="AY49" s="1738"/>
      <c r="AZ49" s="1738"/>
      <c r="BA49" s="1738"/>
      <c r="BB49" s="1738"/>
      <c r="BC49" s="1738"/>
      <c r="BD49" s="1738"/>
      <c r="BE49" s="1738"/>
      <c r="BF49" s="1738"/>
      <c r="BG49" s="2010"/>
    </row>
    <row r="50" spans="1:59" ht="11.25" customHeight="1">
      <c r="A50" s="1084" t="s">
        <v>984</v>
      </c>
      <c r="B50" s="1084" t="s">
        <v>1018</v>
      </c>
      <c r="C50" s="1084"/>
      <c r="D50" s="1078"/>
      <c r="E50" s="1088"/>
      <c r="F50" s="2791"/>
      <c r="G50" s="2776" t="s">
        <v>680</v>
      </c>
      <c r="H50" s="2787" t="s">
        <v>89</v>
      </c>
      <c r="I50" s="2799" t="s">
        <v>1019</v>
      </c>
      <c r="J50" s="2800" t="s">
        <v>1035</v>
      </c>
      <c r="K50" s="2801" t="s">
        <v>1046</v>
      </c>
      <c r="L50" s="2524" t="s">
        <v>19</v>
      </c>
      <c r="M50" s="2525"/>
      <c r="N50" s="1898"/>
      <c r="O50" s="1095" t="s">
        <v>367</v>
      </c>
      <c r="P50" s="1096"/>
      <c r="Q50" s="1096"/>
      <c r="R50" s="1096"/>
      <c r="S50" s="1096"/>
      <c r="T50" s="1096"/>
      <c r="U50" s="1096"/>
      <c r="V50" s="1096"/>
      <c r="W50" s="1096"/>
      <c r="X50" s="1096"/>
      <c r="Y50" s="1096"/>
      <c r="Z50" s="1096"/>
      <c r="AA50" s="1096"/>
      <c r="AB50" s="1096"/>
      <c r="AC50" s="1096"/>
      <c r="AD50" s="1096"/>
      <c r="AE50" s="1096"/>
      <c r="AF50" s="2802">
        <v>2</v>
      </c>
      <c r="AG50" s="2803" t="s">
        <v>1022</v>
      </c>
      <c r="AH50" s="2803" t="s">
        <v>1042</v>
      </c>
      <c r="AI50" s="2802"/>
      <c r="AJ50" s="2803"/>
      <c r="AK50" s="2803"/>
      <c r="AL50" s="1900"/>
      <c r="AM50" s="1738"/>
      <c r="AN50" s="1738"/>
      <c r="AO50" s="1738"/>
      <c r="AP50" s="1738"/>
      <c r="AQ50" s="1738"/>
      <c r="AR50" s="1738"/>
      <c r="AS50" s="1738"/>
      <c r="AT50" s="1738"/>
      <c r="AU50" s="1738"/>
      <c r="AV50" s="1738"/>
      <c r="AW50" s="1738"/>
      <c r="AX50" s="1738"/>
      <c r="AY50" s="1738"/>
      <c r="AZ50" s="1738"/>
      <c r="BA50" s="1738"/>
      <c r="BB50" s="1738"/>
      <c r="BC50" s="1738"/>
      <c r="BD50" s="1738"/>
      <c r="BE50" s="1738"/>
      <c r="BF50" s="1738"/>
      <c r="BG50" s="2010"/>
    </row>
    <row r="51" spans="1:59" ht="11.25" customHeight="1">
      <c r="A51" s="1084" t="s">
        <v>984</v>
      </c>
      <c r="B51" s="1084"/>
      <c r="C51" s="1084"/>
      <c r="D51" s="1078"/>
      <c r="E51" s="1088"/>
      <c r="F51" s="2791"/>
      <c r="G51" s="2798"/>
      <c r="H51" s="2787" t="s">
        <v>88</v>
      </c>
      <c r="I51" s="2799"/>
      <c r="J51" s="2800"/>
      <c r="K51" s="2801"/>
      <c r="L51" s="2524"/>
      <c r="M51" s="2525"/>
      <c r="N51" s="2804"/>
      <c r="O51" s="2805">
        <v>1</v>
      </c>
      <c r="P51" s="2806" t="s">
        <v>65</v>
      </c>
      <c r="Q51" s="2800" t="s">
        <v>1024</v>
      </c>
      <c r="R51" s="2809" t="s">
        <v>1025</v>
      </c>
      <c r="S51" s="2809" t="s">
        <v>1026</v>
      </c>
      <c r="T51" s="2809" t="s">
        <v>1026</v>
      </c>
      <c r="U51" s="2809" t="s">
        <v>1027</v>
      </c>
      <c r="V51" s="2809" t="s">
        <v>1028</v>
      </c>
      <c r="W51" s="2809" t="s">
        <v>1029</v>
      </c>
      <c r="X51" s="2809" t="s">
        <v>1030</v>
      </c>
      <c r="Y51" s="2809" t="s">
        <v>1031</v>
      </c>
      <c r="Z51" s="1093"/>
      <c r="AA51" s="1094"/>
      <c r="AB51" s="1094"/>
      <c r="AC51" s="1098"/>
      <c r="AD51" s="1098"/>
      <c r="AE51" s="1099"/>
      <c r="AF51" s="2802"/>
      <c r="AG51" s="2803"/>
      <c r="AH51" s="2803"/>
      <c r="AI51" s="2802"/>
      <c r="AJ51" s="2803"/>
      <c r="AK51" s="2803"/>
      <c r="AL51" s="1900"/>
      <c r="AM51" s="1738"/>
      <c r="AN51" s="1738"/>
      <c r="AO51" s="1738"/>
      <c r="AP51" s="1738"/>
      <c r="AQ51" s="1738"/>
      <c r="AR51" s="1738"/>
      <c r="AS51" s="1738"/>
      <c r="AT51" s="1738"/>
      <c r="AU51" s="1738"/>
      <c r="AV51" s="1738"/>
      <c r="AW51" s="1738"/>
      <c r="AX51" s="1738"/>
      <c r="AY51" s="1738"/>
      <c r="AZ51" s="1738"/>
      <c r="BA51" s="1738"/>
      <c r="BB51" s="1738"/>
      <c r="BC51" s="1738"/>
      <c r="BD51" s="1738"/>
      <c r="BE51" s="1738"/>
      <c r="BF51" s="1738"/>
      <c r="BG51" s="2010"/>
    </row>
    <row r="52" spans="1:59" ht="11.25" customHeight="1">
      <c r="A52" s="1084" t="s">
        <v>984</v>
      </c>
      <c r="B52" s="1084"/>
      <c r="C52" s="1084"/>
      <c r="D52" s="1078"/>
      <c r="E52" s="1088"/>
      <c r="F52" s="2791"/>
      <c r="G52" s="2798"/>
      <c r="H52" s="2787" t="s">
        <v>88</v>
      </c>
      <c r="I52" s="2799"/>
      <c r="J52" s="2800"/>
      <c r="K52" s="2801"/>
      <c r="L52" s="2524"/>
      <c r="M52" s="2525"/>
      <c r="N52" s="2804"/>
      <c r="O52" s="2805"/>
      <c r="P52" s="2807"/>
      <c r="Q52" s="2800"/>
      <c r="R52" s="2759"/>
      <c r="S52" s="2809"/>
      <c r="T52" s="2759"/>
      <c r="U52" s="2759"/>
      <c r="V52" s="2759"/>
      <c r="W52" s="2759"/>
      <c r="X52" s="2759"/>
      <c r="Y52" s="2759"/>
      <c r="Z52" s="1743"/>
      <c r="AA52" s="1711">
        <v>1</v>
      </c>
      <c r="AB52" s="1097" t="s">
        <v>1032</v>
      </c>
      <c r="AC52" s="1087">
        <v>8571.6409000000003</v>
      </c>
      <c r="AD52" s="1097" t="str">
        <f>AB52</f>
        <v xml:space="preserve">      Амортизационные отчисления с выделением результатов переоценки основных средств и нематериальных активов</v>
      </c>
      <c r="AE52" s="1087"/>
      <c r="AF52" s="2802"/>
      <c r="AG52" s="2803"/>
      <c r="AH52" s="2803"/>
      <c r="AI52" s="2802"/>
      <c r="AJ52" s="2803"/>
      <c r="AK52" s="2803"/>
      <c r="AL52" s="1900"/>
      <c r="AM52" s="1738"/>
      <c r="AN52" s="1738"/>
      <c r="AO52" s="1738"/>
      <c r="AP52" s="1738"/>
      <c r="AQ52" s="1738"/>
      <c r="AR52" s="1738"/>
      <c r="AS52" s="1738"/>
      <c r="AT52" s="1738"/>
      <c r="AU52" s="1738"/>
      <c r="AV52" s="1738"/>
      <c r="AW52" s="1738"/>
      <c r="AX52" s="1738"/>
      <c r="AY52" s="1738"/>
      <c r="AZ52" s="1738"/>
      <c r="BA52" s="1738"/>
      <c r="BB52" s="1738"/>
      <c r="BC52" s="1738"/>
      <c r="BD52" s="1738"/>
      <c r="BE52" s="1738"/>
      <c r="BF52" s="1738"/>
      <c r="BG52" s="2010"/>
    </row>
    <row r="53" spans="1:59" ht="11.25" customHeight="1">
      <c r="A53" s="1084" t="s">
        <v>984</v>
      </c>
      <c r="B53" s="1084"/>
      <c r="C53" s="1084"/>
      <c r="D53" s="1078"/>
      <c r="E53" s="1088"/>
      <c r="F53" s="2791"/>
      <c r="G53" s="2798"/>
      <c r="H53" s="2787" t="s">
        <v>88</v>
      </c>
      <c r="I53" s="2799"/>
      <c r="J53" s="2800"/>
      <c r="K53" s="2801"/>
      <c r="L53" s="2524"/>
      <c r="M53" s="2525"/>
      <c r="N53" s="2804"/>
      <c r="O53" s="2805"/>
      <c r="P53" s="2808"/>
      <c r="Q53" s="2800"/>
      <c r="R53" s="2759"/>
      <c r="S53" s="2809"/>
      <c r="T53" s="2759"/>
      <c r="U53" s="2759"/>
      <c r="V53" s="2759"/>
      <c r="W53" s="2759"/>
      <c r="X53" s="2759"/>
      <c r="Y53" s="2759"/>
      <c r="Z53" s="1093"/>
      <c r="AA53" s="1094"/>
      <c r="AB53" s="1159" t="s">
        <v>1033</v>
      </c>
      <c r="AC53" s="1098"/>
      <c r="AD53" s="1098"/>
      <c r="AE53" s="1100"/>
      <c r="AF53" s="2802"/>
      <c r="AG53" s="2803"/>
      <c r="AH53" s="2803"/>
      <c r="AI53" s="2802"/>
      <c r="AJ53" s="2803"/>
      <c r="AK53" s="2803"/>
      <c r="AL53" s="1900"/>
      <c r="AM53" s="1738"/>
      <c r="AN53" s="1738"/>
      <c r="AO53" s="1738"/>
      <c r="AP53" s="1738"/>
      <c r="AQ53" s="1738"/>
      <c r="AR53" s="1738"/>
      <c r="AS53" s="1738"/>
      <c r="AT53" s="1738"/>
      <c r="AU53" s="1738"/>
      <c r="AV53" s="1738"/>
      <c r="AW53" s="1738"/>
      <c r="AX53" s="1738"/>
      <c r="AY53" s="1738"/>
      <c r="AZ53" s="1738"/>
      <c r="BA53" s="1738"/>
      <c r="BB53" s="1738"/>
      <c r="BC53" s="1738"/>
      <c r="BD53" s="1738"/>
      <c r="BE53" s="1738"/>
      <c r="BF53" s="1738"/>
      <c r="BG53" s="2010"/>
    </row>
    <row r="54" spans="1:59" ht="11.25" customHeight="1">
      <c r="A54" s="1084" t="s">
        <v>984</v>
      </c>
      <c r="B54" s="1084"/>
      <c r="C54" s="1084"/>
      <c r="D54" s="1078"/>
      <c r="E54" s="1088"/>
      <c r="F54" s="2791"/>
      <c r="G54" s="2798"/>
      <c r="H54" s="2787" t="s">
        <v>88</v>
      </c>
      <c r="I54" s="2799"/>
      <c r="J54" s="2800"/>
      <c r="K54" s="2801"/>
      <c r="L54" s="2524"/>
      <c r="M54" s="2525"/>
      <c r="N54" s="1093"/>
      <c r="O54" s="1094"/>
      <c r="P54" s="1086" t="s">
        <v>1034</v>
      </c>
      <c r="Q54" s="1094"/>
      <c r="R54" s="1094"/>
      <c r="S54" s="1094"/>
      <c r="T54" s="1094"/>
      <c r="U54" s="1094"/>
      <c r="V54" s="1094"/>
      <c r="W54" s="1094"/>
      <c r="X54" s="1094"/>
      <c r="Y54" s="1094"/>
      <c r="Z54" s="1094"/>
      <c r="AA54" s="1094"/>
      <c r="AB54" s="1094"/>
      <c r="AC54" s="1094"/>
      <c r="AD54" s="1094"/>
      <c r="AE54" s="1101"/>
      <c r="AF54" s="2802"/>
      <c r="AG54" s="2803"/>
      <c r="AH54" s="2803"/>
      <c r="AI54" s="2802"/>
      <c r="AJ54" s="2803"/>
      <c r="AK54" s="2803"/>
      <c r="AL54" s="1900"/>
      <c r="AM54" s="1738"/>
      <c r="AN54" s="1738"/>
      <c r="AO54" s="1738"/>
      <c r="AP54" s="1738"/>
      <c r="AQ54" s="1738"/>
      <c r="AR54" s="1738"/>
      <c r="AS54" s="1738"/>
      <c r="AT54" s="1738"/>
      <c r="AU54" s="1738"/>
      <c r="AV54" s="1738"/>
      <c r="AW54" s="1738"/>
      <c r="AX54" s="1738"/>
      <c r="AY54" s="1738"/>
      <c r="AZ54" s="1738"/>
      <c r="BA54" s="1738"/>
      <c r="BB54" s="1738"/>
      <c r="BC54" s="1738"/>
      <c r="BD54" s="1738"/>
      <c r="BE54" s="1738"/>
      <c r="BF54" s="1738"/>
      <c r="BG54" s="2010"/>
    </row>
    <row r="55" spans="1:59" ht="12" customHeight="1">
      <c r="A55" s="1084" t="s">
        <v>984</v>
      </c>
      <c r="B55" s="1084"/>
      <c r="C55" s="1084"/>
      <c r="D55" s="1078"/>
      <c r="E55" s="1088"/>
      <c r="F55" s="2792"/>
      <c r="G55" s="1108"/>
      <c r="H55" s="1108"/>
      <c r="I55" s="2789" t="s">
        <v>1047</v>
      </c>
      <c r="J55" s="2789"/>
      <c r="K55" s="2789"/>
      <c r="L55" s="1091"/>
      <c r="M55" s="1091"/>
      <c r="N55" s="1092"/>
      <c r="O55" s="1092"/>
      <c r="P55" s="1092"/>
      <c r="Q55" s="1092"/>
      <c r="R55" s="1092"/>
      <c r="S55" s="1092"/>
      <c r="T55" s="1092"/>
      <c r="U55" s="1092"/>
      <c r="V55" s="1092"/>
      <c r="W55" s="1092"/>
      <c r="X55" s="1092"/>
      <c r="Y55" s="1092"/>
      <c r="Z55" s="1092"/>
      <c r="AA55" s="1092"/>
      <c r="AB55" s="1092"/>
      <c r="AC55" s="1092"/>
      <c r="AD55" s="1092"/>
      <c r="AE55" s="1092"/>
      <c r="AF55" s="1092"/>
      <c r="AG55" s="1091"/>
      <c r="AH55" s="1091"/>
      <c r="AI55" s="1092"/>
      <c r="AJ55" s="1091"/>
      <c r="AK55" s="1092"/>
      <c r="AL55" s="1900"/>
      <c r="AM55" s="1738"/>
      <c r="AN55" s="1738"/>
      <c r="AO55" s="1738"/>
      <c r="AP55" s="1738"/>
      <c r="AQ55" s="1738"/>
      <c r="AR55" s="1738"/>
      <c r="AS55" s="1738"/>
      <c r="AT55" s="1738"/>
      <c r="AU55" s="1738"/>
      <c r="AV55" s="1738"/>
      <c r="AW55" s="1738"/>
      <c r="AX55" s="1738"/>
      <c r="AY55" s="1738"/>
      <c r="AZ55" s="1738"/>
      <c r="BA55" s="1738"/>
      <c r="BB55" s="1738"/>
      <c r="BC55" s="1738"/>
      <c r="BD55" s="1738"/>
      <c r="BE55" s="1738"/>
      <c r="BF55" s="1738"/>
      <c r="BG55" s="2010"/>
    </row>
    <row r="56" spans="1:59" ht="0.75" customHeight="1">
      <c r="A56" s="1084" t="s">
        <v>984</v>
      </c>
      <c r="B56" s="1084"/>
      <c r="C56" s="1084"/>
      <c r="D56" s="1078"/>
      <c r="E56" s="1088"/>
      <c r="F56" s="2790">
        <v>2024</v>
      </c>
      <c r="G56" s="2787"/>
      <c r="H56" s="2794" t="s">
        <v>367</v>
      </c>
      <c r="I56" s="2795"/>
      <c r="J56" s="2786"/>
      <c r="K56" s="2786"/>
      <c r="L56" s="2788"/>
      <c r="M56" s="2639"/>
      <c r="N56" s="1948"/>
      <c r="O56" s="1947"/>
      <c r="P56" s="1948"/>
      <c r="Q56" s="1948"/>
      <c r="R56" s="1948"/>
      <c r="S56" s="1948"/>
      <c r="T56" s="1948"/>
      <c r="U56" s="1948"/>
      <c r="V56" s="1948"/>
      <c r="W56" s="1948"/>
      <c r="X56" s="1948"/>
      <c r="Y56" s="1948"/>
      <c r="Z56" s="1948"/>
      <c r="AA56" s="1948"/>
      <c r="AB56" s="1948"/>
      <c r="AC56" s="1948"/>
      <c r="AD56" s="1948"/>
      <c r="AE56" s="1948"/>
      <c r="AF56" s="2793"/>
      <c r="AG56" s="2788"/>
      <c r="AH56" s="2788"/>
      <c r="AI56" s="2793"/>
      <c r="AJ56" s="2788"/>
      <c r="AK56" s="2788"/>
      <c r="AL56" s="1900"/>
      <c r="AM56" s="1738"/>
      <c r="AN56" s="1738"/>
      <c r="AO56" s="1738"/>
      <c r="AP56" s="1738"/>
      <c r="AQ56" s="1738"/>
      <c r="AR56" s="1738"/>
      <c r="AS56" s="1738"/>
      <c r="AT56" s="1738"/>
      <c r="AU56" s="1738"/>
      <c r="AV56" s="1738"/>
      <c r="AW56" s="1738"/>
      <c r="AX56" s="1738"/>
      <c r="AY56" s="1738"/>
      <c r="AZ56" s="1738"/>
      <c r="BA56" s="1738"/>
      <c r="BB56" s="1738"/>
      <c r="BC56" s="1738"/>
      <c r="BD56" s="1738"/>
      <c r="BE56" s="1738"/>
      <c r="BF56" s="1738"/>
      <c r="BG56" s="2010"/>
    </row>
    <row r="57" spans="1:59" ht="0.75" customHeight="1">
      <c r="A57" s="1084" t="s">
        <v>984</v>
      </c>
      <c r="B57" s="1084"/>
      <c r="C57" s="1084"/>
      <c r="D57" s="1078"/>
      <c r="E57" s="1088"/>
      <c r="F57" s="2790"/>
      <c r="G57" s="2787"/>
      <c r="H57" s="2794"/>
      <c r="I57" s="2795"/>
      <c r="J57" s="2786"/>
      <c r="K57" s="2786"/>
      <c r="L57" s="2788"/>
      <c r="M57" s="2639"/>
      <c r="N57" s="2796"/>
      <c r="O57" s="2797"/>
      <c r="P57" s="2783"/>
      <c r="Q57" s="2786"/>
      <c r="R57" s="2786"/>
      <c r="S57" s="2786"/>
      <c r="T57" s="2786"/>
      <c r="U57" s="2786"/>
      <c r="V57" s="2786"/>
      <c r="W57" s="2786"/>
      <c r="X57" s="2786"/>
      <c r="Y57" s="2786"/>
      <c r="Z57" s="1949"/>
      <c r="AA57" s="1950"/>
      <c r="AB57" s="1950"/>
      <c r="AC57" s="1951"/>
      <c r="AD57" s="1951"/>
      <c r="AE57" s="1952"/>
      <c r="AF57" s="2793"/>
      <c r="AG57" s="2788"/>
      <c r="AH57" s="2788"/>
      <c r="AI57" s="2793"/>
      <c r="AJ57" s="2788"/>
      <c r="AK57" s="2788"/>
      <c r="AL57" s="1900"/>
      <c r="AM57" s="1738"/>
      <c r="AN57" s="1738"/>
      <c r="AO57" s="1738"/>
      <c r="AP57" s="1738"/>
      <c r="AQ57" s="1738"/>
      <c r="AR57" s="1738"/>
      <c r="AS57" s="1738"/>
      <c r="AT57" s="1738"/>
      <c r="AU57" s="1738"/>
      <c r="AV57" s="1738"/>
      <c r="AW57" s="1738"/>
      <c r="AX57" s="1738"/>
      <c r="AY57" s="1738"/>
      <c r="AZ57" s="1738"/>
      <c r="BA57" s="1738"/>
      <c r="BB57" s="1738"/>
      <c r="BC57" s="1738"/>
      <c r="BD57" s="1738"/>
      <c r="BE57" s="1738"/>
      <c r="BF57" s="1738"/>
      <c r="BG57" s="2010"/>
    </row>
    <row r="58" spans="1:59" ht="0.75" customHeight="1">
      <c r="A58" s="1084" t="s">
        <v>984</v>
      </c>
      <c r="B58" s="1084"/>
      <c r="C58" s="1084"/>
      <c r="D58" s="1078"/>
      <c r="E58" s="1088"/>
      <c r="F58" s="2790"/>
      <c r="G58" s="2787"/>
      <c r="H58" s="2794"/>
      <c r="I58" s="2795"/>
      <c r="J58" s="2786"/>
      <c r="K58" s="2786"/>
      <c r="L58" s="2788"/>
      <c r="M58" s="2639"/>
      <c r="N58" s="2796"/>
      <c r="O58" s="2797"/>
      <c r="P58" s="2784"/>
      <c r="Q58" s="2786"/>
      <c r="R58" s="2786"/>
      <c r="S58" s="2786"/>
      <c r="T58" s="2786"/>
      <c r="U58" s="2786"/>
      <c r="V58" s="2786"/>
      <c r="W58" s="2786"/>
      <c r="X58" s="2786"/>
      <c r="Y58" s="2786"/>
      <c r="Z58" s="1953"/>
      <c r="AA58" s="1954"/>
      <c r="AB58" s="1955"/>
      <c r="AC58" s="1956"/>
      <c r="AD58" s="1955"/>
      <c r="AE58" s="1956"/>
      <c r="AF58" s="2793"/>
      <c r="AG58" s="2788"/>
      <c r="AH58" s="2788"/>
      <c r="AI58" s="2793"/>
      <c r="AJ58" s="2788"/>
      <c r="AK58" s="2788"/>
      <c r="AL58" s="1900"/>
      <c r="AM58" s="1738"/>
      <c r="AN58" s="1738"/>
      <c r="AO58" s="1738"/>
      <c r="AP58" s="1738"/>
      <c r="AQ58" s="1738"/>
      <c r="AR58" s="1738"/>
      <c r="AS58" s="1738"/>
      <c r="AT58" s="1738"/>
      <c r="AU58" s="1738"/>
      <c r="AV58" s="1738"/>
      <c r="AW58" s="1738"/>
      <c r="AX58" s="1738"/>
      <c r="AY58" s="1738"/>
      <c r="AZ58" s="1738"/>
      <c r="BA58" s="1738"/>
      <c r="BB58" s="1738"/>
      <c r="BC58" s="1738"/>
      <c r="BD58" s="1738"/>
      <c r="BE58" s="1738"/>
      <c r="BF58" s="1738"/>
      <c r="BG58" s="2010"/>
    </row>
    <row r="59" spans="1:59" ht="0.75" customHeight="1">
      <c r="A59" s="1084" t="s">
        <v>984</v>
      </c>
      <c r="B59" s="1084"/>
      <c r="C59" s="1084"/>
      <c r="D59" s="1078"/>
      <c r="E59" s="1088"/>
      <c r="F59" s="2790"/>
      <c r="G59" s="2787"/>
      <c r="H59" s="2794"/>
      <c r="I59" s="2795"/>
      <c r="J59" s="2786"/>
      <c r="K59" s="2786"/>
      <c r="L59" s="2788"/>
      <c r="M59" s="2639"/>
      <c r="N59" s="2796"/>
      <c r="O59" s="2797"/>
      <c r="P59" s="2785"/>
      <c r="Q59" s="2786"/>
      <c r="R59" s="2786"/>
      <c r="S59" s="2786"/>
      <c r="T59" s="2786"/>
      <c r="U59" s="2786"/>
      <c r="V59" s="2786"/>
      <c r="W59" s="2786"/>
      <c r="X59" s="2786"/>
      <c r="Y59" s="2786"/>
      <c r="Z59" s="1949"/>
      <c r="AA59" s="1950"/>
      <c r="AB59" s="1957"/>
      <c r="AC59" s="1951"/>
      <c r="AD59" s="1951"/>
      <c r="AE59" s="1958"/>
      <c r="AF59" s="2793"/>
      <c r="AG59" s="2788"/>
      <c r="AH59" s="2788"/>
      <c r="AI59" s="2793"/>
      <c r="AJ59" s="2788"/>
      <c r="AK59" s="2788"/>
      <c r="AL59" s="1900"/>
      <c r="AM59" s="1738"/>
      <c r="AN59" s="1738"/>
      <c r="AO59" s="1738"/>
      <c r="AP59" s="1738"/>
      <c r="AQ59" s="1738"/>
      <c r="AR59" s="1738"/>
      <c r="AS59" s="1738"/>
      <c r="AT59" s="1738"/>
      <c r="AU59" s="1738"/>
      <c r="AV59" s="1738"/>
      <c r="AW59" s="1738"/>
      <c r="AX59" s="1738"/>
      <c r="AY59" s="1738"/>
      <c r="AZ59" s="1738"/>
      <c r="BA59" s="1738"/>
      <c r="BB59" s="1738"/>
      <c r="BC59" s="1738"/>
      <c r="BD59" s="1738"/>
      <c r="BE59" s="1738"/>
      <c r="BF59" s="1738"/>
      <c r="BG59" s="2010"/>
    </row>
    <row r="60" spans="1:59" ht="0.75" customHeight="1">
      <c r="A60" s="1084" t="s">
        <v>984</v>
      </c>
      <c r="B60" s="1084"/>
      <c r="C60" s="1084"/>
      <c r="D60" s="1078"/>
      <c r="E60" s="1088"/>
      <c r="F60" s="2790"/>
      <c r="G60" s="2787"/>
      <c r="H60" s="2794"/>
      <c r="I60" s="2795"/>
      <c r="J60" s="2786"/>
      <c r="K60" s="2786"/>
      <c r="L60" s="2788"/>
      <c r="M60" s="2639"/>
      <c r="N60" s="1950"/>
      <c r="O60" s="1950"/>
      <c r="P60" s="1957"/>
      <c r="Q60" s="1950"/>
      <c r="R60" s="1950"/>
      <c r="S60" s="1950"/>
      <c r="T60" s="1950"/>
      <c r="U60" s="1950"/>
      <c r="V60" s="1950"/>
      <c r="W60" s="1950"/>
      <c r="X60" s="1950"/>
      <c r="Y60" s="1950"/>
      <c r="Z60" s="1950"/>
      <c r="AA60" s="1950"/>
      <c r="AB60" s="1950"/>
      <c r="AC60" s="1950"/>
      <c r="AD60" s="1950"/>
      <c r="AE60" s="1959"/>
      <c r="AF60" s="2793"/>
      <c r="AG60" s="2788"/>
      <c r="AH60" s="2788"/>
      <c r="AI60" s="2793"/>
      <c r="AJ60" s="2788"/>
      <c r="AK60" s="2788"/>
      <c r="AL60" s="1900"/>
      <c r="AM60" s="1738"/>
      <c r="AN60" s="1738"/>
      <c r="AO60" s="1738"/>
      <c r="AP60" s="1738"/>
      <c r="AQ60" s="1738"/>
      <c r="AR60" s="1738"/>
      <c r="AS60" s="1738"/>
      <c r="AT60" s="1738"/>
      <c r="AU60" s="1738"/>
      <c r="AV60" s="1738"/>
      <c r="AW60" s="1738"/>
      <c r="AX60" s="1738"/>
      <c r="AY60" s="1738"/>
      <c r="AZ60" s="1738"/>
      <c r="BA60" s="1738"/>
      <c r="BB60" s="1738"/>
      <c r="BC60" s="1738"/>
      <c r="BD60" s="1738"/>
      <c r="BE60" s="1738"/>
      <c r="BF60" s="1738"/>
      <c r="BG60" s="2010"/>
    </row>
    <row r="61" spans="1:59" ht="11.25" customHeight="1">
      <c r="A61" s="1084" t="s">
        <v>984</v>
      </c>
      <c r="B61" s="1084" t="s">
        <v>1018</v>
      </c>
      <c r="C61" s="1084"/>
      <c r="D61" s="1078"/>
      <c r="E61" s="1088"/>
      <c r="F61" s="2791"/>
      <c r="G61" s="2776" t="s">
        <v>680</v>
      </c>
      <c r="H61" s="2787" t="s">
        <v>102</v>
      </c>
      <c r="I61" s="2799" t="s">
        <v>1019</v>
      </c>
      <c r="J61" s="2800" t="s">
        <v>1020</v>
      </c>
      <c r="K61" s="2801" t="s">
        <v>1021</v>
      </c>
      <c r="L61" s="2524" t="s">
        <v>19</v>
      </c>
      <c r="M61" s="2525"/>
      <c r="N61" s="1898"/>
      <c r="O61" s="1095" t="s">
        <v>367</v>
      </c>
      <c r="P61" s="1096"/>
      <c r="Q61" s="1096"/>
      <c r="R61" s="1096"/>
      <c r="S61" s="1096"/>
      <c r="T61" s="1096"/>
      <c r="U61" s="1096"/>
      <c r="V61" s="1096"/>
      <c r="W61" s="1096"/>
      <c r="X61" s="1096"/>
      <c r="Y61" s="1096"/>
      <c r="Z61" s="1096"/>
      <c r="AA61" s="1096"/>
      <c r="AB61" s="1096"/>
      <c r="AC61" s="1096"/>
      <c r="AD61" s="1096"/>
      <c r="AE61" s="1096"/>
      <c r="AF61" s="2802">
        <v>5</v>
      </c>
      <c r="AG61" s="2803" t="s">
        <v>1022</v>
      </c>
      <c r="AH61" s="2803" t="s">
        <v>1023</v>
      </c>
      <c r="AI61" s="2802"/>
      <c r="AJ61" s="2803"/>
      <c r="AK61" s="2803"/>
      <c r="AL61" s="1900"/>
      <c r="AM61" s="1738"/>
      <c r="AN61" s="1738"/>
      <c r="AO61" s="1738"/>
      <c r="AP61" s="1738"/>
      <c r="AQ61" s="1738"/>
      <c r="AR61" s="1738"/>
      <c r="AS61" s="1738"/>
      <c r="AT61" s="1738"/>
      <c r="AU61" s="1738"/>
      <c r="AV61" s="1738"/>
      <c r="AW61" s="1738"/>
      <c r="AX61" s="1738"/>
      <c r="AY61" s="1738"/>
      <c r="AZ61" s="1738"/>
      <c r="BA61" s="1738"/>
      <c r="BB61" s="1738"/>
      <c r="BC61" s="1738"/>
      <c r="BD61" s="1738"/>
      <c r="BE61" s="1738"/>
      <c r="BF61" s="1738"/>
      <c r="BG61" s="2010"/>
    </row>
    <row r="62" spans="1:59" ht="11.25" customHeight="1">
      <c r="A62" s="1084" t="s">
        <v>984</v>
      </c>
      <c r="B62" s="1084"/>
      <c r="C62" s="1084"/>
      <c r="D62" s="1078"/>
      <c r="E62" s="1088"/>
      <c r="F62" s="2791"/>
      <c r="G62" s="2798"/>
      <c r="H62" s="2787" t="s">
        <v>367</v>
      </c>
      <c r="I62" s="2799"/>
      <c r="J62" s="2800"/>
      <c r="K62" s="2801"/>
      <c r="L62" s="2524"/>
      <c r="M62" s="2525"/>
      <c r="N62" s="2804"/>
      <c r="O62" s="2805">
        <v>1</v>
      </c>
      <c r="P62" s="2806" t="s">
        <v>65</v>
      </c>
      <c r="Q62" s="2800" t="s">
        <v>1024</v>
      </c>
      <c r="R62" s="2809" t="s">
        <v>1025</v>
      </c>
      <c r="S62" s="2809" t="s">
        <v>1026</v>
      </c>
      <c r="T62" s="2809" t="s">
        <v>1026</v>
      </c>
      <c r="U62" s="2809" t="s">
        <v>1027</v>
      </c>
      <c r="V62" s="2809" t="s">
        <v>1028</v>
      </c>
      <c r="W62" s="2809" t="s">
        <v>1029</v>
      </c>
      <c r="X62" s="2809" t="s">
        <v>1030</v>
      </c>
      <c r="Y62" s="2809" t="s">
        <v>1031</v>
      </c>
      <c r="Z62" s="1093"/>
      <c r="AA62" s="1094"/>
      <c r="AB62" s="1094"/>
      <c r="AC62" s="1098"/>
      <c r="AD62" s="1098"/>
      <c r="AE62" s="1099"/>
      <c r="AF62" s="2802"/>
      <c r="AG62" s="2803"/>
      <c r="AH62" s="2803"/>
      <c r="AI62" s="2802"/>
      <c r="AJ62" s="2803"/>
      <c r="AK62" s="2803"/>
      <c r="AL62" s="1900"/>
      <c r="AM62" s="1738"/>
      <c r="AN62" s="1738"/>
      <c r="AO62" s="1738"/>
      <c r="AP62" s="1738"/>
      <c r="AQ62" s="1738"/>
      <c r="AR62" s="1738"/>
      <c r="AS62" s="1738"/>
      <c r="AT62" s="1738"/>
      <c r="AU62" s="1738"/>
      <c r="AV62" s="1738"/>
      <c r="AW62" s="1738"/>
      <c r="AX62" s="1738"/>
      <c r="AY62" s="1738"/>
      <c r="AZ62" s="1738"/>
      <c r="BA62" s="1738"/>
      <c r="BB62" s="1738"/>
      <c r="BC62" s="1738"/>
      <c r="BD62" s="1738"/>
      <c r="BE62" s="1738"/>
      <c r="BF62" s="1738"/>
      <c r="BG62" s="2010"/>
    </row>
    <row r="63" spans="1:59" ht="11.25" customHeight="1">
      <c r="A63" s="1084" t="s">
        <v>984</v>
      </c>
      <c r="B63" s="1084"/>
      <c r="C63" s="1084"/>
      <c r="D63" s="1078"/>
      <c r="E63" s="1088"/>
      <c r="F63" s="2791"/>
      <c r="G63" s="2798"/>
      <c r="H63" s="2787" t="s">
        <v>367</v>
      </c>
      <c r="I63" s="2799"/>
      <c r="J63" s="2800"/>
      <c r="K63" s="2801"/>
      <c r="L63" s="2524"/>
      <c r="M63" s="2525"/>
      <c r="N63" s="2804"/>
      <c r="O63" s="2805"/>
      <c r="P63" s="2807"/>
      <c r="Q63" s="2800"/>
      <c r="R63" s="2759"/>
      <c r="S63" s="2809"/>
      <c r="T63" s="2759"/>
      <c r="U63" s="2759"/>
      <c r="V63" s="2759"/>
      <c r="W63" s="2759"/>
      <c r="X63" s="2759"/>
      <c r="Y63" s="2759"/>
      <c r="Z63" s="1743"/>
      <c r="AA63" s="1711">
        <v>1</v>
      </c>
      <c r="AB63" s="1097" t="s">
        <v>1032</v>
      </c>
      <c r="AC63" s="1087">
        <v>15675.76</v>
      </c>
      <c r="AD63" s="1097" t="str">
        <f>AB63</f>
        <v xml:space="preserve">      Амортизационные отчисления с выделением результатов переоценки основных средств и нематериальных активов</v>
      </c>
      <c r="AE63" s="1087"/>
      <c r="AF63" s="2802"/>
      <c r="AG63" s="2803"/>
      <c r="AH63" s="2803"/>
      <c r="AI63" s="2802"/>
      <c r="AJ63" s="2803"/>
      <c r="AK63" s="2803"/>
      <c r="AL63" s="1900"/>
      <c r="AM63" s="1738"/>
      <c r="AN63" s="1738"/>
      <c r="AO63" s="1738"/>
      <c r="AP63" s="1738"/>
      <c r="AQ63" s="1738"/>
      <c r="AR63" s="1738"/>
      <c r="AS63" s="1738"/>
      <c r="AT63" s="1738"/>
      <c r="AU63" s="1738"/>
      <c r="AV63" s="1738"/>
      <c r="AW63" s="1738"/>
      <c r="AX63" s="1738"/>
      <c r="AY63" s="1738"/>
      <c r="AZ63" s="1738"/>
      <c r="BA63" s="1738"/>
      <c r="BB63" s="1738"/>
      <c r="BC63" s="1738"/>
      <c r="BD63" s="1738"/>
      <c r="BE63" s="1738"/>
      <c r="BF63" s="1738"/>
      <c r="BG63" s="2010"/>
    </row>
    <row r="64" spans="1:59" ht="11.25" customHeight="1">
      <c r="A64" s="1084" t="s">
        <v>984</v>
      </c>
      <c r="B64" s="1084"/>
      <c r="C64" s="1084"/>
      <c r="D64" s="1078"/>
      <c r="E64" s="1088"/>
      <c r="F64" s="2791"/>
      <c r="G64" s="2798"/>
      <c r="H64" s="2787" t="s">
        <v>367</v>
      </c>
      <c r="I64" s="2799"/>
      <c r="J64" s="2800"/>
      <c r="K64" s="2801"/>
      <c r="L64" s="2524"/>
      <c r="M64" s="2525"/>
      <c r="N64" s="2804"/>
      <c r="O64" s="2805"/>
      <c r="P64" s="2808"/>
      <c r="Q64" s="2800"/>
      <c r="R64" s="2759"/>
      <c r="S64" s="2809"/>
      <c r="T64" s="2759"/>
      <c r="U64" s="2759"/>
      <c r="V64" s="2759"/>
      <c r="W64" s="2759"/>
      <c r="X64" s="2759"/>
      <c r="Y64" s="2759"/>
      <c r="Z64" s="1093"/>
      <c r="AA64" s="1094"/>
      <c r="AB64" s="1159" t="s">
        <v>1033</v>
      </c>
      <c r="AC64" s="1098"/>
      <c r="AD64" s="1098"/>
      <c r="AE64" s="1100"/>
      <c r="AF64" s="2802"/>
      <c r="AG64" s="2803"/>
      <c r="AH64" s="2803"/>
      <c r="AI64" s="2802"/>
      <c r="AJ64" s="2803"/>
      <c r="AK64" s="2803"/>
      <c r="AL64" s="1900"/>
      <c r="AM64" s="1738"/>
      <c r="AN64" s="1738"/>
      <c r="AO64" s="1738"/>
      <c r="AP64" s="1738"/>
      <c r="AQ64" s="1738"/>
      <c r="AR64" s="1738"/>
      <c r="AS64" s="1738"/>
      <c r="AT64" s="1738"/>
      <c r="AU64" s="1738"/>
      <c r="AV64" s="1738"/>
      <c r="AW64" s="1738"/>
      <c r="AX64" s="1738"/>
      <c r="AY64" s="1738"/>
      <c r="AZ64" s="1738"/>
      <c r="BA64" s="1738"/>
      <c r="BB64" s="1738"/>
      <c r="BC64" s="1738"/>
      <c r="BD64" s="1738"/>
      <c r="BE64" s="1738"/>
      <c r="BF64" s="1738"/>
      <c r="BG64" s="2010"/>
    </row>
    <row r="65" spans="1:59" ht="11.25" customHeight="1">
      <c r="A65" s="1084" t="s">
        <v>984</v>
      </c>
      <c r="B65" s="1084"/>
      <c r="C65" s="1084"/>
      <c r="D65" s="1078"/>
      <c r="E65" s="1088"/>
      <c r="F65" s="2791"/>
      <c r="G65" s="2798"/>
      <c r="H65" s="2787" t="s">
        <v>367</v>
      </c>
      <c r="I65" s="2799"/>
      <c r="J65" s="2800"/>
      <c r="K65" s="2801"/>
      <c r="L65" s="2524"/>
      <c r="M65" s="2525"/>
      <c r="N65" s="1093"/>
      <c r="O65" s="1094"/>
      <c r="P65" s="1086" t="s">
        <v>1034</v>
      </c>
      <c r="Q65" s="1094"/>
      <c r="R65" s="1094"/>
      <c r="S65" s="1094"/>
      <c r="T65" s="1094"/>
      <c r="U65" s="1094"/>
      <c r="V65" s="1094"/>
      <c r="W65" s="1094"/>
      <c r="X65" s="1094"/>
      <c r="Y65" s="1094"/>
      <c r="Z65" s="1094"/>
      <c r="AA65" s="1094"/>
      <c r="AB65" s="1094"/>
      <c r="AC65" s="1094"/>
      <c r="AD65" s="1094"/>
      <c r="AE65" s="1101"/>
      <c r="AF65" s="2802"/>
      <c r="AG65" s="2803"/>
      <c r="AH65" s="2803"/>
      <c r="AI65" s="2802"/>
      <c r="AJ65" s="2803"/>
      <c r="AK65" s="2803"/>
      <c r="AL65" s="1900"/>
      <c r="AM65" s="1738"/>
      <c r="AN65" s="1738"/>
      <c r="AO65" s="1738"/>
      <c r="AP65" s="1738"/>
      <c r="AQ65" s="1738"/>
      <c r="AR65" s="1738"/>
      <c r="AS65" s="1738"/>
      <c r="AT65" s="1738"/>
      <c r="AU65" s="1738"/>
      <c r="AV65" s="1738"/>
      <c r="AW65" s="1738"/>
      <c r="AX65" s="1738"/>
      <c r="AY65" s="1738"/>
      <c r="AZ65" s="1738"/>
      <c r="BA65" s="1738"/>
      <c r="BB65" s="1738"/>
      <c r="BC65" s="1738"/>
      <c r="BD65" s="1738"/>
      <c r="BE65" s="1738"/>
      <c r="BF65" s="1738"/>
      <c r="BG65" s="2010"/>
    </row>
    <row r="66" spans="1:59" ht="11.25" customHeight="1">
      <c r="A66" s="1084" t="s">
        <v>984</v>
      </c>
      <c r="B66" s="1084" t="s">
        <v>1018</v>
      </c>
      <c r="C66" s="1084"/>
      <c r="D66" s="1078"/>
      <c r="E66" s="1088"/>
      <c r="F66" s="2791"/>
      <c r="G66" s="2776" t="s">
        <v>680</v>
      </c>
      <c r="H66" s="2787" t="s">
        <v>103</v>
      </c>
      <c r="I66" s="2799" t="s">
        <v>1019</v>
      </c>
      <c r="J66" s="2800" t="s">
        <v>1035</v>
      </c>
      <c r="K66" s="2801" t="s">
        <v>1036</v>
      </c>
      <c r="L66" s="2524" t="s">
        <v>19</v>
      </c>
      <c r="M66" s="2525"/>
      <c r="N66" s="1898"/>
      <c r="O66" s="1095" t="s">
        <v>367</v>
      </c>
      <c r="P66" s="1096"/>
      <c r="Q66" s="1096"/>
      <c r="R66" s="1096"/>
      <c r="S66" s="1096"/>
      <c r="T66" s="1096"/>
      <c r="U66" s="1096"/>
      <c r="V66" s="1096"/>
      <c r="W66" s="1096"/>
      <c r="X66" s="1096"/>
      <c r="Y66" s="1096"/>
      <c r="Z66" s="1096"/>
      <c r="AA66" s="1096"/>
      <c r="AB66" s="1096"/>
      <c r="AC66" s="1096"/>
      <c r="AD66" s="1096"/>
      <c r="AE66" s="1096"/>
      <c r="AF66" s="2802">
        <v>2</v>
      </c>
      <c r="AG66" s="2803" t="s">
        <v>1037</v>
      </c>
      <c r="AH66" s="2803" t="s">
        <v>1038</v>
      </c>
      <c r="AI66" s="2802"/>
      <c r="AJ66" s="2803"/>
      <c r="AK66" s="2803"/>
      <c r="AL66" s="1900"/>
      <c r="AM66" s="1738"/>
      <c r="AN66" s="1738"/>
      <c r="AO66" s="1738"/>
      <c r="AP66" s="1738"/>
      <c r="AQ66" s="1738"/>
      <c r="AR66" s="1738"/>
      <c r="AS66" s="1738"/>
      <c r="AT66" s="1738"/>
      <c r="AU66" s="1738"/>
      <c r="AV66" s="1738"/>
      <c r="AW66" s="1738"/>
      <c r="AX66" s="1738"/>
      <c r="AY66" s="1738"/>
      <c r="AZ66" s="1738"/>
      <c r="BA66" s="1738"/>
      <c r="BB66" s="1738"/>
      <c r="BC66" s="1738"/>
      <c r="BD66" s="1738"/>
      <c r="BE66" s="1738"/>
      <c r="BF66" s="1738"/>
      <c r="BG66" s="2010"/>
    </row>
    <row r="67" spans="1:59" ht="11.25" customHeight="1">
      <c r="A67" s="1084" t="s">
        <v>984</v>
      </c>
      <c r="B67" s="1084"/>
      <c r="C67" s="1084"/>
      <c r="D67" s="1078"/>
      <c r="E67" s="1088"/>
      <c r="F67" s="2791"/>
      <c r="G67" s="2798"/>
      <c r="H67" s="2787" t="s">
        <v>102</v>
      </c>
      <c r="I67" s="2799"/>
      <c r="J67" s="2800"/>
      <c r="K67" s="2801"/>
      <c r="L67" s="2524"/>
      <c r="M67" s="2525"/>
      <c r="N67" s="2804"/>
      <c r="O67" s="2805">
        <v>1</v>
      </c>
      <c r="P67" s="2806" t="s">
        <v>65</v>
      </c>
      <c r="Q67" s="2800" t="s">
        <v>1024</v>
      </c>
      <c r="R67" s="2809" t="s">
        <v>1025</v>
      </c>
      <c r="S67" s="2809" t="s">
        <v>1026</v>
      </c>
      <c r="T67" s="2809" t="s">
        <v>1026</v>
      </c>
      <c r="U67" s="2809" t="s">
        <v>1027</v>
      </c>
      <c r="V67" s="2809" t="s">
        <v>1028</v>
      </c>
      <c r="W67" s="2809" t="s">
        <v>1029</v>
      </c>
      <c r="X67" s="2809" t="s">
        <v>1030</v>
      </c>
      <c r="Y67" s="2809" t="s">
        <v>1031</v>
      </c>
      <c r="Z67" s="1093"/>
      <c r="AA67" s="1094"/>
      <c r="AB67" s="1094"/>
      <c r="AC67" s="1098"/>
      <c r="AD67" s="1098"/>
      <c r="AE67" s="1099"/>
      <c r="AF67" s="2802"/>
      <c r="AG67" s="2803"/>
      <c r="AH67" s="2803"/>
      <c r="AI67" s="2802"/>
      <c r="AJ67" s="2803"/>
      <c r="AK67" s="2803"/>
      <c r="AL67" s="1900"/>
      <c r="AM67" s="1738"/>
      <c r="AN67" s="1738"/>
      <c r="AO67" s="1738"/>
      <c r="AP67" s="1738"/>
      <c r="AQ67" s="1738"/>
      <c r="AR67" s="1738"/>
      <c r="AS67" s="1738"/>
      <c r="AT67" s="1738"/>
      <c r="AU67" s="1738"/>
      <c r="AV67" s="1738"/>
      <c r="AW67" s="1738"/>
      <c r="AX67" s="1738"/>
      <c r="AY67" s="1738"/>
      <c r="AZ67" s="1738"/>
      <c r="BA67" s="1738"/>
      <c r="BB67" s="1738"/>
      <c r="BC67" s="1738"/>
      <c r="BD67" s="1738"/>
      <c r="BE67" s="1738"/>
      <c r="BF67" s="1738"/>
      <c r="BG67" s="2010"/>
    </row>
    <row r="68" spans="1:59" ht="11.25" customHeight="1">
      <c r="A68" s="1084" t="s">
        <v>984</v>
      </c>
      <c r="B68" s="1084"/>
      <c r="C68" s="1084"/>
      <c r="D68" s="1078"/>
      <c r="E68" s="1088"/>
      <c r="F68" s="2791"/>
      <c r="G68" s="2798"/>
      <c r="H68" s="2787" t="s">
        <v>102</v>
      </c>
      <c r="I68" s="2799"/>
      <c r="J68" s="2800"/>
      <c r="K68" s="2801"/>
      <c r="L68" s="2524"/>
      <c r="M68" s="2525"/>
      <c r="N68" s="2804"/>
      <c r="O68" s="2805"/>
      <c r="P68" s="2807"/>
      <c r="Q68" s="2800"/>
      <c r="R68" s="2759"/>
      <c r="S68" s="2809"/>
      <c r="T68" s="2759"/>
      <c r="U68" s="2759"/>
      <c r="V68" s="2759"/>
      <c r="W68" s="2759"/>
      <c r="X68" s="2759"/>
      <c r="Y68" s="2759"/>
      <c r="Z68" s="1743"/>
      <c r="AA68" s="1711">
        <v>1</v>
      </c>
      <c r="AB68" s="1097" t="s">
        <v>1032</v>
      </c>
      <c r="AC68" s="1087">
        <v>7265.5872900000004</v>
      </c>
      <c r="AD68" s="1097" t="str">
        <f>AB68</f>
        <v xml:space="preserve">      Амортизационные отчисления с выделением результатов переоценки основных средств и нематериальных активов</v>
      </c>
      <c r="AE68" s="1087"/>
      <c r="AF68" s="2802"/>
      <c r="AG68" s="2803"/>
      <c r="AH68" s="2803"/>
      <c r="AI68" s="2802"/>
      <c r="AJ68" s="2803"/>
      <c r="AK68" s="2803"/>
      <c r="AL68" s="1900"/>
      <c r="AM68" s="1738"/>
      <c r="AN68" s="1738"/>
      <c r="AO68" s="1738"/>
      <c r="AP68" s="1738"/>
      <c r="AQ68" s="1738"/>
      <c r="AR68" s="1738"/>
      <c r="AS68" s="1738"/>
      <c r="AT68" s="1738"/>
      <c r="AU68" s="1738"/>
      <c r="AV68" s="1738"/>
      <c r="AW68" s="1738"/>
      <c r="AX68" s="1738"/>
      <c r="AY68" s="1738"/>
      <c r="AZ68" s="1738"/>
      <c r="BA68" s="1738"/>
      <c r="BB68" s="1738"/>
      <c r="BC68" s="1738"/>
      <c r="BD68" s="1738"/>
      <c r="BE68" s="1738"/>
      <c r="BF68" s="1738"/>
      <c r="BG68" s="2010"/>
    </row>
    <row r="69" spans="1:59" ht="11.25" customHeight="1">
      <c r="A69" s="1084" t="s">
        <v>984</v>
      </c>
      <c r="B69" s="1084"/>
      <c r="C69" s="1084"/>
      <c r="D69" s="1078"/>
      <c r="E69" s="1088"/>
      <c r="F69" s="2791"/>
      <c r="G69" s="2798"/>
      <c r="H69" s="2787" t="s">
        <v>102</v>
      </c>
      <c r="I69" s="2799"/>
      <c r="J69" s="2800"/>
      <c r="K69" s="2801"/>
      <c r="L69" s="2524"/>
      <c r="M69" s="2525"/>
      <c r="N69" s="2804"/>
      <c r="O69" s="2805"/>
      <c r="P69" s="2808"/>
      <c r="Q69" s="2800"/>
      <c r="R69" s="2759"/>
      <c r="S69" s="2809"/>
      <c r="T69" s="2759"/>
      <c r="U69" s="2759"/>
      <c r="V69" s="2759"/>
      <c r="W69" s="2759"/>
      <c r="X69" s="2759"/>
      <c r="Y69" s="2759"/>
      <c r="Z69" s="1093"/>
      <c r="AA69" s="1094"/>
      <c r="AB69" s="1159" t="s">
        <v>1033</v>
      </c>
      <c r="AC69" s="1098"/>
      <c r="AD69" s="1098"/>
      <c r="AE69" s="1100"/>
      <c r="AF69" s="2802"/>
      <c r="AG69" s="2803"/>
      <c r="AH69" s="2803"/>
      <c r="AI69" s="2802"/>
      <c r="AJ69" s="2803"/>
      <c r="AK69" s="2803"/>
      <c r="AL69" s="1900"/>
      <c r="AM69" s="1738"/>
      <c r="AN69" s="1738"/>
      <c r="AO69" s="1738"/>
      <c r="AP69" s="1738"/>
      <c r="AQ69" s="1738"/>
      <c r="AR69" s="1738"/>
      <c r="AS69" s="1738"/>
      <c r="AT69" s="1738"/>
      <c r="AU69" s="1738"/>
      <c r="AV69" s="1738"/>
      <c r="AW69" s="1738"/>
      <c r="AX69" s="1738"/>
      <c r="AY69" s="1738"/>
      <c r="AZ69" s="1738"/>
      <c r="BA69" s="1738"/>
      <c r="BB69" s="1738"/>
      <c r="BC69" s="1738"/>
      <c r="BD69" s="1738"/>
      <c r="BE69" s="1738"/>
      <c r="BF69" s="1738"/>
      <c r="BG69" s="2010"/>
    </row>
    <row r="70" spans="1:59" ht="11.25" customHeight="1">
      <c r="A70" s="1084" t="s">
        <v>984</v>
      </c>
      <c r="B70" s="1084"/>
      <c r="C70" s="1084"/>
      <c r="D70" s="1078"/>
      <c r="E70" s="1088"/>
      <c r="F70" s="2791"/>
      <c r="G70" s="2798"/>
      <c r="H70" s="2787" t="s">
        <v>102</v>
      </c>
      <c r="I70" s="2799"/>
      <c r="J70" s="2800"/>
      <c r="K70" s="2801"/>
      <c r="L70" s="2524"/>
      <c r="M70" s="2525"/>
      <c r="N70" s="1093"/>
      <c r="O70" s="1094"/>
      <c r="P70" s="1086" t="s">
        <v>1034</v>
      </c>
      <c r="Q70" s="1094"/>
      <c r="R70" s="1094"/>
      <c r="S70" s="1094"/>
      <c r="T70" s="1094"/>
      <c r="U70" s="1094"/>
      <c r="V70" s="1094"/>
      <c r="W70" s="1094"/>
      <c r="X70" s="1094"/>
      <c r="Y70" s="1094"/>
      <c r="Z70" s="1094"/>
      <c r="AA70" s="1094"/>
      <c r="AB70" s="1094"/>
      <c r="AC70" s="1094"/>
      <c r="AD70" s="1094"/>
      <c r="AE70" s="1101"/>
      <c r="AF70" s="2802"/>
      <c r="AG70" s="2803"/>
      <c r="AH70" s="2803"/>
      <c r="AI70" s="2802"/>
      <c r="AJ70" s="2803"/>
      <c r="AK70" s="2803"/>
      <c r="AL70" s="1900"/>
      <c r="AM70" s="1738"/>
      <c r="AN70" s="1738"/>
      <c r="AO70" s="1738"/>
      <c r="AP70" s="1738"/>
      <c r="AQ70" s="1738"/>
      <c r="AR70" s="1738"/>
      <c r="AS70" s="1738"/>
      <c r="AT70" s="1738"/>
      <c r="AU70" s="1738"/>
      <c r="AV70" s="1738"/>
      <c r="AW70" s="1738"/>
      <c r="AX70" s="1738"/>
      <c r="AY70" s="1738"/>
      <c r="AZ70" s="1738"/>
      <c r="BA70" s="1738"/>
      <c r="BB70" s="1738"/>
      <c r="BC70" s="1738"/>
      <c r="BD70" s="1738"/>
      <c r="BE70" s="1738"/>
      <c r="BF70" s="1738"/>
      <c r="BG70" s="2010"/>
    </row>
    <row r="71" spans="1:59" ht="11.25" customHeight="1">
      <c r="A71" s="1084" t="s">
        <v>984</v>
      </c>
      <c r="B71" s="1084" t="s">
        <v>1018</v>
      </c>
      <c r="C71" s="1084"/>
      <c r="D71" s="1078"/>
      <c r="E71" s="1088"/>
      <c r="F71" s="2791"/>
      <c r="G71" s="2776" t="s">
        <v>680</v>
      </c>
      <c r="H71" s="2787" t="s">
        <v>86</v>
      </c>
      <c r="I71" s="2799" t="s">
        <v>1019</v>
      </c>
      <c r="J71" s="2800" t="s">
        <v>1035</v>
      </c>
      <c r="K71" s="2801" t="s">
        <v>1039</v>
      </c>
      <c r="L71" s="2524" t="s">
        <v>19</v>
      </c>
      <c r="M71" s="2525"/>
      <c r="N71" s="1898"/>
      <c r="O71" s="1095" t="s">
        <v>367</v>
      </c>
      <c r="P71" s="1096"/>
      <c r="Q71" s="1096"/>
      <c r="R71" s="1096"/>
      <c r="S71" s="1096"/>
      <c r="T71" s="1096"/>
      <c r="U71" s="1096"/>
      <c r="V71" s="1096"/>
      <c r="W71" s="1096"/>
      <c r="X71" s="1096"/>
      <c r="Y71" s="1096"/>
      <c r="Z71" s="1096"/>
      <c r="AA71" s="1096"/>
      <c r="AB71" s="1096"/>
      <c r="AC71" s="1096"/>
      <c r="AD71" s="1096"/>
      <c r="AE71" s="1096"/>
      <c r="AF71" s="2802">
        <v>4</v>
      </c>
      <c r="AG71" s="2803" t="s">
        <v>1022</v>
      </c>
      <c r="AH71" s="2803" t="s">
        <v>1040</v>
      </c>
      <c r="AI71" s="2802"/>
      <c r="AJ71" s="2803"/>
      <c r="AK71" s="2803"/>
      <c r="AL71" s="1900"/>
      <c r="AM71" s="1738"/>
      <c r="AN71" s="1738"/>
      <c r="AO71" s="1738"/>
      <c r="AP71" s="1738"/>
      <c r="AQ71" s="1738"/>
      <c r="AR71" s="1738"/>
      <c r="AS71" s="1738"/>
      <c r="AT71" s="1738"/>
      <c r="AU71" s="1738"/>
      <c r="AV71" s="1738"/>
      <c r="AW71" s="1738"/>
      <c r="AX71" s="1738"/>
      <c r="AY71" s="1738"/>
      <c r="AZ71" s="1738"/>
      <c r="BA71" s="1738"/>
      <c r="BB71" s="1738"/>
      <c r="BC71" s="1738"/>
      <c r="BD71" s="1738"/>
      <c r="BE71" s="1738"/>
      <c r="BF71" s="1738"/>
      <c r="BG71" s="2010"/>
    </row>
    <row r="72" spans="1:59" ht="11.25" customHeight="1">
      <c r="A72" s="1084" t="s">
        <v>984</v>
      </c>
      <c r="B72" s="1084"/>
      <c r="C72" s="1084"/>
      <c r="D72" s="1078"/>
      <c r="E72" s="1088"/>
      <c r="F72" s="2791"/>
      <c r="G72" s="2798"/>
      <c r="H72" s="2787" t="s">
        <v>103</v>
      </c>
      <c r="I72" s="2799"/>
      <c r="J72" s="2800"/>
      <c r="K72" s="2801"/>
      <c r="L72" s="2524"/>
      <c r="M72" s="2525"/>
      <c r="N72" s="2804"/>
      <c r="O72" s="2805">
        <v>1</v>
      </c>
      <c r="P72" s="2806" t="s">
        <v>65</v>
      </c>
      <c r="Q72" s="2800" t="s">
        <v>1024</v>
      </c>
      <c r="R72" s="2809" t="s">
        <v>1025</v>
      </c>
      <c r="S72" s="2809" t="s">
        <v>1026</v>
      </c>
      <c r="T72" s="2809" t="s">
        <v>1026</v>
      </c>
      <c r="U72" s="2809" t="s">
        <v>1027</v>
      </c>
      <c r="V72" s="2809" t="s">
        <v>1028</v>
      </c>
      <c r="W72" s="2809" t="s">
        <v>1029</v>
      </c>
      <c r="X72" s="2809" t="s">
        <v>1030</v>
      </c>
      <c r="Y72" s="2809" t="s">
        <v>1031</v>
      </c>
      <c r="Z72" s="1093"/>
      <c r="AA72" s="1094"/>
      <c r="AB72" s="1094"/>
      <c r="AC72" s="1098"/>
      <c r="AD72" s="1098"/>
      <c r="AE72" s="1099"/>
      <c r="AF72" s="2802"/>
      <c r="AG72" s="2803"/>
      <c r="AH72" s="2803"/>
      <c r="AI72" s="2802"/>
      <c r="AJ72" s="2803"/>
      <c r="AK72" s="2803"/>
      <c r="AL72" s="1900"/>
      <c r="AM72" s="1738"/>
      <c r="AN72" s="1738"/>
      <c r="AO72" s="1738"/>
      <c r="AP72" s="1738"/>
      <c r="AQ72" s="1738"/>
      <c r="AR72" s="1738"/>
      <c r="AS72" s="1738"/>
      <c r="AT72" s="1738"/>
      <c r="AU72" s="1738"/>
      <c r="AV72" s="1738"/>
      <c r="AW72" s="1738"/>
      <c r="AX72" s="1738"/>
      <c r="AY72" s="1738"/>
      <c r="AZ72" s="1738"/>
      <c r="BA72" s="1738"/>
      <c r="BB72" s="1738"/>
      <c r="BC72" s="1738"/>
      <c r="BD72" s="1738"/>
      <c r="BE72" s="1738"/>
      <c r="BF72" s="1738"/>
      <c r="BG72" s="2010"/>
    </row>
    <row r="73" spans="1:59" ht="11.25" customHeight="1">
      <c r="A73" s="1084" t="s">
        <v>984</v>
      </c>
      <c r="B73" s="1084"/>
      <c r="C73" s="1084"/>
      <c r="D73" s="1078"/>
      <c r="E73" s="1088"/>
      <c r="F73" s="2791"/>
      <c r="G73" s="2798"/>
      <c r="H73" s="2787" t="s">
        <v>103</v>
      </c>
      <c r="I73" s="2799"/>
      <c r="J73" s="2800"/>
      <c r="K73" s="2801"/>
      <c r="L73" s="2524"/>
      <c r="M73" s="2525"/>
      <c r="N73" s="2804"/>
      <c r="O73" s="2805"/>
      <c r="P73" s="2807"/>
      <c r="Q73" s="2800"/>
      <c r="R73" s="2759"/>
      <c r="S73" s="2809"/>
      <c r="T73" s="2759"/>
      <c r="U73" s="2759"/>
      <c r="V73" s="2759"/>
      <c r="W73" s="2759"/>
      <c r="X73" s="2759"/>
      <c r="Y73" s="2759"/>
      <c r="Z73" s="1743"/>
      <c r="AA73" s="1711">
        <v>1</v>
      </c>
      <c r="AB73" s="1097" t="s">
        <v>1032</v>
      </c>
      <c r="AC73" s="1087">
        <v>42313.858699999997</v>
      </c>
      <c r="AD73" s="1097" t="str">
        <f>AB73</f>
        <v xml:space="preserve">      Амортизационные отчисления с выделением результатов переоценки основных средств и нематериальных активов</v>
      </c>
      <c r="AE73" s="1087"/>
      <c r="AF73" s="2802"/>
      <c r="AG73" s="2803"/>
      <c r="AH73" s="2803"/>
      <c r="AI73" s="2802"/>
      <c r="AJ73" s="2803"/>
      <c r="AK73" s="2803"/>
      <c r="AL73" s="1900"/>
      <c r="AM73" s="1738"/>
      <c r="AN73" s="1738"/>
      <c r="AO73" s="1738"/>
      <c r="AP73" s="1738"/>
      <c r="AQ73" s="1738"/>
      <c r="AR73" s="1738"/>
      <c r="AS73" s="1738"/>
      <c r="AT73" s="1738"/>
      <c r="AU73" s="1738"/>
      <c r="AV73" s="1738"/>
      <c r="AW73" s="1738"/>
      <c r="AX73" s="1738"/>
      <c r="AY73" s="1738"/>
      <c r="AZ73" s="1738"/>
      <c r="BA73" s="1738"/>
      <c r="BB73" s="1738"/>
      <c r="BC73" s="1738"/>
      <c r="BD73" s="1738"/>
      <c r="BE73" s="1738"/>
      <c r="BF73" s="1738"/>
      <c r="BG73" s="2010"/>
    </row>
    <row r="74" spans="1:59" ht="11.25" customHeight="1">
      <c r="A74" s="1084" t="s">
        <v>984</v>
      </c>
      <c r="B74" s="1084"/>
      <c r="C74" s="1084"/>
      <c r="D74" s="1078"/>
      <c r="E74" s="1088"/>
      <c r="F74" s="2791"/>
      <c r="G74" s="2798"/>
      <c r="H74" s="2787" t="s">
        <v>103</v>
      </c>
      <c r="I74" s="2799"/>
      <c r="J74" s="2800"/>
      <c r="K74" s="2801"/>
      <c r="L74" s="2524"/>
      <c r="M74" s="2525"/>
      <c r="N74" s="2804"/>
      <c r="O74" s="2805"/>
      <c r="P74" s="2808"/>
      <c r="Q74" s="2800"/>
      <c r="R74" s="2759"/>
      <c r="S74" s="2809"/>
      <c r="T74" s="2759"/>
      <c r="U74" s="2759"/>
      <c r="V74" s="2759"/>
      <c r="W74" s="2759"/>
      <c r="X74" s="2759"/>
      <c r="Y74" s="2759"/>
      <c r="Z74" s="1093"/>
      <c r="AA74" s="1094"/>
      <c r="AB74" s="1159" t="s">
        <v>1033</v>
      </c>
      <c r="AC74" s="1098"/>
      <c r="AD74" s="1098"/>
      <c r="AE74" s="1100"/>
      <c r="AF74" s="2802"/>
      <c r="AG74" s="2803"/>
      <c r="AH74" s="2803"/>
      <c r="AI74" s="2802"/>
      <c r="AJ74" s="2803"/>
      <c r="AK74" s="2803"/>
      <c r="AL74" s="1900"/>
      <c r="AM74" s="1738"/>
      <c r="AN74" s="1738"/>
      <c r="AO74" s="1738"/>
      <c r="AP74" s="1738"/>
      <c r="AQ74" s="1738"/>
      <c r="AR74" s="1738"/>
      <c r="AS74" s="1738"/>
      <c r="AT74" s="1738"/>
      <c r="AU74" s="1738"/>
      <c r="AV74" s="1738"/>
      <c r="AW74" s="1738"/>
      <c r="AX74" s="1738"/>
      <c r="AY74" s="1738"/>
      <c r="AZ74" s="1738"/>
      <c r="BA74" s="1738"/>
      <c r="BB74" s="1738"/>
      <c r="BC74" s="1738"/>
      <c r="BD74" s="1738"/>
      <c r="BE74" s="1738"/>
      <c r="BF74" s="1738"/>
      <c r="BG74" s="2010"/>
    </row>
    <row r="75" spans="1:59" ht="11.25" customHeight="1">
      <c r="A75" s="1084" t="s">
        <v>984</v>
      </c>
      <c r="B75" s="1084"/>
      <c r="C75" s="1084"/>
      <c r="D75" s="1078"/>
      <c r="E75" s="1088"/>
      <c r="F75" s="2791"/>
      <c r="G75" s="2798"/>
      <c r="H75" s="2787" t="s">
        <v>103</v>
      </c>
      <c r="I75" s="2799"/>
      <c r="J75" s="2800"/>
      <c r="K75" s="2801"/>
      <c r="L75" s="2524"/>
      <c r="M75" s="2525"/>
      <c r="N75" s="1093"/>
      <c r="O75" s="1094"/>
      <c r="P75" s="1086" t="s">
        <v>1034</v>
      </c>
      <c r="Q75" s="1094"/>
      <c r="R75" s="1094"/>
      <c r="S75" s="1094"/>
      <c r="T75" s="1094"/>
      <c r="U75" s="1094"/>
      <c r="V75" s="1094"/>
      <c r="W75" s="1094"/>
      <c r="X75" s="1094"/>
      <c r="Y75" s="1094"/>
      <c r="Z75" s="1094"/>
      <c r="AA75" s="1094"/>
      <c r="AB75" s="1094"/>
      <c r="AC75" s="1094"/>
      <c r="AD75" s="1094"/>
      <c r="AE75" s="1101"/>
      <c r="AF75" s="2802"/>
      <c r="AG75" s="2803"/>
      <c r="AH75" s="2803"/>
      <c r="AI75" s="2802"/>
      <c r="AJ75" s="2803"/>
      <c r="AK75" s="2803"/>
      <c r="AL75" s="1900"/>
      <c r="AM75" s="1738"/>
      <c r="AN75" s="1738"/>
      <c r="AO75" s="1738"/>
      <c r="AP75" s="1738"/>
      <c r="AQ75" s="1738"/>
      <c r="AR75" s="1738"/>
      <c r="AS75" s="1738"/>
      <c r="AT75" s="1738"/>
      <c r="AU75" s="1738"/>
      <c r="AV75" s="1738"/>
      <c r="AW75" s="1738"/>
      <c r="AX75" s="1738"/>
      <c r="AY75" s="1738"/>
      <c r="AZ75" s="1738"/>
      <c r="BA75" s="1738"/>
      <c r="BB75" s="1738"/>
      <c r="BC75" s="1738"/>
      <c r="BD75" s="1738"/>
      <c r="BE75" s="1738"/>
      <c r="BF75" s="1738"/>
      <c r="BG75" s="2010"/>
    </row>
    <row r="76" spans="1:59" ht="11.25" customHeight="1">
      <c r="A76" s="1084" t="s">
        <v>984</v>
      </c>
      <c r="B76" s="1084" t="s">
        <v>1018</v>
      </c>
      <c r="C76" s="1084"/>
      <c r="D76" s="1078"/>
      <c r="E76" s="1088"/>
      <c r="F76" s="2791"/>
      <c r="G76" s="2776" t="s">
        <v>680</v>
      </c>
      <c r="H76" s="2787" t="s">
        <v>87</v>
      </c>
      <c r="I76" s="2799" t="s">
        <v>1019</v>
      </c>
      <c r="J76" s="2800" t="s">
        <v>1035</v>
      </c>
      <c r="K76" s="2801" t="s">
        <v>1048</v>
      </c>
      <c r="L76" s="2524" t="s">
        <v>19</v>
      </c>
      <c r="M76" s="2525"/>
      <c r="N76" s="1898"/>
      <c r="O76" s="1095" t="s">
        <v>367</v>
      </c>
      <c r="P76" s="1096"/>
      <c r="Q76" s="1096"/>
      <c r="R76" s="1096"/>
      <c r="S76" s="1096"/>
      <c r="T76" s="1096"/>
      <c r="U76" s="1096"/>
      <c r="V76" s="1096"/>
      <c r="W76" s="1096"/>
      <c r="X76" s="1096"/>
      <c r="Y76" s="1096"/>
      <c r="Z76" s="1096"/>
      <c r="AA76" s="1096"/>
      <c r="AB76" s="1096"/>
      <c r="AC76" s="1096"/>
      <c r="AD76" s="1096"/>
      <c r="AE76" s="1096"/>
      <c r="AF76" s="2802">
        <v>4</v>
      </c>
      <c r="AG76" s="2803" t="s">
        <v>1022</v>
      </c>
      <c r="AH76" s="2803" t="s">
        <v>1023</v>
      </c>
      <c r="AI76" s="2802"/>
      <c r="AJ76" s="2803"/>
      <c r="AK76" s="2803"/>
      <c r="AL76" s="1900"/>
      <c r="AM76" s="1738"/>
      <c r="AN76" s="1738"/>
      <c r="AO76" s="1738"/>
      <c r="AP76" s="1738"/>
      <c r="AQ76" s="1738"/>
      <c r="AR76" s="1738"/>
      <c r="AS76" s="1738"/>
      <c r="AT76" s="1738"/>
      <c r="AU76" s="1738"/>
      <c r="AV76" s="1738"/>
      <c r="AW76" s="1738"/>
      <c r="AX76" s="1738"/>
      <c r="AY76" s="1738"/>
      <c r="AZ76" s="1738"/>
      <c r="BA76" s="1738"/>
      <c r="BB76" s="1738"/>
      <c r="BC76" s="1738"/>
      <c r="BD76" s="1738"/>
      <c r="BE76" s="1738"/>
      <c r="BF76" s="1738"/>
      <c r="BG76" s="2010"/>
    </row>
    <row r="77" spans="1:59" ht="11.25" customHeight="1">
      <c r="A77" s="1084" t="s">
        <v>984</v>
      </c>
      <c r="B77" s="1084"/>
      <c r="C77" s="1084"/>
      <c r="D77" s="1078"/>
      <c r="E77" s="1088"/>
      <c r="F77" s="2791"/>
      <c r="G77" s="2798"/>
      <c r="H77" s="2787" t="s">
        <v>86</v>
      </c>
      <c r="I77" s="2799"/>
      <c r="J77" s="2800"/>
      <c r="K77" s="2801"/>
      <c r="L77" s="2524"/>
      <c r="M77" s="2525"/>
      <c r="N77" s="2804"/>
      <c r="O77" s="2805">
        <v>1</v>
      </c>
      <c r="P77" s="2806" t="s">
        <v>65</v>
      </c>
      <c r="Q77" s="2800" t="s">
        <v>1024</v>
      </c>
      <c r="R77" s="2809" t="s">
        <v>1025</v>
      </c>
      <c r="S77" s="2809" t="s">
        <v>1026</v>
      </c>
      <c r="T77" s="2809" t="s">
        <v>1026</v>
      </c>
      <c r="U77" s="2809" t="s">
        <v>1027</v>
      </c>
      <c r="V77" s="2809" t="s">
        <v>1028</v>
      </c>
      <c r="W77" s="2809" t="s">
        <v>1029</v>
      </c>
      <c r="X77" s="2809" t="s">
        <v>1030</v>
      </c>
      <c r="Y77" s="2809" t="s">
        <v>1031</v>
      </c>
      <c r="Z77" s="1093"/>
      <c r="AA77" s="1094"/>
      <c r="AB77" s="1094"/>
      <c r="AC77" s="1098"/>
      <c r="AD77" s="1098"/>
      <c r="AE77" s="1099"/>
      <c r="AF77" s="2802"/>
      <c r="AG77" s="2803"/>
      <c r="AH77" s="2803"/>
      <c r="AI77" s="2802"/>
      <c r="AJ77" s="2803"/>
      <c r="AK77" s="2803"/>
      <c r="AL77" s="1900"/>
      <c r="AM77" s="1738"/>
      <c r="AN77" s="1738"/>
      <c r="AO77" s="1738"/>
      <c r="AP77" s="1738"/>
      <c r="AQ77" s="1738"/>
      <c r="AR77" s="1738"/>
      <c r="AS77" s="1738"/>
      <c r="AT77" s="1738"/>
      <c r="AU77" s="1738"/>
      <c r="AV77" s="1738"/>
      <c r="AW77" s="1738"/>
      <c r="AX77" s="1738"/>
      <c r="AY77" s="1738"/>
      <c r="AZ77" s="1738"/>
      <c r="BA77" s="1738"/>
      <c r="BB77" s="1738"/>
      <c r="BC77" s="1738"/>
      <c r="BD77" s="1738"/>
      <c r="BE77" s="1738"/>
      <c r="BF77" s="1738"/>
      <c r="BG77" s="2010"/>
    </row>
    <row r="78" spans="1:59" ht="11.25" customHeight="1">
      <c r="A78" s="1084" t="s">
        <v>984</v>
      </c>
      <c r="B78" s="1084"/>
      <c r="C78" s="1084"/>
      <c r="D78" s="1078"/>
      <c r="E78" s="1088"/>
      <c r="F78" s="2791"/>
      <c r="G78" s="2798"/>
      <c r="H78" s="2787" t="s">
        <v>86</v>
      </c>
      <c r="I78" s="2799"/>
      <c r="J78" s="2800"/>
      <c r="K78" s="2801"/>
      <c r="L78" s="2524"/>
      <c r="M78" s="2525"/>
      <c r="N78" s="2804"/>
      <c r="O78" s="2805"/>
      <c r="P78" s="2807"/>
      <c r="Q78" s="2800"/>
      <c r="R78" s="2759"/>
      <c r="S78" s="2809"/>
      <c r="T78" s="2759"/>
      <c r="U78" s="2759"/>
      <c r="V78" s="2759"/>
      <c r="W78" s="2759"/>
      <c r="X78" s="2759"/>
      <c r="Y78" s="2759"/>
      <c r="Z78" s="1743"/>
      <c r="AA78" s="1711">
        <v>1</v>
      </c>
      <c r="AB78" s="1097" t="s">
        <v>1032</v>
      </c>
      <c r="AC78" s="1087">
        <v>548.52221999999995</v>
      </c>
      <c r="AD78" s="1097" t="str">
        <f>AB78</f>
        <v xml:space="preserve">      Амортизационные отчисления с выделением результатов переоценки основных средств и нематериальных активов</v>
      </c>
      <c r="AE78" s="1087"/>
      <c r="AF78" s="2802"/>
      <c r="AG78" s="2803"/>
      <c r="AH78" s="2803"/>
      <c r="AI78" s="2802"/>
      <c r="AJ78" s="2803"/>
      <c r="AK78" s="2803"/>
      <c r="AL78" s="1900"/>
      <c r="AM78" s="1738"/>
      <c r="AN78" s="1738"/>
      <c r="AO78" s="1738"/>
      <c r="AP78" s="1738"/>
      <c r="AQ78" s="1738"/>
      <c r="AR78" s="1738"/>
      <c r="AS78" s="1738"/>
      <c r="AT78" s="1738"/>
      <c r="AU78" s="1738"/>
      <c r="AV78" s="1738"/>
      <c r="AW78" s="1738"/>
      <c r="AX78" s="1738"/>
      <c r="AY78" s="1738"/>
      <c r="AZ78" s="1738"/>
      <c r="BA78" s="1738"/>
      <c r="BB78" s="1738"/>
      <c r="BC78" s="1738"/>
      <c r="BD78" s="1738"/>
      <c r="BE78" s="1738"/>
      <c r="BF78" s="1738"/>
      <c r="BG78" s="2010"/>
    </row>
    <row r="79" spans="1:59" ht="11.25" customHeight="1">
      <c r="A79" s="1084" t="s">
        <v>984</v>
      </c>
      <c r="B79" s="1084"/>
      <c r="C79" s="1084"/>
      <c r="D79" s="1078"/>
      <c r="E79" s="1088"/>
      <c r="F79" s="2791"/>
      <c r="G79" s="2798"/>
      <c r="H79" s="2787" t="s">
        <v>86</v>
      </c>
      <c r="I79" s="2799"/>
      <c r="J79" s="2800"/>
      <c r="K79" s="2801"/>
      <c r="L79" s="2524"/>
      <c r="M79" s="2525"/>
      <c r="N79" s="2804"/>
      <c r="O79" s="2805"/>
      <c r="P79" s="2808"/>
      <c r="Q79" s="2800"/>
      <c r="R79" s="2759"/>
      <c r="S79" s="2809"/>
      <c r="T79" s="2759"/>
      <c r="U79" s="2759"/>
      <c r="V79" s="2759"/>
      <c r="W79" s="2759"/>
      <c r="X79" s="2759"/>
      <c r="Y79" s="2759"/>
      <c r="Z79" s="1093"/>
      <c r="AA79" s="1094"/>
      <c r="AB79" s="1159" t="s">
        <v>1033</v>
      </c>
      <c r="AC79" s="1098"/>
      <c r="AD79" s="1098"/>
      <c r="AE79" s="1100"/>
      <c r="AF79" s="2802"/>
      <c r="AG79" s="2803"/>
      <c r="AH79" s="2803"/>
      <c r="AI79" s="2802"/>
      <c r="AJ79" s="2803"/>
      <c r="AK79" s="2803"/>
      <c r="AL79" s="1900"/>
      <c r="AM79" s="1738"/>
      <c r="AN79" s="1738"/>
      <c r="AO79" s="1738"/>
      <c r="AP79" s="1738"/>
      <c r="AQ79" s="1738"/>
      <c r="AR79" s="1738"/>
      <c r="AS79" s="1738"/>
      <c r="AT79" s="1738"/>
      <c r="AU79" s="1738"/>
      <c r="AV79" s="1738"/>
      <c r="AW79" s="1738"/>
      <c r="AX79" s="1738"/>
      <c r="AY79" s="1738"/>
      <c r="AZ79" s="1738"/>
      <c r="BA79" s="1738"/>
      <c r="BB79" s="1738"/>
      <c r="BC79" s="1738"/>
      <c r="BD79" s="1738"/>
      <c r="BE79" s="1738"/>
      <c r="BF79" s="1738"/>
      <c r="BG79" s="2010"/>
    </row>
    <row r="80" spans="1:59" ht="11.25" customHeight="1">
      <c r="A80" s="1084" t="s">
        <v>984</v>
      </c>
      <c r="B80" s="1084"/>
      <c r="C80" s="1084"/>
      <c r="D80" s="1078"/>
      <c r="E80" s="1088"/>
      <c r="F80" s="2791"/>
      <c r="G80" s="2798"/>
      <c r="H80" s="2787" t="s">
        <v>86</v>
      </c>
      <c r="I80" s="2799"/>
      <c r="J80" s="2800"/>
      <c r="K80" s="2801"/>
      <c r="L80" s="2524"/>
      <c r="M80" s="2525"/>
      <c r="N80" s="1093"/>
      <c r="O80" s="1094"/>
      <c r="P80" s="1086" t="s">
        <v>1034</v>
      </c>
      <c r="Q80" s="1094"/>
      <c r="R80" s="1094"/>
      <c r="S80" s="1094"/>
      <c r="T80" s="1094"/>
      <c r="U80" s="1094"/>
      <c r="V80" s="1094"/>
      <c r="W80" s="1094"/>
      <c r="X80" s="1094"/>
      <c r="Y80" s="1094"/>
      <c r="Z80" s="1094"/>
      <c r="AA80" s="1094"/>
      <c r="AB80" s="1094"/>
      <c r="AC80" s="1094"/>
      <c r="AD80" s="1094"/>
      <c r="AE80" s="1101"/>
      <c r="AF80" s="2802"/>
      <c r="AG80" s="2803"/>
      <c r="AH80" s="2803"/>
      <c r="AI80" s="2802"/>
      <c r="AJ80" s="2803"/>
      <c r="AK80" s="2803"/>
      <c r="AL80" s="1900"/>
      <c r="AM80" s="1738"/>
      <c r="AN80" s="1738"/>
      <c r="AO80" s="1738"/>
      <c r="AP80" s="1738"/>
      <c r="AQ80" s="1738"/>
      <c r="AR80" s="1738"/>
      <c r="AS80" s="1738"/>
      <c r="AT80" s="1738"/>
      <c r="AU80" s="1738"/>
      <c r="AV80" s="1738"/>
      <c r="AW80" s="1738"/>
      <c r="AX80" s="1738"/>
      <c r="AY80" s="1738"/>
      <c r="AZ80" s="1738"/>
      <c r="BA80" s="1738"/>
      <c r="BB80" s="1738"/>
      <c r="BC80" s="1738"/>
      <c r="BD80" s="1738"/>
      <c r="BE80" s="1738"/>
      <c r="BF80" s="1738"/>
      <c r="BG80" s="2010"/>
    </row>
    <row r="81" spans="1:59" ht="11.25" customHeight="1">
      <c r="A81" s="1084" t="s">
        <v>984</v>
      </c>
      <c r="B81" s="1084" t="s">
        <v>1018</v>
      </c>
      <c r="C81" s="1084"/>
      <c r="D81" s="1078"/>
      <c r="E81" s="1088"/>
      <c r="F81" s="2791"/>
      <c r="G81" s="2776" t="s">
        <v>680</v>
      </c>
      <c r="H81" s="2787" t="s">
        <v>104</v>
      </c>
      <c r="I81" s="2799" t="s">
        <v>1019</v>
      </c>
      <c r="J81" s="2800" t="s">
        <v>1035</v>
      </c>
      <c r="K81" s="2801" t="s">
        <v>1049</v>
      </c>
      <c r="L81" s="2524" t="s">
        <v>19</v>
      </c>
      <c r="M81" s="2525"/>
      <c r="N81" s="1898"/>
      <c r="O81" s="1095" t="s">
        <v>367</v>
      </c>
      <c r="P81" s="1096"/>
      <c r="Q81" s="1096"/>
      <c r="R81" s="1096"/>
      <c r="S81" s="1096"/>
      <c r="T81" s="1096"/>
      <c r="U81" s="1096"/>
      <c r="V81" s="1096"/>
      <c r="W81" s="1096"/>
      <c r="X81" s="1096"/>
      <c r="Y81" s="1096"/>
      <c r="Z81" s="1096"/>
      <c r="AA81" s="1096"/>
      <c r="AB81" s="1096"/>
      <c r="AC81" s="1096"/>
      <c r="AD81" s="1096"/>
      <c r="AE81" s="1096"/>
      <c r="AF81" s="2802">
        <v>1</v>
      </c>
      <c r="AG81" s="2803" t="s">
        <v>1022</v>
      </c>
      <c r="AH81" s="2803" t="s">
        <v>1038</v>
      </c>
      <c r="AI81" s="2802"/>
      <c r="AJ81" s="2803"/>
      <c r="AK81" s="2803"/>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c r="BG81" s="2010"/>
    </row>
    <row r="82" spans="1:59" ht="11.25" customHeight="1">
      <c r="A82" s="1084" t="s">
        <v>984</v>
      </c>
      <c r="B82" s="1084"/>
      <c r="C82" s="1084"/>
      <c r="D82" s="1078"/>
      <c r="E82" s="1088"/>
      <c r="F82" s="2791"/>
      <c r="G82" s="2798"/>
      <c r="H82" s="2787" t="s">
        <v>87</v>
      </c>
      <c r="I82" s="2799"/>
      <c r="J82" s="2800"/>
      <c r="K82" s="2801"/>
      <c r="L82" s="2524"/>
      <c r="M82" s="2525"/>
      <c r="N82" s="2804"/>
      <c r="O82" s="2805">
        <v>1</v>
      </c>
      <c r="P82" s="2806" t="s">
        <v>65</v>
      </c>
      <c r="Q82" s="2800" t="s">
        <v>1024</v>
      </c>
      <c r="R82" s="2809" t="s">
        <v>1025</v>
      </c>
      <c r="S82" s="2809" t="s">
        <v>1026</v>
      </c>
      <c r="T82" s="2809" t="s">
        <v>1026</v>
      </c>
      <c r="U82" s="2809" t="s">
        <v>1027</v>
      </c>
      <c r="V82" s="2809" t="s">
        <v>1028</v>
      </c>
      <c r="W82" s="2809" t="s">
        <v>1029</v>
      </c>
      <c r="X82" s="2809" t="s">
        <v>1030</v>
      </c>
      <c r="Y82" s="2809" t="s">
        <v>1031</v>
      </c>
      <c r="Z82" s="1093"/>
      <c r="AA82" s="1094"/>
      <c r="AB82" s="1094"/>
      <c r="AC82" s="1098"/>
      <c r="AD82" s="1098"/>
      <c r="AE82" s="1099"/>
      <c r="AF82" s="2802"/>
      <c r="AG82" s="2803"/>
      <c r="AH82" s="2803"/>
      <c r="AI82" s="2802"/>
      <c r="AJ82" s="2803"/>
      <c r="AK82" s="2803"/>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c r="BG82" s="2010"/>
    </row>
    <row r="83" spans="1:59" ht="11.25" customHeight="1">
      <c r="A83" s="1084" t="s">
        <v>984</v>
      </c>
      <c r="B83" s="1084"/>
      <c r="C83" s="1084"/>
      <c r="D83" s="1078"/>
      <c r="E83" s="1088"/>
      <c r="F83" s="2791"/>
      <c r="G83" s="2798"/>
      <c r="H83" s="2787" t="s">
        <v>87</v>
      </c>
      <c r="I83" s="2799"/>
      <c r="J83" s="2800"/>
      <c r="K83" s="2801"/>
      <c r="L83" s="2524"/>
      <c r="M83" s="2525"/>
      <c r="N83" s="2804"/>
      <c r="O83" s="2805"/>
      <c r="P83" s="2807"/>
      <c r="Q83" s="2800"/>
      <c r="R83" s="2759"/>
      <c r="S83" s="2809"/>
      <c r="T83" s="2759"/>
      <c r="U83" s="2759"/>
      <c r="V83" s="2759"/>
      <c r="W83" s="2759"/>
      <c r="X83" s="2759"/>
      <c r="Y83" s="2759"/>
      <c r="Z83" s="1743"/>
      <c r="AA83" s="1711">
        <v>1</v>
      </c>
      <c r="AB83" s="1097" t="s">
        <v>1050</v>
      </c>
      <c r="AC83" s="1087">
        <v>2351.5680200000002</v>
      </c>
      <c r="AD83" s="1097" t="str">
        <f>AB83</f>
        <v xml:space="preserve">  Прочие собственные средства</v>
      </c>
      <c r="AE83" s="1087"/>
      <c r="AF83" s="2802"/>
      <c r="AG83" s="2803"/>
      <c r="AH83" s="2803"/>
      <c r="AI83" s="2802"/>
      <c r="AJ83" s="2803"/>
      <c r="AK83" s="2803"/>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c r="BG83" s="2010"/>
    </row>
    <row r="84" spans="1:59" ht="11.25" customHeight="1">
      <c r="A84" s="1084" t="s">
        <v>984</v>
      </c>
      <c r="B84" s="1084"/>
      <c r="C84" s="1084"/>
      <c r="D84" s="1078"/>
      <c r="E84" s="1088"/>
      <c r="F84" s="2791"/>
      <c r="G84" s="2798"/>
      <c r="H84" s="2787" t="s">
        <v>87</v>
      </c>
      <c r="I84" s="2799"/>
      <c r="J84" s="2800"/>
      <c r="K84" s="2801"/>
      <c r="L84" s="2524"/>
      <c r="M84" s="2525"/>
      <c r="N84" s="2804"/>
      <c r="O84" s="2805"/>
      <c r="P84" s="2808"/>
      <c r="Q84" s="2800"/>
      <c r="R84" s="2759"/>
      <c r="S84" s="2809"/>
      <c r="T84" s="2759"/>
      <c r="U84" s="2759"/>
      <c r="V84" s="2759"/>
      <c r="W84" s="2759"/>
      <c r="X84" s="2759"/>
      <c r="Y84" s="2759"/>
      <c r="Z84" s="1093"/>
      <c r="AA84" s="1094"/>
      <c r="AB84" s="1159" t="s">
        <v>1033</v>
      </c>
      <c r="AC84" s="1098"/>
      <c r="AD84" s="1098"/>
      <c r="AE84" s="1100"/>
      <c r="AF84" s="2802"/>
      <c r="AG84" s="2803"/>
      <c r="AH84" s="2803"/>
      <c r="AI84" s="2802"/>
      <c r="AJ84" s="2803"/>
      <c r="AK84" s="2803"/>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c r="BG84" s="2010"/>
    </row>
    <row r="85" spans="1:59" ht="11.25" customHeight="1">
      <c r="A85" s="1084" t="s">
        <v>984</v>
      </c>
      <c r="B85" s="1084"/>
      <c r="C85" s="1084"/>
      <c r="D85" s="1078"/>
      <c r="E85" s="1088"/>
      <c r="F85" s="2791"/>
      <c r="G85" s="2798"/>
      <c r="H85" s="2787" t="s">
        <v>87</v>
      </c>
      <c r="I85" s="2799"/>
      <c r="J85" s="2800"/>
      <c r="K85" s="2801"/>
      <c r="L85" s="2524"/>
      <c r="M85" s="2525"/>
      <c r="N85" s="1093"/>
      <c r="O85" s="1094"/>
      <c r="P85" s="1086" t="s">
        <v>1034</v>
      </c>
      <c r="Q85" s="1094"/>
      <c r="R85" s="1094"/>
      <c r="S85" s="1094"/>
      <c r="T85" s="1094"/>
      <c r="U85" s="1094"/>
      <c r="V85" s="1094"/>
      <c r="W85" s="1094"/>
      <c r="X85" s="1094"/>
      <c r="Y85" s="1094"/>
      <c r="Z85" s="1094"/>
      <c r="AA85" s="1094"/>
      <c r="AB85" s="1094"/>
      <c r="AC85" s="1094"/>
      <c r="AD85" s="1094"/>
      <c r="AE85" s="1101"/>
      <c r="AF85" s="2802"/>
      <c r="AG85" s="2803"/>
      <c r="AH85" s="2803"/>
      <c r="AI85" s="2802"/>
      <c r="AJ85" s="2803"/>
      <c r="AK85" s="2803"/>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c r="BG85" s="2010"/>
    </row>
    <row r="86" spans="1:59" ht="11.25" customHeight="1">
      <c r="A86" s="1084" t="s">
        <v>984</v>
      </c>
      <c r="B86" s="1084" t="s">
        <v>1018</v>
      </c>
      <c r="C86" s="1084"/>
      <c r="D86" s="1078"/>
      <c r="E86" s="1088"/>
      <c r="F86" s="2791"/>
      <c r="G86" s="2776" t="s">
        <v>680</v>
      </c>
      <c r="H86" s="2787" t="s">
        <v>88</v>
      </c>
      <c r="I86" s="2799" t="s">
        <v>1019</v>
      </c>
      <c r="J86" s="2800" t="s">
        <v>1035</v>
      </c>
      <c r="K86" s="2801" t="s">
        <v>1051</v>
      </c>
      <c r="L86" s="2524" t="s">
        <v>19</v>
      </c>
      <c r="M86" s="2525"/>
      <c r="N86" s="1898"/>
      <c r="O86" s="1095" t="s">
        <v>367</v>
      </c>
      <c r="P86" s="1096"/>
      <c r="Q86" s="1096"/>
      <c r="R86" s="1096"/>
      <c r="S86" s="1096"/>
      <c r="T86" s="1096"/>
      <c r="U86" s="1096"/>
      <c r="V86" s="1096"/>
      <c r="W86" s="1096"/>
      <c r="X86" s="1096"/>
      <c r="Y86" s="1096"/>
      <c r="Z86" s="1096"/>
      <c r="AA86" s="1096"/>
      <c r="AB86" s="1096"/>
      <c r="AC86" s="1096"/>
      <c r="AD86" s="1096"/>
      <c r="AE86" s="1096"/>
      <c r="AF86" s="2802">
        <v>1</v>
      </c>
      <c r="AG86" s="2803" t="s">
        <v>1022</v>
      </c>
      <c r="AH86" s="2803" t="s">
        <v>1038</v>
      </c>
      <c r="AI86" s="2802"/>
      <c r="AJ86" s="2803"/>
      <c r="AK86" s="2803"/>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c r="BG86" s="2010"/>
    </row>
    <row r="87" spans="1:59" ht="11.25" customHeight="1">
      <c r="A87" s="1084" t="s">
        <v>984</v>
      </c>
      <c r="B87" s="1084"/>
      <c r="C87" s="1084"/>
      <c r="D87" s="1078"/>
      <c r="E87" s="1088"/>
      <c r="F87" s="2791"/>
      <c r="G87" s="2798"/>
      <c r="H87" s="2787" t="s">
        <v>104</v>
      </c>
      <c r="I87" s="2799"/>
      <c r="J87" s="2800"/>
      <c r="K87" s="2801"/>
      <c r="L87" s="2524"/>
      <c r="M87" s="2525"/>
      <c r="N87" s="2804"/>
      <c r="O87" s="2805">
        <v>1</v>
      </c>
      <c r="P87" s="2806" t="s">
        <v>65</v>
      </c>
      <c r="Q87" s="2800" t="s">
        <v>1024</v>
      </c>
      <c r="R87" s="2809" t="s">
        <v>1025</v>
      </c>
      <c r="S87" s="2809" t="s">
        <v>1026</v>
      </c>
      <c r="T87" s="2809" t="s">
        <v>1026</v>
      </c>
      <c r="U87" s="2809" t="s">
        <v>1027</v>
      </c>
      <c r="V87" s="2809" t="s">
        <v>1028</v>
      </c>
      <c r="W87" s="2809" t="s">
        <v>1029</v>
      </c>
      <c r="X87" s="2809" t="s">
        <v>1030</v>
      </c>
      <c r="Y87" s="2809" t="s">
        <v>1031</v>
      </c>
      <c r="Z87" s="1093"/>
      <c r="AA87" s="1094"/>
      <c r="AB87" s="1094"/>
      <c r="AC87" s="1098"/>
      <c r="AD87" s="1098"/>
      <c r="AE87" s="1099"/>
      <c r="AF87" s="2802"/>
      <c r="AG87" s="2803"/>
      <c r="AH87" s="2803"/>
      <c r="AI87" s="2802"/>
      <c r="AJ87" s="2803"/>
      <c r="AK87" s="280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c r="BG87" s="2010"/>
    </row>
    <row r="88" spans="1:59" ht="11.25" customHeight="1">
      <c r="A88" s="1084" t="s">
        <v>984</v>
      </c>
      <c r="B88" s="1084"/>
      <c r="C88" s="1084"/>
      <c r="D88" s="1078"/>
      <c r="E88" s="1088"/>
      <c r="F88" s="2791"/>
      <c r="G88" s="2798"/>
      <c r="H88" s="2787" t="s">
        <v>104</v>
      </c>
      <c r="I88" s="2799"/>
      <c r="J88" s="2800"/>
      <c r="K88" s="2801"/>
      <c r="L88" s="2524"/>
      <c r="M88" s="2525"/>
      <c r="N88" s="2804"/>
      <c r="O88" s="2805"/>
      <c r="P88" s="2807"/>
      <c r="Q88" s="2800"/>
      <c r="R88" s="2759"/>
      <c r="S88" s="2809"/>
      <c r="T88" s="2759"/>
      <c r="U88" s="2759"/>
      <c r="V88" s="2759"/>
      <c r="W88" s="2759"/>
      <c r="X88" s="2759"/>
      <c r="Y88" s="2759"/>
      <c r="Z88" s="1743"/>
      <c r="AA88" s="1711">
        <v>1</v>
      </c>
      <c r="AB88" s="1097" t="s">
        <v>1050</v>
      </c>
      <c r="AC88" s="1087">
        <v>1317.8954900000001</v>
      </c>
      <c r="AD88" s="1097" t="str">
        <f>AB88</f>
        <v xml:space="preserve">  Прочие собственные средства</v>
      </c>
      <c r="AE88" s="1087"/>
      <c r="AF88" s="2802"/>
      <c r="AG88" s="2803"/>
      <c r="AH88" s="2803"/>
      <c r="AI88" s="2802"/>
      <c r="AJ88" s="2803"/>
      <c r="AK88" s="2803"/>
      <c r="AL88" s="1900"/>
      <c r="AM88" s="1738"/>
      <c r="AN88" s="1738"/>
      <c r="AO88" s="1738"/>
      <c r="AP88" s="1738"/>
      <c r="AQ88" s="1738"/>
      <c r="AR88" s="1738"/>
      <c r="AS88" s="1738"/>
      <c r="AT88" s="1738"/>
      <c r="AU88" s="1738"/>
      <c r="AV88" s="1738"/>
      <c r="AW88" s="1738"/>
      <c r="AX88" s="1738"/>
      <c r="AY88" s="1738"/>
      <c r="AZ88" s="1738"/>
      <c r="BA88" s="1738"/>
      <c r="BB88" s="1738"/>
      <c r="BC88" s="1738"/>
      <c r="BD88" s="1738"/>
      <c r="BE88" s="1738"/>
      <c r="BF88" s="1738"/>
      <c r="BG88" s="2010"/>
    </row>
    <row r="89" spans="1:59" ht="11.25" customHeight="1">
      <c r="A89" s="1084" t="s">
        <v>984</v>
      </c>
      <c r="B89" s="1084"/>
      <c r="C89" s="1084"/>
      <c r="D89" s="1078"/>
      <c r="E89" s="1088"/>
      <c r="F89" s="2791"/>
      <c r="G89" s="2798"/>
      <c r="H89" s="2787" t="s">
        <v>104</v>
      </c>
      <c r="I89" s="2799"/>
      <c r="J89" s="2800"/>
      <c r="K89" s="2801"/>
      <c r="L89" s="2524"/>
      <c r="M89" s="2525"/>
      <c r="N89" s="2804"/>
      <c r="O89" s="2805"/>
      <c r="P89" s="2808"/>
      <c r="Q89" s="2800"/>
      <c r="R89" s="2759"/>
      <c r="S89" s="2809"/>
      <c r="T89" s="2759"/>
      <c r="U89" s="2759"/>
      <c r="V89" s="2759"/>
      <c r="W89" s="2759"/>
      <c r="X89" s="2759"/>
      <c r="Y89" s="2759"/>
      <c r="Z89" s="1093"/>
      <c r="AA89" s="1094"/>
      <c r="AB89" s="1159" t="s">
        <v>1033</v>
      </c>
      <c r="AC89" s="1098"/>
      <c r="AD89" s="1098"/>
      <c r="AE89" s="1100"/>
      <c r="AF89" s="2802"/>
      <c r="AG89" s="2803"/>
      <c r="AH89" s="2803"/>
      <c r="AI89" s="2802"/>
      <c r="AJ89" s="2803"/>
      <c r="AK89" s="2803"/>
      <c r="AL89" s="1900"/>
      <c r="AM89" s="1738"/>
      <c r="AN89" s="1738"/>
      <c r="AO89" s="1738"/>
      <c r="AP89" s="1738"/>
      <c r="AQ89" s="1738"/>
      <c r="AR89" s="1738"/>
      <c r="AS89" s="1738"/>
      <c r="AT89" s="1738"/>
      <c r="AU89" s="1738"/>
      <c r="AV89" s="1738"/>
      <c r="AW89" s="1738"/>
      <c r="AX89" s="1738"/>
      <c r="AY89" s="1738"/>
      <c r="AZ89" s="1738"/>
      <c r="BA89" s="1738"/>
      <c r="BB89" s="1738"/>
      <c r="BC89" s="1738"/>
      <c r="BD89" s="1738"/>
      <c r="BE89" s="1738"/>
      <c r="BF89" s="1738"/>
      <c r="BG89" s="2010"/>
    </row>
    <row r="90" spans="1:59" ht="11.25" customHeight="1">
      <c r="A90" s="1084" t="s">
        <v>984</v>
      </c>
      <c r="B90" s="1084"/>
      <c r="C90" s="1084"/>
      <c r="D90" s="1078"/>
      <c r="E90" s="1088"/>
      <c r="F90" s="2791"/>
      <c r="G90" s="2798"/>
      <c r="H90" s="2787" t="s">
        <v>104</v>
      </c>
      <c r="I90" s="2799"/>
      <c r="J90" s="2800"/>
      <c r="K90" s="2801"/>
      <c r="L90" s="2524"/>
      <c r="M90" s="2525"/>
      <c r="N90" s="1093"/>
      <c r="O90" s="1094"/>
      <c r="P90" s="1086" t="s">
        <v>1034</v>
      </c>
      <c r="Q90" s="1094"/>
      <c r="R90" s="1094"/>
      <c r="S90" s="1094"/>
      <c r="T90" s="1094"/>
      <c r="U90" s="1094"/>
      <c r="V90" s="1094"/>
      <c r="W90" s="1094"/>
      <c r="X90" s="1094"/>
      <c r="Y90" s="1094"/>
      <c r="Z90" s="1094"/>
      <c r="AA90" s="1094"/>
      <c r="AB90" s="1094"/>
      <c r="AC90" s="1094"/>
      <c r="AD90" s="1094"/>
      <c r="AE90" s="1101"/>
      <c r="AF90" s="2802"/>
      <c r="AG90" s="2803"/>
      <c r="AH90" s="2803"/>
      <c r="AI90" s="2802"/>
      <c r="AJ90" s="2803"/>
      <c r="AK90" s="2803"/>
      <c r="AL90" s="1900"/>
      <c r="AM90" s="1738"/>
      <c r="AN90" s="1738"/>
      <c r="AO90" s="1738"/>
      <c r="AP90" s="1738"/>
      <c r="AQ90" s="1738"/>
      <c r="AR90" s="1738"/>
      <c r="AS90" s="1738"/>
      <c r="AT90" s="1738"/>
      <c r="AU90" s="1738"/>
      <c r="AV90" s="1738"/>
      <c r="AW90" s="1738"/>
      <c r="AX90" s="1738"/>
      <c r="AY90" s="1738"/>
      <c r="AZ90" s="1738"/>
      <c r="BA90" s="1738"/>
      <c r="BB90" s="1738"/>
      <c r="BC90" s="1738"/>
      <c r="BD90" s="1738"/>
      <c r="BE90" s="1738"/>
      <c r="BF90" s="1738"/>
      <c r="BG90" s="2010"/>
    </row>
    <row r="91" spans="1:59" ht="11.25" customHeight="1">
      <c r="A91" s="1084" t="s">
        <v>984</v>
      </c>
      <c r="B91" s="1084" t="s">
        <v>1018</v>
      </c>
      <c r="C91" s="1084"/>
      <c r="D91" s="1078"/>
      <c r="E91" s="1088"/>
      <c r="F91" s="2791"/>
      <c r="G91" s="2776" t="s">
        <v>680</v>
      </c>
      <c r="H91" s="2787" t="s">
        <v>89</v>
      </c>
      <c r="I91" s="2799" t="s">
        <v>1019</v>
      </c>
      <c r="J91" s="2800" t="s">
        <v>1035</v>
      </c>
      <c r="K91" s="2801" t="s">
        <v>1052</v>
      </c>
      <c r="L91" s="2524" t="s">
        <v>19</v>
      </c>
      <c r="M91" s="2525"/>
      <c r="N91" s="1898"/>
      <c r="O91" s="1095" t="s">
        <v>367</v>
      </c>
      <c r="P91" s="1096"/>
      <c r="Q91" s="1096"/>
      <c r="R91" s="1096"/>
      <c r="S91" s="1096"/>
      <c r="T91" s="1096"/>
      <c r="U91" s="1096"/>
      <c r="V91" s="1096"/>
      <c r="W91" s="1096"/>
      <c r="X91" s="1096"/>
      <c r="Y91" s="1096"/>
      <c r="Z91" s="1096"/>
      <c r="AA91" s="1096"/>
      <c r="AB91" s="1096"/>
      <c r="AC91" s="1096"/>
      <c r="AD91" s="1096"/>
      <c r="AE91" s="1096"/>
      <c r="AF91" s="2802">
        <v>5</v>
      </c>
      <c r="AG91" s="2803" t="s">
        <v>1022</v>
      </c>
      <c r="AH91" s="2803" t="s">
        <v>1045</v>
      </c>
      <c r="AI91" s="2802"/>
      <c r="AJ91" s="2803"/>
      <c r="AK91" s="2803"/>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c r="BG91" s="2010"/>
    </row>
    <row r="92" spans="1:59" ht="11.25" customHeight="1">
      <c r="A92" s="1084" t="s">
        <v>984</v>
      </c>
      <c r="B92" s="1084"/>
      <c r="C92" s="1084"/>
      <c r="D92" s="1078"/>
      <c r="E92" s="1088"/>
      <c r="F92" s="2791"/>
      <c r="G92" s="2798"/>
      <c r="H92" s="2787" t="s">
        <v>88</v>
      </c>
      <c r="I92" s="2799"/>
      <c r="J92" s="2800"/>
      <c r="K92" s="2801"/>
      <c r="L92" s="2524"/>
      <c r="M92" s="2525"/>
      <c r="N92" s="2804"/>
      <c r="O92" s="2805">
        <v>1</v>
      </c>
      <c r="P92" s="2806" t="s">
        <v>65</v>
      </c>
      <c r="Q92" s="2800" t="s">
        <v>1024</v>
      </c>
      <c r="R92" s="2809" t="s">
        <v>1025</v>
      </c>
      <c r="S92" s="2809" t="s">
        <v>1026</v>
      </c>
      <c r="T92" s="2809" t="s">
        <v>1026</v>
      </c>
      <c r="U92" s="2809" t="s">
        <v>1027</v>
      </c>
      <c r="V92" s="2809" t="s">
        <v>1028</v>
      </c>
      <c r="W92" s="2809" t="s">
        <v>1029</v>
      </c>
      <c r="X92" s="2809" t="s">
        <v>1030</v>
      </c>
      <c r="Y92" s="2809" t="s">
        <v>1031</v>
      </c>
      <c r="Z92" s="1093"/>
      <c r="AA92" s="1094"/>
      <c r="AB92" s="1094"/>
      <c r="AC92" s="1098"/>
      <c r="AD92" s="1098"/>
      <c r="AE92" s="1099"/>
      <c r="AF92" s="2802"/>
      <c r="AG92" s="2803"/>
      <c r="AH92" s="2803"/>
      <c r="AI92" s="2802"/>
      <c r="AJ92" s="2803"/>
      <c r="AK92" s="2803"/>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c r="BG92" s="2010"/>
    </row>
    <row r="93" spans="1:59" ht="11.25" customHeight="1">
      <c r="A93" s="1084" t="s">
        <v>984</v>
      </c>
      <c r="B93" s="1084"/>
      <c r="C93" s="1084"/>
      <c r="D93" s="1078"/>
      <c r="E93" s="1088"/>
      <c r="F93" s="2791"/>
      <c r="G93" s="2798"/>
      <c r="H93" s="2787" t="s">
        <v>88</v>
      </c>
      <c r="I93" s="2799"/>
      <c r="J93" s="2800"/>
      <c r="K93" s="2801"/>
      <c r="L93" s="2524"/>
      <c r="M93" s="2525"/>
      <c r="N93" s="2804"/>
      <c r="O93" s="2805"/>
      <c r="P93" s="2807"/>
      <c r="Q93" s="2800"/>
      <c r="R93" s="2759"/>
      <c r="S93" s="2809"/>
      <c r="T93" s="2759"/>
      <c r="U93" s="2759"/>
      <c r="V93" s="2759"/>
      <c r="W93" s="2759"/>
      <c r="X93" s="2759"/>
      <c r="Y93" s="2759"/>
      <c r="Z93" s="1743"/>
      <c r="AA93" s="1711">
        <v>1</v>
      </c>
      <c r="AB93" s="1097" t="s">
        <v>1032</v>
      </c>
      <c r="AC93" s="1087">
        <v>9406.4790499999999</v>
      </c>
      <c r="AD93" s="1097" t="str">
        <f>AB93</f>
        <v xml:space="preserve">      Амортизационные отчисления с выделением результатов переоценки основных средств и нематериальных активов</v>
      </c>
      <c r="AE93" s="1087"/>
      <c r="AF93" s="2802"/>
      <c r="AG93" s="2803"/>
      <c r="AH93" s="2803"/>
      <c r="AI93" s="2802"/>
      <c r="AJ93" s="2803"/>
      <c r="AK93" s="2803"/>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c r="BG93" s="2010"/>
    </row>
    <row r="94" spans="1:59" ht="11.25" customHeight="1">
      <c r="A94" s="1084" t="s">
        <v>984</v>
      </c>
      <c r="B94" s="1084"/>
      <c r="C94" s="1084"/>
      <c r="D94" s="1078"/>
      <c r="E94" s="1088"/>
      <c r="F94" s="2791"/>
      <c r="G94" s="2798"/>
      <c r="H94" s="2787" t="s">
        <v>88</v>
      </c>
      <c r="I94" s="2799"/>
      <c r="J94" s="2800"/>
      <c r="K94" s="2801"/>
      <c r="L94" s="2524"/>
      <c r="M94" s="2525"/>
      <c r="N94" s="2804"/>
      <c r="O94" s="2805"/>
      <c r="P94" s="2808"/>
      <c r="Q94" s="2800"/>
      <c r="R94" s="2759"/>
      <c r="S94" s="2809"/>
      <c r="T94" s="2759"/>
      <c r="U94" s="2759"/>
      <c r="V94" s="2759"/>
      <c r="W94" s="2759"/>
      <c r="X94" s="2759"/>
      <c r="Y94" s="2759"/>
      <c r="Z94" s="1093"/>
      <c r="AA94" s="1094"/>
      <c r="AB94" s="1159" t="s">
        <v>1033</v>
      </c>
      <c r="AC94" s="1098"/>
      <c r="AD94" s="1098"/>
      <c r="AE94" s="1100"/>
      <c r="AF94" s="2802"/>
      <c r="AG94" s="2803"/>
      <c r="AH94" s="2803"/>
      <c r="AI94" s="2802"/>
      <c r="AJ94" s="2803"/>
      <c r="AK94" s="2803"/>
      <c r="AL94" s="1900"/>
      <c r="AM94" s="1738"/>
      <c r="AN94" s="1738"/>
      <c r="AO94" s="1738"/>
      <c r="AP94" s="1738"/>
      <c r="AQ94" s="1738"/>
      <c r="AR94" s="1738"/>
      <c r="AS94" s="1738"/>
      <c r="AT94" s="1738"/>
      <c r="AU94" s="1738"/>
      <c r="AV94" s="1738"/>
      <c r="AW94" s="1738"/>
      <c r="AX94" s="1738"/>
      <c r="AY94" s="1738"/>
      <c r="AZ94" s="1738"/>
      <c r="BA94" s="1738"/>
      <c r="BB94" s="1738"/>
      <c r="BC94" s="1738"/>
      <c r="BD94" s="1738"/>
      <c r="BE94" s="1738"/>
      <c r="BF94" s="1738"/>
      <c r="BG94" s="2010"/>
    </row>
    <row r="95" spans="1:59" ht="11.25" customHeight="1">
      <c r="A95" s="1084" t="s">
        <v>984</v>
      </c>
      <c r="B95" s="1084"/>
      <c r="C95" s="1084"/>
      <c r="D95" s="1078"/>
      <c r="E95" s="1088"/>
      <c r="F95" s="2791"/>
      <c r="G95" s="2798"/>
      <c r="H95" s="2787" t="s">
        <v>88</v>
      </c>
      <c r="I95" s="2799"/>
      <c r="J95" s="2800"/>
      <c r="K95" s="2801"/>
      <c r="L95" s="2524"/>
      <c r="M95" s="2525"/>
      <c r="N95" s="1093"/>
      <c r="O95" s="1094"/>
      <c r="P95" s="1086" t="s">
        <v>1034</v>
      </c>
      <c r="Q95" s="1094"/>
      <c r="R95" s="1094"/>
      <c r="S95" s="1094"/>
      <c r="T95" s="1094"/>
      <c r="U95" s="1094"/>
      <c r="V95" s="1094"/>
      <c r="W95" s="1094"/>
      <c r="X95" s="1094"/>
      <c r="Y95" s="1094"/>
      <c r="Z95" s="1094"/>
      <c r="AA95" s="1094"/>
      <c r="AB95" s="1094"/>
      <c r="AC95" s="1094"/>
      <c r="AD95" s="1094"/>
      <c r="AE95" s="1101"/>
      <c r="AF95" s="2802"/>
      <c r="AG95" s="2803"/>
      <c r="AH95" s="2803"/>
      <c r="AI95" s="2802"/>
      <c r="AJ95" s="2803"/>
      <c r="AK95" s="2803"/>
      <c r="AL95" s="1900"/>
      <c r="AM95" s="1738"/>
      <c r="AN95" s="1738"/>
      <c r="AO95" s="1738"/>
      <c r="AP95" s="1738"/>
      <c r="AQ95" s="1738"/>
      <c r="AR95" s="1738"/>
      <c r="AS95" s="1738"/>
      <c r="AT95" s="1738"/>
      <c r="AU95" s="1738"/>
      <c r="AV95" s="1738"/>
      <c r="AW95" s="1738"/>
      <c r="AX95" s="1738"/>
      <c r="AY95" s="1738"/>
      <c r="AZ95" s="1738"/>
      <c r="BA95" s="1738"/>
      <c r="BB95" s="1738"/>
      <c r="BC95" s="1738"/>
      <c r="BD95" s="1738"/>
      <c r="BE95" s="1738"/>
      <c r="BF95" s="1738"/>
      <c r="BG95" s="2010"/>
    </row>
    <row r="96" spans="1:59" ht="11.25" customHeight="1">
      <c r="A96" s="1084" t="s">
        <v>984</v>
      </c>
      <c r="B96" s="1084" t="s">
        <v>1018</v>
      </c>
      <c r="C96" s="1084"/>
      <c r="D96" s="1078"/>
      <c r="E96" s="1088"/>
      <c r="F96" s="2791"/>
      <c r="G96" s="2776" t="s">
        <v>680</v>
      </c>
      <c r="H96" s="2787" t="s">
        <v>105</v>
      </c>
      <c r="I96" s="2799" t="s">
        <v>1019</v>
      </c>
      <c r="J96" s="2800" t="s">
        <v>1035</v>
      </c>
      <c r="K96" s="2801" t="s">
        <v>1053</v>
      </c>
      <c r="L96" s="2524" t="s">
        <v>19</v>
      </c>
      <c r="M96" s="2525"/>
      <c r="N96" s="1898"/>
      <c r="O96" s="1095" t="s">
        <v>367</v>
      </c>
      <c r="P96" s="1096"/>
      <c r="Q96" s="1096"/>
      <c r="R96" s="1096"/>
      <c r="S96" s="1096"/>
      <c r="T96" s="1096"/>
      <c r="U96" s="1096"/>
      <c r="V96" s="1096"/>
      <c r="W96" s="1096"/>
      <c r="X96" s="1096"/>
      <c r="Y96" s="1096"/>
      <c r="Z96" s="1096"/>
      <c r="AA96" s="1096"/>
      <c r="AB96" s="1096"/>
      <c r="AC96" s="1096"/>
      <c r="AD96" s="1096"/>
      <c r="AE96" s="1096"/>
      <c r="AF96" s="2802">
        <v>2</v>
      </c>
      <c r="AG96" s="2803" t="s">
        <v>1022</v>
      </c>
      <c r="AH96" s="2803" t="s">
        <v>1042</v>
      </c>
      <c r="AI96" s="2802"/>
      <c r="AJ96" s="2803"/>
      <c r="AK96" s="2803"/>
      <c r="AL96" s="1900"/>
      <c r="AM96" s="1738"/>
      <c r="AN96" s="1738"/>
      <c r="AO96" s="1738"/>
      <c r="AP96" s="1738"/>
      <c r="AQ96" s="1738"/>
      <c r="AR96" s="1738"/>
      <c r="AS96" s="1738"/>
      <c r="AT96" s="1738"/>
      <c r="AU96" s="1738"/>
      <c r="AV96" s="1738"/>
      <c r="AW96" s="1738"/>
      <c r="AX96" s="1738"/>
      <c r="AY96" s="1738"/>
      <c r="AZ96" s="1738"/>
      <c r="BA96" s="1738"/>
      <c r="BB96" s="1738"/>
      <c r="BC96" s="1738"/>
      <c r="BD96" s="1738"/>
      <c r="BE96" s="1738"/>
      <c r="BF96" s="1738"/>
      <c r="BG96" s="2010"/>
    </row>
    <row r="97" spans="1:59" ht="11.25" customHeight="1">
      <c r="A97" s="1084" t="s">
        <v>984</v>
      </c>
      <c r="B97" s="1084"/>
      <c r="C97" s="1084"/>
      <c r="D97" s="1078"/>
      <c r="E97" s="1088"/>
      <c r="F97" s="2791"/>
      <c r="G97" s="2798"/>
      <c r="H97" s="2787" t="s">
        <v>89</v>
      </c>
      <c r="I97" s="2799"/>
      <c r="J97" s="2800"/>
      <c r="K97" s="2801"/>
      <c r="L97" s="2524"/>
      <c r="M97" s="2525"/>
      <c r="N97" s="2804"/>
      <c r="O97" s="2805">
        <v>1</v>
      </c>
      <c r="P97" s="2806" t="s">
        <v>65</v>
      </c>
      <c r="Q97" s="2800" t="s">
        <v>1024</v>
      </c>
      <c r="R97" s="2809" t="s">
        <v>1025</v>
      </c>
      <c r="S97" s="2809" t="s">
        <v>1026</v>
      </c>
      <c r="T97" s="2809" t="s">
        <v>1026</v>
      </c>
      <c r="U97" s="2809" t="s">
        <v>1027</v>
      </c>
      <c r="V97" s="2809" t="s">
        <v>1028</v>
      </c>
      <c r="W97" s="2809" t="s">
        <v>1029</v>
      </c>
      <c r="X97" s="2809" t="s">
        <v>1030</v>
      </c>
      <c r="Y97" s="2809" t="s">
        <v>1031</v>
      </c>
      <c r="Z97" s="1093"/>
      <c r="AA97" s="1094"/>
      <c r="AB97" s="1094"/>
      <c r="AC97" s="1098"/>
      <c r="AD97" s="1098"/>
      <c r="AE97" s="1099"/>
      <c r="AF97" s="2802"/>
      <c r="AG97" s="2803"/>
      <c r="AH97" s="2803"/>
      <c r="AI97" s="2802"/>
      <c r="AJ97" s="2803"/>
      <c r="AK97" s="2803"/>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c r="BG97" s="2010"/>
    </row>
    <row r="98" spans="1:59" ht="11.25" customHeight="1">
      <c r="A98" s="1084" t="s">
        <v>984</v>
      </c>
      <c r="B98" s="1084"/>
      <c r="C98" s="1084"/>
      <c r="D98" s="1078"/>
      <c r="E98" s="1088"/>
      <c r="F98" s="2791"/>
      <c r="G98" s="2798"/>
      <c r="H98" s="2787" t="s">
        <v>89</v>
      </c>
      <c r="I98" s="2799"/>
      <c r="J98" s="2800"/>
      <c r="K98" s="2801"/>
      <c r="L98" s="2524"/>
      <c r="M98" s="2525"/>
      <c r="N98" s="2804"/>
      <c r="O98" s="2805"/>
      <c r="P98" s="2807"/>
      <c r="Q98" s="2800"/>
      <c r="R98" s="2759"/>
      <c r="S98" s="2809"/>
      <c r="T98" s="2759"/>
      <c r="U98" s="2759"/>
      <c r="V98" s="2759"/>
      <c r="W98" s="2759"/>
      <c r="X98" s="2759"/>
      <c r="Y98" s="2759"/>
      <c r="Z98" s="1743"/>
      <c r="AA98" s="1711">
        <v>1</v>
      </c>
      <c r="AB98" s="1097" t="s">
        <v>1032</v>
      </c>
      <c r="AC98" s="1087">
        <v>4760.7843899999998</v>
      </c>
      <c r="AD98" s="1097" t="str">
        <f>AB98</f>
        <v xml:space="preserve">      Амортизационные отчисления с выделением результатов переоценки основных средств и нематериальных активов</v>
      </c>
      <c r="AE98" s="1087"/>
      <c r="AF98" s="2802"/>
      <c r="AG98" s="2803"/>
      <c r="AH98" s="2803"/>
      <c r="AI98" s="2802"/>
      <c r="AJ98" s="2803"/>
      <c r="AK98" s="2803"/>
      <c r="AL98" s="1900"/>
      <c r="AM98" s="1738"/>
      <c r="AN98" s="1738"/>
      <c r="AO98" s="1738"/>
      <c r="AP98" s="1738"/>
      <c r="AQ98" s="1738"/>
      <c r="AR98" s="1738"/>
      <c r="AS98" s="1738"/>
      <c r="AT98" s="1738"/>
      <c r="AU98" s="1738"/>
      <c r="AV98" s="1738"/>
      <c r="AW98" s="1738"/>
      <c r="AX98" s="1738"/>
      <c r="AY98" s="1738"/>
      <c r="AZ98" s="1738"/>
      <c r="BA98" s="1738"/>
      <c r="BB98" s="1738"/>
      <c r="BC98" s="1738"/>
      <c r="BD98" s="1738"/>
      <c r="BE98" s="1738"/>
      <c r="BF98" s="1738"/>
      <c r="BG98" s="2010"/>
    </row>
    <row r="99" spans="1:59" ht="11.25" customHeight="1">
      <c r="A99" s="1084" t="s">
        <v>984</v>
      </c>
      <c r="B99" s="1084"/>
      <c r="C99" s="1084"/>
      <c r="D99" s="1078"/>
      <c r="E99" s="1088"/>
      <c r="F99" s="2798"/>
      <c r="G99" s="2798"/>
      <c r="H99" s="2798"/>
      <c r="I99" s="2798"/>
      <c r="J99" s="2798"/>
      <c r="K99" s="2798"/>
      <c r="L99" s="2798"/>
      <c r="M99" s="2798"/>
      <c r="N99" s="2798"/>
      <c r="O99" s="2798"/>
      <c r="P99" s="2798"/>
      <c r="Q99" s="2798"/>
      <c r="R99" s="2798"/>
      <c r="S99" s="2798"/>
      <c r="T99" s="2798"/>
      <c r="U99" s="2798"/>
      <c r="V99" s="2798"/>
      <c r="W99" s="2798"/>
      <c r="X99" s="2798"/>
      <c r="Y99" s="2798"/>
      <c r="Z99" s="2393" t="s">
        <v>680</v>
      </c>
      <c r="AA99" s="1731" t="s">
        <v>103</v>
      </c>
      <c r="AB99" s="1097" t="s">
        <v>1050</v>
      </c>
      <c r="AC99" s="1087">
        <v>1622.2894699999999</v>
      </c>
      <c r="AD99" s="1097" t="str">
        <f>AB99</f>
        <v xml:space="preserve">  Прочие собственные средства</v>
      </c>
      <c r="AE99" s="1087"/>
      <c r="AF99" s="2810"/>
      <c r="AG99" s="2811"/>
      <c r="AH99" s="2811"/>
      <c r="AI99" s="2810"/>
      <c r="AJ99" s="2811"/>
      <c r="AK99" s="2812"/>
      <c r="AL99" s="1900"/>
      <c r="AM99" s="1738"/>
      <c r="AN99" s="1738"/>
      <c r="AO99" s="1738"/>
      <c r="AP99" s="1738"/>
      <c r="AQ99" s="1738"/>
      <c r="AR99" s="1738"/>
      <c r="AS99" s="1738"/>
      <c r="AT99" s="1738"/>
      <c r="AU99" s="1738"/>
      <c r="AV99" s="1738"/>
      <c r="AW99" s="1738"/>
      <c r="AX99" s="1738"/>
      <c r="AY99" s="1738"/>
      <c r="AZ99" s="1738"/>
      <c r="BA99" s="1738"/>
      <c r="BB99" s="1738"/>
      <c r="BC99" s="1738"/>
      <c r="BD99" s="1738"/>
      <c r="BE99" s="1738"/>
      <c r="BF99" s="1738"/>
      <c r="BG99" s="2394"/>
    </row>
    <row r="100" spans="1:59" ht="11.25" customHeight="1">
      <c r="A100" s="1084" t="s">
        <v>984</v>
      </c>
      <c r="B100" s="1084"/>
      <c r="C100" s="1084"/>
      <c r="D100" s="1078"/>
      <c r="E100" s="1088"/>
      <c r="F100" s="2791"/>
      <c r="G100" s="2798"/>
      <c r="H100" s="2787" t="s">
        <v>89</v>
      </c>
      <c r="I100" s="2799"/>
      <c r="J100" s="2800"/>
      <c r="K100" s="2801"/>
      <c r="L100" s="2524"/>
      <c r="M100" s="2525"/>
      <c r="N100" s="2804"/>
      <c r="O100" s="2805"/>
      <c r="P100" s="2808"/>
      <c r="Q100" s="2800"/>
      <c r="R100" s="2759"/>
      <c r="S100" s="2809"/>
      <c r="T100" s="2759"/>
      <c r="U100" s="2759"/>
      <c r="V100" s="2759"/>
      <c r="W100" s="2759"/>
      <c r="X100" s="2759"/>
      <c r="Y100" s="2759"/>
      <c r="Z100" s="1093"/>
      <c r="AA100" s="1094"/>
      <c r="AB100" s="1159" t="s">
        <v>1033</v>
      </c>
      <c r="AC100" s="1098"/>
      <c r="AD100" s="1098"/>
      <c r="AE100" s="1100"/>
      <c r="AF100" s="2802"/>
      <c r="AG100" s="2803"/>
      <c r="AH100" s="2803"/>
      <c r="AI100" s="2802"/>
      <c r="AJ100" s="2803"/>
      <c r="AK100" s="2803"/>
      <c r="AL100" s="1900"/>
      <c r="AM100" s="1738"/>
      <c r="AN100" s="1738"/>
      <c r="AO100" s="1738"/>
      <c r="AP100" s="1738"/>
      <c r="AQ100" s="1738"/>
      <c r="AR100" s="1738"/>
      <c r="AS100" s="1738"/>
      <c r="AT100" s="1738"/>
      <c r="AU100" s="1738"/>
      <c r="AV100" s="1738"/>
      <c r="AW100" s="1738"/>
      <c r="AX100" s="1738"/>
      <c r="AY100" s="1738"/>
      <c r="AZ100" s="1738"/>
      <c r="BA100" s="1738"/>
      <c r="BB100" s="1738"/>
      <c r="BC100" s="1738"/>
      <c r="BD100" s="1738"/>
      <c r="BE100" s="1738"/>
      <c r="BF100" s="1738"/>
      <c r="BG100" s="2010"/>
    </row>
    <row r="101" spans="1:59" ht="11.25" customHeight="1">
      <c r="A101" s="1084" t="s">
        <v>984</v>
      </c>
      <c r="B101" s="1084"/>
      <c r="C101" s="1084"/>
      <c r="D101" s="1078"/>
      <c r="E101" s="1088"/>
      <c r="F101" s="2791"/>
      <c r="G101" s="2798"/>
      <c r="H101" s="2787" t="s">
        <v>89</v>
      </c>
      <c r="I101" s="2799"/>
      <c r="J101" s="2800"/>
      <c r="K101" s="2801"/>
      <c r="L101" s="2524"/>
      <c r="M101" s="2525"/>
      <c r="N101" s="1093"/>
      <c r="O101" s="1094"/>
      <c r="P101" s="1086" t="s">
        <v>1034</v>
      </c>
      <c r="Q101" s="1094"/>
      <c r="R101" s="1094"/>
      <c r="S101" s="1094"/>
      <c r="T101" s="1094"/>
      <c r="U101" s="1094"/>
      <c r="V101" s="1094"/>
      <c r="W101" s="1094"/>
      <c r="X101" s="1094"/>
      <c r="Y101" s="1094"/>
      <c r="Z101" s="1094"/>
      <c r="AA101" s="1094"/>
      <c r="AB101" s="1094"/>
      <c r="AC101" s="1094"/>
      <c r="AD101" s="1094"/>
      <c r="AE101" s="1101"/>
      <c r="AF101" s="2802"/>
      <c r="AG101" s="2803"/>
      <c r="AH101" s="2803"/>
      <c r="AI101" s="2802"/>
      <c r="AJ101" s="2803"/>
      <c r="AK101" s="2803"/>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c r="BG101" s="2010"/>
    </row>
    <row r="102" spans="1:59" ht="12" customHeight="1">
      <c r="A102" s="1084" t="s">
        <v>984</v>
      </c>
      <c r="B102" s="1084"/>
      <c r="C102" s="1084"/>
      <c r="D102" s="1078"/>
      <c r="E102" s="1088"/>
      <c r="F102" s="2792"/>
      <c r="G102" s="1108"/>
      <c r="H102" s="1108"/>
      <c r="I102" s="2789" t="s">
        <v>1047</v>
      </c>
      <c r="J102" s="2789"/>
      <c r="K102" s="2789"/>
      <c r="L102" s="1091"/>
      <c r="M102" s="1091"/>
      <c r="N102" s="1092"/>
      <c r="O102" s="1092"/>
      <c r="P102" s="1092"/>
      <c r="Q102" s="1092"/>
      <c r="R102" s="1092"/>
      <c r="S102" s="1092"/>
      <c r="T102" s="1092"/>
      <c r="U102" s="1092"/>
      <c r="V102" s="1092"/>
      <c r="W102" s="1092"/>
      <c r="X102" s="1092"/>
      <c r="Y102" s="1092"/>
      <c r="Z102" s="1092"/>
      <c r="AA102" s="1092"/>
      <c r="AB102" s="1092"/>
      <c r="AC102" s="1092"/>
      <c r="AD102" s="1092"/>
      <c r="AE102" s="1092"/>
      <c r="AF102" s="1092"/>
      <c r="AG102" s="1091"/>
      <c r="AH102" s="1091"/>
      <c r="AI102" s="1092"/>
      <c r="AJ102" s="1091"/>
      <c r="AK102" s="1092"/>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c r="BG102" s="2010"/>
    </row>
    <row r="103" spans="1:59" ht="0.75" customHeight="1">
      <c r="A103" s="1084" t="s">
        <v>984</v>
      </c>
      <c r="B103" s="1084"/>
      <c r="C103" s="1084"/>
      <c r="D103" s="1078"/>
      <c r="E103" s="1088"/>
      <c r="F103" s="2790">
        <v>2025</v>
      </c>
      <c r="G103" s="2787"/>
      <c r="H103" s="2794" t="s">
        <v>367</v>
      </c>
      <c r="I103" s="2795"/>
      <c r="J103" s="2786"/>
      <c r="K103" s="2786"/>
      <c r="L103" s="2788"/>
      <c r="M103" s="2639"/>
      <c r="N103" s="1948"/>
      <c r="O103" s="1947"/>
      <c r="P103" s="1948"/>
      <c r="Q103" s="1948"/>
      <c r="R103" s="1948"/>
      <c r="S103" s="1948"/>
      <c r="T103" s="1948"/>
      <c r="U103" s="1948"/>
      <c r="V103" s="1948"/>
      <c r="W103" s="1948"/>
      <c r="X103" s="1948"/>
      <c r="Y103" s="1948"/>
      <c r="Z103" s="1948"/>
      <c r="AA103" s="1948"/>
      <c r="AB103" s="1948"/>
      <c r="AC103" s="1948"/>
      <c r="AD103" s="1948"/>
      <c r="AE103" s="1948"/>
      <c r="AF103" s="2793"/>
      <c r="AG103" s="2788"/>
      <c r="AH103" s="2788"/>
      <c r="AI103" s="2793"/>
      <c r="AJ103" s="2788"/>
      <c r="AK103" s="2788"/>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c r="BG103" s="2010"/>
    </row>
    <row r="104" spans="1:59" ht="0.75" customHeight="1">
      <c r="A104" s="1084" t="s">
        <v>984</v>
      </c>
      <c r="B104" s="1084"/>
      <c r="C104" s="1084"/>
      <c r="D104" s="1078"/>
      <c r="E104" s="1088"/>
      <c r="F104" s="2790"/>
      <c r="G104" s="2787"/>
      <c r="H104" s="2794"/>
      <c r="I104" s="2795"/>
      <c r="J104" s="2786"/>
      <c r="K104" s="2786"/>
      <c r="L104" s="2788"/>
      <c r="M104" s="2639"/>
      <c r="N104" s="2796"/>
      <c r="O104" s="2797"/>
      <c r="P104" s="2783"/>
      <c r="Q104" s="2786"/>
      <c r="R104" s="2786"/>
      <c r="S104" s="2786"/>
      <c r="T104" s="2786"/>
      <c r="U104" s="2786"/>
      <c r="V104" s="2786"/>
      <c r="W104" s="2786"/>
      <c r="X104" s="2786"/>
      <c r="Y104" s="2786"/>
      <c r="Z104" s="1949"/>
      <c r="AA104" s="1950"/>
      <c r="AB104" s="1950"/>
      <c r="AC104" s="1951"/>
      <c r="AD104" s="1951"/>
      <c r="AE104" s="1952"/>
      <c r="AF104" s="2793"/>
      <c r="AG104" s="2788"/>
      <c r="AH104" s="2788"/>
      <c r="AI104" s="2793"/>
      <c r="AJ104" s="2788"/>
      <c r="AK104" s="2788"/>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c r="BG104" s="2010"/>
    </row>
    <row r="105" spans="1:59" ht="0.75" customHeight="1">
      <c r="A105" s="1084" t="s">
        <v>984</v>
      </c>
      <c r="B105" s="1084"/>
      <c r="C105" s="1084"/>
      <c r="D105" s="1078"/>
      <c r="E105" s="1088"/>
      <c r="F105" s="2790"/>
      <c r="G105" s="2787"/>
      <c r="H105" s="2794"/>
      <c r="I105" s="2795"/>
      <c r="J105" s="2786"/>
      <c r="K105" s="2786"/>
      <c r="L105" s="2788"/>
      <c r="M105" s="2639"/>
      <c r="N105" s="2796"/>
      <c r="O105" s="2797"/>
      <c r="P105" s="2784"/>
      <c r="Q105" s="2786"/>
      <c r="R105" s="2786"/>
      <c r="S105" s="2786"/>
      <c r="T105" s="2786"/>
      <c r="U105" s="2786"/>
      <c r="V105" s="2786"/>
      <c r="W105" s="2786"/>
      <c r="X105" s="2786"/>
      <c r="Y105" s="2786"/>
      <c r="Z105" s="1953"/>
      <c r="AA105" s="1954"/>
      <c r="AB105" s="1955"/>
      <c r="AC105" s="1956"/>
      <c r="AD105" s="1955"/>
      <c r="AE105" s="1956"/>
      <c r="AF105" s="2793"/>
      <c r="AG105" s="2788"/>
      <c r="AH105" s="2788"/>
      <c r="AI105" s="2793"/>
      <c r="AJ105" s="2788"/>
      <c r="AK105" s="2788"/>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c r="BG105" s="2010"/>
    </row>
    <row r="106" spans="1:59" ht="0.75" customHeight="1">
      <c r="A106" s="1084" t="s">
        <v>984</v>
      </c>
      <c r="B106" s="1084"/>
      <c r="C106" s="1084"/>
      <c r="D106" s="1078"/>
      <c r="E106" s="1088"/>
      <c r="F106" s="2790"/>
      <c r="G106" s="2787"/>
      <c r="H106" s="2794"/>
      <c r="I106" s="2795"/>
      <c r="J106" s="2786"/>
      <c r="K106" s="2786"/>
      <c r="L106" s="2788"/>
      <c r="M106" s="2639"/>
      <c r="N106" s="2796"/>
      <c r="O106" s="2797"/>
      <c r="P106" s="2785"/>
      <c r="Q106" s="2786"/>
      <c r="R106" s="2786"/>
      <c r="S106" s="2786"/>
      <c r="T106" s="2786"/>
      <c r="U106" s="2786"/>
      <c r="V106" s="2786"/>
      <c r="W106" s="2786"/>
      <c r="X106" s="2786"/>
      <c r="Y106" s="2786"/>
      <c r="Z106" s="1949"/>
      <c r="AA106" s="1950"/>
      <c r="AB106" s="1957"/>
      <c r="AC106" s="1951"/>
      <c r="AD106" s="1951"/>
      <c r="AE106" s="1958"/>
      <c r="AF106" s="2793"/>
      <c r="AG106" s="2788"/>
      <c r="AH106" s="2788"/>
      <c r="AI106" s="2793"/>
      <c r="AJ106" s="2788"/>
      <c r="AK106" s="2788"/>
      <c r="AL106" s="1900"/>
      <c r="AM106" s="1738"/>
      <c r="AN106" s="1738"/>
      <c r="AO106" s="1738"/>
      <c r="AP106" s="1738"/>
      <c r="AQ106" s="1738"/>
      <c r="AR106" s="1738"/>
      <c r="AS106" s="1738"/>
      <c r="AT106" s="1738"/>
      <c r="AU106" s="1738"/>
      <c r="AV106" s="1738"/>
      <c r="AW106" s="1738"/>
      <c r="AX106" s="1738"/>
      <c r="AY106" s="1738"/>
      <c r="AZ106" s="1738"/>
      <c r="BA106" s="1738"/>
      <c r="BB106" s="1738"/>
      <c r="BC106" s="1738"/>
      <c r="BD106" s="1738"/>
      <c r="BE106" s="1738"/>
      <c r="BF106" s="1738"/>
      <c r="BG106" s="2010"/>
    </row>
    <row r="107" spans="1:59" ht="0.75" customHeight="1">
      <c r="A107" s="1084" t="s">
        <v>984</v>
      </c>
      <c r="B107" s="1084"/>
      <c r="C107" s="1084"/>
      <c r="D107" s="1078"/>
      <c r="E107" s="1088"/>
      <c r="F107" s="2790"/>
      <c r="G107" s="2787"/>
      <c r="H107" s="2794"/>
      <c r="I107" s="2795"/>
      <c r="J107" s="2786"/>
      <c r="K107" s="2786"/>
      <c r="L107" s="2788"/>
      <c r="M107" s="2639"/>
      <c r="N107" s="1950"/>
      <c r="O107" s="1950"/>
      <c r="P107" s="1957"/>
      <c r="Q107" s="1950"/>
      <c r="R107" s="1950"/>
      <c r="S107" s="1950"/>
      <c r="T107" s="1950"/>
      <c r="U107" s="1950"/>
      <c r="V107" s="1950"/>
      <c r="W107" s="1950"/>
      <c r="X107" s="1950"/>
      <c r="Y107" s="1950"/>
      <c r="Z107" s="1950"/>
      <c r="AA107" s="1950"/>
      <c r="AB107" s="1950"/>
      <c r="AC107" s="1950"/>
      <c r="AD107" s="1950"/>
      <c r="AE107" s="1959"/>
      <c r="AF107" s="2793"/>
      <c r="AG107" s="2788"/>
      <c r="AH107" s="2788"/>
      <c r="AI107" s="2793"/>
      <c r="AJ107" s="2788"/>
      <c r="AK107" s="2788"/>
      <c r="AL107" s="1900"/>
      <c r="AM107" s="1738"/>
      <c r="AN107" s="1738"/>
      <c r="AO107" s="1738"/>
      <c r="AP107" s="1738"/>
      <c r="AQ107" s="1738"/>
      <c r="AR107" s="1738"/>
      <c r="AS107" s="1738"/>
      <c r="AT107" s="1738"/>
      <c r="AU107" s="1738"/>
      <c r="AV107" s="1738"/>
      <c r="AW107" s="1738"/>
      <c r="AX107" s="1738"/>
      <c r="AY107" s="1738"/>
      <c r="AZ107" s="1738"/>
      <c r="BA107" s="1738"/>
      <c r="BB107" s="1738"/>
      <c r="BC107" s="1738"/>
      <c r="BD107" s="1738"/>
      <c r="BE107" s="1738"/>
      <c r="BF107" s="1738"/>
      <c r="BG107" s="2010"/>
    </row>
    <row r="108" spans="1:59" ht="11.25" customHeight="1">
      <c r="A108" s="1084" t="s">
        <v>984</v>
      </c>
      <c r="B108" s="1084" t="s">
        <v>1018</v>
      </c>
      <c r="C108" s="1084"/>
      <c r="D108" s="1078"/>
      <c r="E108" s="1088"/>
      <c r="F108" s="2791"/>
      <c r="G108" s="2776" t="s">
        <v>680</v>
      </c>
      <c r="H108" s="2787" t="s">
        <v>102</v>
      </c>
      <c r="I108" s="2799" t="s">
        <v>1019</v>
      </c>
      <c r="J108" s="2800" t="s">
        <v>1020</v>
      </c>
      <c r="K108" s="2801" t="s">
        <v>1021</v>
      </c>
      <c r="L108" s="2524" t="s">
        <v>19</v>
      </c>
      <c r="M108" s="2525"/>
      <c r="N108" s="1898"/>
      <c r="O108" s="1095" t="s">
        <v>367</v>
      </c>
      <c r="P108" s="1096"/>
      <c r="Q108" s="1096"/>
      <c r="R108" s="1096"/>
      <c r="S108" s="1096"/>
      <c r="T108" s="1096"/>
      <c r="U108" s="1096"/>
      <c r="V108" s="1096"/>
      <c r="W108" s="1096"/>
      <c r="X108" s="1096"/>
      <c r="Y108" s="1096"/>
      <c r="Z108" s="1096"/>
      <c r="AA108" s="1096"/>
      <c r="AB108" s="1096"/>
      <c r="AC108" s="1096"/>
      <c r="AD108" s="1096"/>
      <c r="AE108" s="1096"/>
      <c r="AF108" s="2802">
        <v>5</v>
      </c>
      <c r="AG108" s="2803" t="s">
        <v>1022</v>
      </c>
      <c r="AH108" s="2803" t="s">
        <v>1023</v>
      </c>
      <c r="AI108" s="2802"/>
      <c r="AJ108" s="2803"/>
      <c r="AK108" s="2803"/>
      <c r="AL108" s="1900"/>
      <c r="AM108" s="1738"/>
      <c r="AN108" s="1738"/>
      <c r="AO108" s="1738"/>
      <c r="AP108" s="1738"/>
      <c r="AQ108" s="1738"/>
      <c r="AR108" s="1738"/>
      <c r="AS108" s="1738"/>
      <c r="AT108" s="1738"/>
      <c r="AU108" s="1738"/>
      <c r="AV108" s="1738"/>
      <c r="AW108" s="1738"/>
      <c r="AX108" s="1738"/>
      <c r="AY108" s="1738"/>
      <c r="AZ108" s="1738"/>
      <c r="BA108" s="1738"/>
      <c r="BB108" s="1738"/>
      <c r="BC108" s="1738"/>
      <c r="BD108" s="1738"/>
      <c r="BE108" s="1738"/>
      <c r="BF108" s="1738"/>
      <c r="BG108" s="2010"/>
    </row>
    <row r="109" spans="1:59" ht="11.25" customHeight="1">
      <c r="A109" s="1084" t="s">
        <v>984</v>
      </c>
      <c r="B109" s="1084"/>
      <c r="C109" s="1084"/>
      <c r="D109" s="1078"/>
      <c r="E109" s="1088"/>
      <c r="F109" s="2791"/>
      <c r="G109" s="2798"/>
      <c r="H109" s="2787" t="s">
        <v>367</v>
      </c>
      <c r="I109" s="2799"/>
      <c r="J109" s="2800"/>
      <c r="K109" s="2801"/>
      <c r="L109" s="2524"/>
      <c r="M109" s="2525"/>
      <c r="N109" s="2804"/>
      <c r="O109" s="2805">
        <v>1</v>
      </c>
      <c r="P109" s="2806" t="s">
        <v>65</v>
      </c>
      <c r="Q109" s="2800" t="s">
        <v>1024</v>
      </c>
      <c r="R109" s="2809" t="s">
        <v>1025</v>
      </c>
      <c r="S109" s="2809" t="s">
        <v>1026</v>
      </c>
      <c r="T109" s="2809" t="s">
        <v>1026</v>
      </c>
      <c r="U109" s="2809" t="s">
        <v>1027</v>
      </c>
      <c r="V109" s="2809" t="s">
        <v>1028</v>
      </c>
      <c r="W109" s="2809" t="s">
        <v>1029</v>
      </c>
      <c r="X109" s="2809" t="s">
        <v>1030</v>
      </c>
      <c r="Y109" s="2809" t="s">
        <v>1031</v>
      </c>
      <c r="Z109" s="1093"/>
      <c r="AA109" s="1094"/>
      <c r="AB109" s="1094"/>
      <c r="AC109" s="1098"/>
      <c r="AD109" s="1098"/>
      <c r="AE109" s="1099"/>
      <c r="AF109" s="2802"/>
      <c r="AG109" s="2803"/>
      <c r="AH109" s="2803"/>
      <c r="AI109" s="2802"/>
      <c r="AJ109" s="2803"/>
      <c r="AK109" s="2803"/>
      <c r="AL109" s="1900"/>
      <c r="AM109" s="1738"/>
      <c r="AN109" s="1738"/>
      <c r="AO109" s="1738"/>
      <c r="AP109" s="1738"/>
      <c r="AQ109" s="1738"/>
      <c r="AR109" s="1738"/>
      <c r="AS109" s="1738"/>
      <c r="AT109" s="1738"/>
      <c r="AU109" s="1738"/>
      <c r="AV109" s="1738"/>
      <c r="AW109" s="1738"/>
      <c r="AX109" s="1738"/>
      <c r="AY109" s="1738"/>
      <c r="AZ109" s="1738"/>
      <c r="BA109" s="1738"/>
      <c r="BB109" s="1738"/>
      <c r="BC109" s="1738"/>
      <c r="BD109" s="1738"/>
      <c r="BE109" s="1738"/>
      <c r="BF109" s="1738"/>
      <c r="BG109" s="2010"/>
    </row>
    <row r="110" spans="1:59" ht="11.25" customHeight="1">
      <c r="A110" s="1084" t="s">
        <v>984</v>
      </c>
      <c r="B110" s="1084"/>
      <c r="C110" s="1084"/>
      <c r="D110" s="1078"/>
      <c r="E110" s="1088"/>
      <c r="F110" s="2791"/>
      <c r="G110" s="2798"/>
      <c r="H110" s="2787" t="s">
        <v>367</v>
      </c>
      <c r="I110" s="2799"/>
      <c r="J110" s="2800"/>
      <c r="K110" s="2801"/>
      <c r="L110" s="2524"/>
      <c r="M110" s="2525"/>
      <c r="N110" s="2804"/>
      <c r="O110" s="2805"/>
      <c r="P110" s="2807"/>
      <c r="Q110" s="2800"/>
      <c r="R110" s="2759"/>
      <c r="S110" s="2809"/>
      <c r="T110" s="2759"/>
      <c r="U110" s="2759"/>
      <c r="V110" s="2759"/>
      <c r="W110" s="2759"/>
      <c r="X110" s="2759"/>
      <c r="Y110" s="2759"/>
      <c r="Z110" s="1743"/>
      <c r="AA110" s="1711">
        <v>1</v>
      </c>
      <c r="AB110" s="1097" t="s">
        <v>1032</v>
      </c>
      <c r="AC110" s="1087">
        <v>27000</v>
      </c>
      <c r="AD110" s="1097" t="str">
        <f>AB110</f>
        <v xml:space="preserve">      Амортизационные отчисления с выделением результатов переоценки основных средств и нематериальных активов</v>
      </c>
      <c r="AE110" s="1087"/>
      <c r="AF110" s="2802"/>
      <c r="AG110" s="2803"/>
      <c r="AH110" s="2803"/>
      <c r="AI110" s="2802"/>
      <c r="AJ110" s="2803"/>
      <c r="AK110" s="2803"/>
      <c r="AL110" s="1900"/>
      <c r="AM110" s="1738"/>
      <c r="AN110" s="1738"/>
      <c r="AO110" s="1738"/>
      <c r="AP110" s="1738"/>
      <c r="AQ110" s="1738"/>
      <c r="AR110" s="1738"/>
      <c r="AS110" s="1738"/>
      <c r="AT110" s="1738"/>
      <c r="AU110" s="1738"/>
      <c r="AV110" s="1738"/>
      <c r="AW110" s="1738"/>
      <c r="AX110" s="1738"/>
      <c r="AY110" s="1738"/>
      <c r="AZ110" s="1738"/>
      <c r="BA110" s="1738"/>
      <c r="BB110" s="1738"/>
      <c r="BC110" s="1738"/>
      <c r="BD110" s="1738"/>
      <c r="BE110" s="1738"/>
      <c r="BF110" s="1738"/>
      <c r="BG110" s="2010"/>
    </row>
    <row r="111" spans="1:59" ht="11.25" customHeight="1">
      <c r="A111" s="1084" t="s">
        <v>984</v>
      </c>
      <c r="B111" s="1084"/>
      <c r="C111" s="1084"/>
      <c r="D111" s="1078"/>
      <c r="E111" s="1088"/>
      <c r="F111" s="2791"/>
      <c r="G111" s="2798"/>
      <c r="H111" s="2787" t="s">
        <v>367</v>
      </c>
      <c r="I111" s="2799"/>
      <c r="J111" s="2800"/>
      <c r="K111" s="2801"/>
      <c r="L111" s="2524"/>
      <c r="M111" s="2525"/>
      <c r="N111" s="2804"/>
      <c r="O111" s="2805"/>
      <c r="P111" s="2808"/>
      <c r="Q111" s="2800"/>
      <c r="R111" s="2759"/>
      <c r="S111" s="2809"/>
      <c r="T111" s="2759"/>
      <c r="U111" s="2759"/>
      <c r="V111" s="2759"/>
      <c r="W111" s="2759"/>
      <c r="X111" s="2759"/>
      <c r="Y111" s="2759"/>
      <c r="Z111" s="1093"/>
      <c r="AA111" s="1094"/>
      <c r="AB111" s="1159" t="s">
        <v>1033</v>
      </c>
      <c r="AC111" s="1098"/>
      <c r="AD111" s="1098"/>
      <c r="AE111" s="1100"/>
      <c r="AF111" s="2802"/>
      <c r="AG111" s="2803"/>
      <c r="AH111" s="2803"/>
      <c r="AI111" s="2802"/>
      <c r="AJ111" s="2803"/>
      <c r="AK111" s="2803"/>
      <c r="AL111" s="1900"/>
      <c r="AM111" s="1738"/>
      <c r="AN111" s="1738"/>
      <c r="AO111" s="1738"/>
      <c r="AP111" s="1738"/>
      <c r="AQ111" s="1738"/>
      <c r="AR111" s="1738"/>
      <c r="AS111" s="1738"/>
      <c r="AT111" s="1738"/>
      <c r="AU111" s="1738"/>
      <c r="AV111" s="1738"/>
      <c r="AW111" s="1738"/>
      <c r="AX111" s="1738"/>
      <c r="AY111" s="1738"/>
      <c r="AZ111" s="1738"/>
      <c r="BA111" s="1738"/>
      <c r="BB111" s="1738"/>
      <c r="BC111" s="1738"/>
      <c r="BD111" s="1738"/>
      <c r="BE111" s="1738"/>
      <c r="BF111" s="1738"/>
      <c r="BG111" s="2010"/>
    </row>
    <row r="112" spans="1:59" ht="11.25" customHeight="1">
      <c r="A112" s="1084" t="s">
        <v>984</v>
      </c>
      <c r="B112" s="1084"/>
      <c r="C112" s="1084"/>
      <c r="D112" s="1078"/>
      <c r="E112" s="1088"/>
      <c r="F112" s="2791"/>
      <c r="G112" s="2798"/>
      <c r="H112" s="2787" t="s">
        <v>367</v>
      </c>
      <c r="I112" s="2799"/>
      <c r="J112" s="2800"/>
      <c r="K112" s="2801"/>
      <c r="L112" s="2524"/>
      <c r="M112" s="2525"/>
      <c r="N112" s="1093"/>
      <c r="O112" s="1094"/>
      <c r="P112" s="1086" t="s">
        <v>1034</v>
      </c>
      <c r="Q112" s="1094"/>
      <c r="R112" s="1094"/>
      <c r="S112" s="1094"/>
      <c r="T112" s="1094"/>
      <c r="U112" s="1094"/>
      <c r="V112" s="1094"/>
      <c r="W112" s="1094"/>
      <c r="X112" s="1094"/>
      <c r="Y112" s="1094"/>
      <c r="Z112" s="1094"/>
      <c r="AA112" s="1094"/>
      <c r="AB112" s="1094"/>
      <c r="AC112" s="1094"/>
      <c r="AD112" s="1094"/>
      <c r="AE112" s="1101"/>
      <c r="AF112" s="2802"/>
      <c r="AG112" s="2803"/>
      <c r="AH112" s="2803"/>
      <c r="AI112" s="2802"/>
      <c r="AJ112" s="2803"/>
      <c r="AK112" s="2803"/>
      <c r="AL112" s="1900"/>
      <c r="AM112" s="1738"/>
      <c r="AN112" s="1738"/>
      <c r="AO112" s="1738"/>
      <c r="AP112" s="1738"/>
      <c r="AQ112" s="1738"/>
      <c r="AR112" s="1738"/>
      <c r="AS112" s="1738"/>
      <c r="AT112" s="1738"/>
      <c r="AU112" s="1738"/>
      <c r="AV112" s="1738"/>
      <c r="AW112" s="1738"/>
      <c r="AX112" s="1738"/>
      <c r="AY112" s="1738"/>
      <c r="AZ112" s="1738"/>
      <c r="BA112" s="1738"/>
      <c r="BB112" s="1738"/>
      <c r="BC112" s="1738"/>
      <c r="BD112" s="1738"/>
      <c r="BE112" s="1738"/>
      <c r="BF112" s="1738"/>
      <c r="BG112" s="2010"/>
    </row>
    <row r="113" spans="1:59" ht="11.25" customHeight="1">
      <c r="A113" s="1084" t="s">
        <v>984</v>
      </c>
      <c r="B113" s="1084" t="s">
        <v>1018</v>
      </c>
      <c r="C113" s="1084"/>
      <c r="D113" s="1078"/>
      <c r="E113" s="1088"/>
      <c r="F113" s="2791"/>
      <c r="G113" s="2776" t="s">
        <v>680</v>
      </c>
      <c r="H113" s="2787" t="s">
        <v>103</v>
      </c>
      <c r="I113" s="2799" t="s">
        <v>1019</v>
      </c>
      <c r="J113" s="2800" t="s">
        <v>1035</v>
      </c>
      <c r="K113" s="2801" t="s">
        <v>1039</v>
      </c>
      <c r="L113" s="2524" t="s">
        <v>19</v>
      </c>
      <c r="M113" s="2525"/>
      <c r="N113" s="1898"/>
      <c r="O113" s="1095" t="s">
        <v>367</v>
      </c>
      <c r="P113" s="1096"/>
      <c r="Q113" s="1096"/>
      <c r="R113" s="1096"/>
      <c r="S113" s="1096"/>
      <c r="T113" s="1096"/>
      <c r="U113" s="1096"/>
      <c r="V113" s="1096"/>
      <c r="W113" s="1096"/>
      <c r="X113" s="1096"/>
      <c r="Y113" s="1096"/>
      <c r="Z113" s="1096"/>
      <c r="AA113" s="1096"/>
      <c r="AB113" s="1096"/>
      <c r="AC113" s="1096"/>
      <c r="AD113" s="1096"/>
      <c r="AE113" s="1096"/>
      <c r="AF113" s="2802">
        <v>4</v>
      </c>
      <c r="AG113" s="2803" t="s">
        <v>1022</v>
      </c>
      <c r="AH113" s="2803" t="s">
        <v>1040</v>
      </c>
      <c r="AI113" s="2802"/>
      <c r="AJ113" s="2803"/>
      <c r="AK113" s="2803"/>
      <c r="AL113" s="1900"/>
      <c r="AM113" s="1738"/>
      <c r="AN113" s="1738"/>
      <c r="AO113" s="1738"/>
      <c r="AP113" s="1738"/>
      <c r="AQ113" s="1738"/>
      <c r="AR113" s="1738"/>
      <c r="AS113" s="1738"/>
      <c r="AT113" s="1738"/>
      <c r="AU113" s="1738"/>
      <c r="AV113" s="1738"/>
      <c r="AW113" s="1738"/>
      <c r="AX113" s="1738"/>
      <c r="AY113" s="1738"/>
      <c r="AZ113" s="1738"/>
      <c r="BA113" s="1738"/>
      <c r="BB113" s="1738"/>
      <c r="BC113" s="1738"/>
      <c r="BD113" s="1738"/>
      <c r="BE113" s="1738"/>
      <c r="BF113" s="1738"/>
      <c r="BG113" s="2010"/>
    </row>
    <row r="114" spans="1:59" ht="11.25" customHeight="1">
      <c r="A114" s="1084" t="s">
        <v>984</v>
      </c>
      <c r="B114" s="1084"/>
      <c r="C114" s="1084"/>
      <c r="D114" s="1078"/>
      <c r="E114" s="1088"/>
      <c r="F114" s="2791"/>
      <c r="G114" s="2798"/>
      <c r="H114" s="2787" t="s">
        <v>102</v>
      </c>
      <c r="I114" s="2799"/>
      <c r="J114" s="2800"/>
      <c r="K114" s="2801"/>
      <c r="L114" s="2524"/>
      <c r="M114" s="2525"/>
      <c r="N114" s="2804"/>
      <c r="O114" s="2805">
        <v>1</v>
      </c>
      <c r="P114" s="2806" t="s">
        <v>65</v>
      </c>
      <c r="Q114" s="2800" t="s">
        <v>1024</v>
      </c>
      <c r="R114" s="2809" t="s">
        <v>1025</v>
      </c>
      <c r="S114" s="2809" t="s">
        <v>1026</v>
      </c>
      <c r="T114" s="2809" t="s">
        <v>1026</v>
      </c>
      <c r="U114" s="2809" t="s">
        <v>1027</v>
      </c>
      <c r="V114" s="2809" t="s">
        <v>1028</v>
      </c>
      <c r="W114" s="2809" t="s">
        <v>1029</v>
      </c>
      <c r="X114" s="2809" t="s">
        <v>1030</v>
      </c>
      <c r="Y114" s="2809" t="s">
        <v>1031</v>
      </c>
      <c r="Z114" s="1093"/>
      <c r="AA114" s="1094"/>
      <c r="AB114" s="1094"/>
      <c r="AC114" s="1098"/>
      <c r="AD114" s="1098"/>
      <c r="AE114" s="1099"/>
      <c r="AF114" s="2802"/>
      <c r="AG114" s="2803"/>
      <c r="AH114" s="2803"/>
      <c r="AI114" s="2802"/>
      <c r="AJ114" s="2803"/>
      <c r="AK114" s="2803"/>
      <c r="AL114" s="1900"/>
      <c r="AM114" s="1738"/>
      <c r="AN114" s="1738"/>
      <c r="AO114" s="1738"/>
      <c r="AP114" s="1738"/>
      <c r="AQ114" s="1738"/>
      <c r="AR114" s="1738"/>
      <c r="AS114" s="1738"/>
      <c r="AT114" s="1738"/>
      <c r="AU114" s="1738"/>
      <c r="AV114" s="1738"/>
      <c r="AW114" s="1738"/>
      <c r="AX114" s="1738"/>
      <c r="AY114" s="1738"/>
      <c r="AZ114" s="1738"/>
      <c r="BA114" s="1738"/>
      <c r="BB114" s="1738"/>
      <c r="BC114" s="1738"/>
      <c r="BD114" s="1738"/>
      <c r="BE114" s="1738"/>
      <c r="BF114" s="1738"/>
      <c r="BG114" s="2010"/>
    </row>
    <row r="115" spans="1:59" ht="11.25" customHeight="1">
      <c r="A115" s="1084" t="s">
        <v>984</v>
      </c>
      <c r="B115" s="1084"/>
      <c r="C115" s="1084"/>
      <c r="D115" s="1078"/>
      <c r="E115" s="1088"/>
      <c r="F115" s="2791"/>
      <c r="G115" s="2798"/>
      <c r="H115" s="2787" t="s">
        <v>102</v>
      </c>
      <c r="I115" s="2799"/>
      <c r="J115" s="2800"/>
      <c r="K115" s="2801"/>
      <c r="L115" s="2524"/>
      <c r="M115" s="2525"/>
      <c r="N115" s="2804"/>
      <c r="O115" s="2805"/>
      <c r="P115" s="2807"/>
      <c r="Q115" s="2800"/>
      <c r="R115" s="2759"/>
      <c r="S115" s="2809"/>
      <c r="T115" s="2759"/>
      <c r="U115" s="2759"/>
      <c r="V115" s="2759"/>
      <c r="W115" s="2759"/>
      <c r="X115" s="2759"/>
      <c r="Y115" s="2759"/>
      <c r="Z115" s="1743"/>
      <c r="AA115" s="1711">
        <v>1</v>
      </c>
      <c r="AB115" s="1097" t="s">
        <v>1032</v>
      </c>
      <c r="AC115" s="1087">
        <v>16900.868060000001</v>
      </c>
      <c r="AD115" s="1097" t="str">
        <f>AB115</f>
        <v xml:space="preserve">      Амортизационные отчисления с выделением результатов переоценки основных средств и нематериальных активов</v>
      </c>
      <c r="AE115" s="1087"/>
      <c r="AF115" s="2802"/>
      <c r="AG115" s="2803"/>
      <c r="AH115" s="2803"/>
      <c r="AI115" s="2802"/>
      <c r="AJ115" s="2803"/>
      <c r="AK115" s="2803"/>
      <c r="AL115" s="1900"/>
      <c r="AM115" s="1738"/>
      <c r="AN115" s="1738"/>
      <c r="AO115" s="1738"/>
      <c r="AP115" s="1738"/>
      <c r="AQ115" s="1738"/>
      <c r="AR115" s="1738"/>
      <c r="AS115" s="1738"/>
      <c r="AT115" s="1738"/>
      <c r="AU115" s="1738"/>
      <c r="AV115" s="1738"/>
      <c r="AW115" s="1738"/>
      <c r="AX115" s="1738"/>
      <c r="AY115" s="1738"/>
      <c r="AZ115" s="1738"/>
      <c r="BA115" s="1738"/>
      <c r="BB115" s="1738"/>
      <c r="BC115" s="1738"/>
      <c r="BD115" s="1738"/>
      <c r="BE115" s="1738"/>
      <c r="BF115" s="1738"/>
      <c r="BG115" s="2010"/>
    </row>
    <row r="116" spans="1:59" ht="11.25" customHeight="1">
      <c r="A116" s="1084" t="s">
        <v>984</v>
      </c>
      <c r="B116" s="1084"/>
      <c r="C116" s="1084"/>
      <c r="D116" s="1078"/>
      <c r="E116" s="1088"/>
      <c r="F116" s="2791"/>
      <c r="G116" s="2798"/>
      <c r="H116" s="2787" t="s">
        <v>102</v>
      </c>
      <c r="I116" s="2799"/>
      <c r="J116" s="2800"/>
      <c r="K116" s="2801"/>
      <c r="L116" s="2524"/>
      <c r="M116" s="2525"/>
      <c r="N116" s="2804"/>
      <c r="O116" s="2805"/>
      <c r="P116" s="2808"/>
      <c r="Q116" s="2800"/>
      <c r="R116" s="2759"/>
      <c r="S116" s="2809"/>
      <c r="T116" s="2759"/>
      <c r="U116" s="2759"/>
      <c r="V116" s="2759"/>
      <c r="W116" s="2759"/>
      <c r="X116" s="2759"/>
      <c r="Y116" s="2759"/>
      <c r="Z116" s="1093"/>
      <c r="AA116" s="1094"/>
      <c r="AB116" s="1159" t="s">
        <v>1033</v>
      </c>
      <c r="AC116" s="1098"/>
      <c r="AD116" s="1098"/>
      <c r="AE116" s="1100"/>
      <c r="AF116" s="2802"/>
      <c r="AG116" s="2803"/>
      <c r="AH116" s="2803"/>
      <c r="AI116" s="2802"/>
      <c r="AJ116" s="2803"/>
      <c r="AK116" s="2803"/>
      <c r="AL116" s="1900"/>
      <c r="AM116" s="1738"/>
      <c r="AN116" s="1738"/>
      <c r="AO116" s="1738"/>
      <c r="AP116" s="1738"/>
      <c r="AQ116" s="1738"/>
      <c r="AR116" s="1738"/>
      <c r="AS116" s="1738"/>
      <c r="AT116" s="1738"/>
      <c r="AU116" s="1738"/>
      <c r="AV116" s="1738"/>
      <c r="AW116" s="1738"/>
      <c r="AX116" s="1738"/>
      <c r="AY116" s="1738"/>
      <c r="AZ116" s="1738"/>
      <c r="BA116" s="1738"/>
      <c r="BB116" s="1738"/>
      <c r="BC116" s="1738"/>
      <c r="BD116" s="1738"/>
      <c r="BE116" s="1738"/>
      <c r="BF116" s="1738"/>
      <c r="BG116" s="2010"/>
    </row>
    <row r="117" spans="1:59" ht="11.25" customHeight="1">
      <c r="A117" s="1084" t="s">
        <v>984</v>
      </c>
      <c r="B117" s="1084"/>
      <c r="C117" s="1084"/>
      <c r="D117" s="1078"/>
      <c r="E117" s="1088"/>
      <c r="F117" s="2791"/>
      <c r="G117" s="2798"/>
      <c r="H117" s="2787" t="s">
        <v>102</v>
      </c>
      <c r="I117" s="2799"/>
      <c r="J117" s="2800"/>
      <c r="K117" s="2801"/>
      <c r="L117" s="2524"/>
      <c r="M117" s="2525"/>
      <c r="N117" s="1093"/>
      <c r="O117" s="1094"/>
      <c r="P117" s="1086" t="s">
        <v>1034</v>
      </c>
      <c r="Q117" s="1094"/>
      <c r="R117" s="1094"/>
      <c r="S117" s="1094"/>
      <c r="T117" s="1094"/>
      <c r="U117" s="1094"/>
      <c r="V117" s="1094"/>
      <c r="W117" s="1094"/>
      <c r="X117" s="1094"/>
      <c r="Y117" s="1094"/>
      <c r="Z117" s="1094"/>
      <c r="AA117" s="1094"/>
      <c r="AB117" s="1094"/>
      <c r="AC117" s="1094"/>
      <c r="AD117" s="1094"/>
      <c r="AE117" s="1101"/>
      <c r="AF117" s="2802"/>
      <c r="AG117" s="2803"/>
      <c r="AH117" s="2803"/>
      <c r="AI117" s="2802"/>
      <c r="AJ117" s="2803"/>
      <c r="AK117" s="2803"/>
      <c r="AL117" s="1900"/>
      <c r="AM117" s="1738"/>
      <c r="AN117" s="1738"/>
      <c r="AO117" s="1738"/>
      <c r="AP117" s="1738"/>
      <c r="AQ117" s="1738"/>
      <c r="AR117" s="1738"/>
      <c r="AS117" s="1738"/>
      <c r="AT117" s="1738"/>
      <c r="AU117" s="1738"/>
      <c r="AV117" s="1738"/>
      <c r="AW117" s="1738"/>
      <c r="AX117" s="1738"/>
      <c r="AY117" s="1738"/>
      <c r="AZ117" s="1738"/>
      <c r="BA117" s="1738"/>
      <c r="BB117" s="1738"/>
      <c r="BC117" s="1738"/>
      <c r="BD117" s="1738"/>
      <c r="BE117" s="1738"/>
      <c r="BF117" s="1738"/>
      <c r="BG117" s="2010"/>
    </row>
    <row r="118" spans="1:59" ht="11.25" customHeight="1">
      <c r="A118" s="1084" t="s">
        <v>984</v>
      </c>
      <c r="B118" s="1084" t="s">
        <v>1018</v>
      </c>
      <c r="C118" s="1084"/>
      <c r="D118" s="1078"/>
      <c r="E118" s="1088"/>
      <c r="F118" s="2791"/>
      <c r="G118" s="2776" t="s">
        <v>680</v>
      </c>
      <c r="H118" s="2787" t="s">
        <v>86</v>
      </c>
      <c r="I118" s="2799" t="s">
        <v>1019</v>
      </c>
      <c r="J118" s="2800" t="s">
        <v>1035</v>
      </c>
      <c r="K118" s="2801" t="s">
        <v>1048</v>
      </c>
      <c r="L118" s="2524" t="s">
        <v>19</v>
      </c>
      <c r="M118" s="2525"/>
      <c r="N118" s="1898"/>
      <c r="O118" s="1095" t="s">
        <v>367</v>
      </c>
      <c r="P118" s="1096"/>
      <c r="Q118" s="1096"/>
      <c r="R118" s="1096"/>
      <c r="S118" s="1096"/>
      <c r="T118" s="1096"/>
      <c r="U118" s="1096"/>
      <c r="V118" s="1096"/>
      <c r="W118" s="1096"/>
      <c r="X118" s="1096"/>
      <c r="Y118" s="1096"/>
      <c r="Z118" s="1096"/>
      <c r="AA118" s="1096"/>
      <c r="AB118" s="1096"/>
      <c r="AC118" s="1096"/>
      <c r="AD118" s="1096"/>
      <c r="AE118" s="1096"/>
      <c r="AF118" s="2802">
        <v>4</v>
      </c>
      <c r="AG118" s="2803" t="s">
        <v>1022</v>
      </c>
      <c r="AH118" s="2803" t="s">
        <v>1023</v>
      </c>
      <c r="AI118" s="2802"/>
      <c r="AJ118" s="2803"/>
      <c r="AK118" s="2803"/>
      <c r="AL118" s="1900"/>
      <c r="AM118" s="1738"/>
      <c r="AN118" s="1738"/>
      <c r="AO118" s="1738"/>
      <c r="AP118" s="1738"/>
      <c r="AQ118" s="1738"/>
      <c r="AR118" s="1738"/>
      <c r="AS118" s="1738"/>
      <c r="AT118" s="1738"/>
      <c r="AU118" s="1738"/>
      <c r="AV118" s="1738"/>
      <c r="AW118" s="1738"/>
      <c r="AX118" s="1738"/>
      <c r="AY118" s="1738"/>
      <c r="AZ118" s="1738"/>
      <c r="BA118" s="1738"/>
      <c r="BB118" s="1738"/>
      <c r="BC118" s="1738"/>
      <c r="BD118" s="1738"/>
      <c r="BE118" s="1738"/>
      <c r="BF118" s="1738"/>
      <c r="BG118" s="2010"/>
    </row>
    <row r="119" spans="1:59" ht="11.25" customHeight="1">
      <c r="A119" s="1084" t="s">
        <v>984</v>
      </c>
      <c r="B119" s="1084"/>
      <c r="C119" s="1084"/>
      <c r="D119" s="1078"/>
      <c r="E119" s="1088"/>
      <c r="F119" s="2791"/>
      <c r="G119" s="2798"/>
      <c r="H119" s="2787" t="s">
        <v>103</v>
      </c>
      <c r="I119" s="2799"/>
      <c r="J119" s="2800"/>
      <c r="K119" s="2801"/>
      <c r="L119" s="2524"/>
      <c r="M119" s="2525"/>
      <c r="N119" s="2804"/>
      <c r="O119" s="2805">
        <v>1</v>
      </c>
      <c r="P119" s="2806" t="s">
        <v>65</v>
      </c>
      <c r="Q119" s="2800" t="s">
        <v>1024</v>
      </c>
      <c r="R119" s="2809" t="s">
        <v>1025</v>
      </c>
      <c r="S119" s="2809" t="s">
        <v>1026</v>
      </c>
      <c r="T119" s="2809" t="s">
        <v>1026</v>
      </c>
      <c r="U119" s="2809" t="s">
        <v>1027</v>
      </c>
      <c r="V119" s="2809" t="s">
        <v>1028</v>
      </c>
      <c r="W119" s="2809" t="s">
        <v>1029</v>
      </c>
      <c r="X119" s="2809" t="s">
        <v>1030</v>
      </c>
      <c r="Y119" s="2809" t="s">
        <v>1031</v>
      </c>
      <c r="Z119" s="1093"/>
      <c r="AA119" s="1094"/>
      <c r="AB119" s="1094"/>
      <c r="AC119" s="1098"/>
      <c r="AD119" s="1098"/>
      <c r="AE119" s="1099"/>
      <c r="AF119" s="2802"/>
      <c r="AG119" s="2803"/>
      <c r="AH119" s="2803"/>
      <c r="AI119" s="2802"/>
      <c r="AJ119" s="2803"/>
      <c r="AK119" s="2803"/>
      <c r="AL119" s="1900"/>
      <c r="AM119" s="1738"/>
      <c r="AN119" s="1738"/>
      <c r="AO119" s="1738"/>
      <c r="AP119" s="1738"/>
      <c r="AQ119" s="1738"/>
      <c r="AR119" s="1738"/>
      <c r="AS119" s="1738"/>
      <c r="AT119" s="1738"/>
      <c r="AU119" s="1738"/>
      <c r="AV119" s="1738"/>
      <c r="AW119" s="1738"/>
      <c r="AX119" s="1738"/>
      <c r="AY119" s="1738"/>
      <c r="AZ119" s="1738"/>
      <c r="BA119" s="1738"/>
      <c r="BB119" s="1738"/>
      <c r="BC119" s="1738"/>
      <c r="BD119" s="1738"/>
      <c r="BE119" s="1738"/>
      <c r="BF119" s="1738"/>
      <c r="BG119" s="2010"/>
    </row>
    <row r="120" spans="1:59" ht="11.25" customHeight="1">
      <c r="A120" s="1084" t="s">
        <v>984</v>
      </c>
      <c r="B120" s="1084"/>
      <c r="C120" s="1084"/>
      <c r="D120" s="1078"/>
      <c r="E120" s="1088"/>
      <c r="F120" s="2791"/>
      <c r="G120" s="2798"/>
      <c r="H120" s="2787" t="s">
        <v>103</v>
      </c>
      <c r="I120" s="2799"/>
      <c r="J120" s="2800"/>
      <c r="K120" s="2801"/>
      <c r="L120" s="2524"/>
      <c r="M120" s="2525"/>
      <c r="N120" s="2804"/>
      <c r="O120" s="2805"/>
      <c r="P120" s="2807"/>
      <c r="Q120" s="2800"/>
      <c r="R120" s="2759"/>
      <c r="S120" s="2809"/>
      <c r="T120" s="2759"/>
      <c r="U120" s="2759"/>
      <c r="V120" s="2759"/>
      <c r="W120" s="2759"/>
      <c r="X120" s="2759"/>
      <c r="Y120" s="2759"/>
      <c r="Z120" s="1743"/>
      <c r="AA120" s="1711">
        <v>1</v>
      </c>
      <c r="AB120" s="1097" t="s">
        <v>1032</v>
      </c>
      <c r="AC120" s="1087">
        <v>3290.9071800000002</v>
      </c>
      <c r="AD120" s="1097" t="str">
        <f>AB120</f>
        <v xml:space="preserve">      Амортизационные отчисления с выделением результатов переоценки основных средств и нематериальных активов</v>
      </c>
      <c r="AE120" s="1087"/>
      <c r="AF120" s="2802"/>
      <c r="AG120" s="2803"/>
      <c r="AH120" s="2803"/>
      <c r="AI120" s="2802"/>
      <c r="AJ120" s="2803"/>
      <c r="AK120" s="2803"/>
      <c r="AL120" s="1900"/>
      <c r="AM120" s="1738"/>
      <c r="AN120" s="1738"/>
      <c r="AO120" s="1738"/>
      <c r="AP120" s="1738"/>
      <c r="AQ120" s="1738"/>
      <c r="AR120" s="1738"/>
      <c r="AS120" s="1738"/>
      <c r="AT120" s="1738"/>
      <c r="AU120" s="1738"/>
      <c r="AV120" s="1738"/>
      <c r="AW120" s="1738"/>
      <c r="AX120" s="1738"/>
      <c r="AY120" s="1738"/>
      <c r="AZ120" s="1738"/>
      <c r="BA120" s="1738"/>
      <c r="BB120" s="1738"/>
      <c r="BC120" s="1738"/>
      <c r="BD120" s="1738"/>
      <c r="BE120" s="1738"/>
      <c r="BF120" s="1738"/>
      <c r="BG120" s="2010"/>
    </row>
    <row r="121" spans="1:59" ht="11.25" customHeight="1">
      <c r="A121" s="1084" t="s">
        <v>984</v>
      </c>
      <c r="B121" s="1084"/>
      <c r="C121" s="1084"/>
      <c r="D121" s="1078"/>
      <c r="E121" s="1088"/>
      <c r="F121" s="2791"/>
      <c r="G121" s="2798"/>
      <c r="H121" s="2787" t="s">
        <v>103</v>
      </c>
      <c r="I121" s="2799"/>
      <c r="J121" s="2800"/>
      <c r="K121" s="2801"/>
      <c r="L121" s="2524"/>
      <c r="M121" s="2525"/>
      <c r="N121" s="2804"/>
      <c r="O121" s="2805"/>
      <c r="P121" s="2808"/>
      <c r="Q121" s="2800"/>
      <c r="R121" s="2759"/>
      <c r="S121" s="2809"/>
      <c r="T121" s="2759"/>
      <c r="U121" s="2759"/>
      <c r="V121" s="2759"/>
      <c r="W121" s="2759"/>
      <c r="X121" s="2759"/>
      <c r="Y121" s="2759"/>
      <c r="Z121" s="1093"/>
      <c r="AA121" s="1094"/>
      <c r="AB121" s="1159" t="s">
        <v>1033</v>
      </c>
      <c r="AC121" s="1098"/>
      <c r="AD121" s="1098"/>
      <c r="AE121" s="1100"/>
      <c r="AF121" s="2802"/>
      <c r="AG121" s="2803"/>
      <c r="AH121" s="2803"/>
      <c r="AI121" s="2802"/>
      <c r="AJ121" s="2803"/>
      <c r="AK121" s="2803"/>
      <c r="AL121" s="1900"/>
      <c r="AM121" s="1738"/>
      <c r="AN121" s="1738"/>
      <c r="AO121" s="1738"/>
      <c r="AP121" s="1738"/>
      <c r="AQ121" s="1738"/>
      <c r="AR121" s="1738"/>
      <c r="AS121" s="1738"/>
      <c r="AT121" s="1738"/>
      <c r="AU121" s="1738"/>
      <c r="AV121" s="1738"/>
      <c r="AW121" s="1738"/>
      <c r="AX121" s="1738"/>
      <c r="AY121" s="1738"/>
      <c r="AZ121" s="1738"/>
      <c r="BA121" s="1738"/>
      <c r="BB121" s="1738"/>
      <c r="BC121" s="1738"/>
      <c r="BD121" s="1738"/>
      <c r="BE121" s="1738"/>
      <c r="BF121" s="1738"/>
      <c r="BG121" s="2010"/>
    </row>
    <row r="122" spans="1:59" ht="11.25" customHeight="1">
      <c r="A122" s="1084" t="s">
        <v>984</v>
      </c>
      <c r="B122" s="1084"/>
      <c r="C122" s="1084"/>
      <c r="D122" s="1078"/>
      <c r="E122" s="1088"/>
      <c r="F122" s="2791"/>
      <c r="G122" s="2798"/>
      <c r="H122" s="2787" t="s">
        <v>103</v>
      </c>
      <c r="I122" s="2799"/>
      <c r="J122" s="2800"/>
      <c r="K122" s="2801"/>
      <c r="L122" s="2524"/>
      <c r="M122" s="2525"/>
      <c r="N122" s="1093"/>
      <c r="O122" s="1094"/>
      <c r="P122" s="1086" t="s">
        <v>1034</v>
      </c>
      <c r="Q122" s="1094"/>
      <c r="R122" s="1094"/>
      <c r="S122" s="1094"/>
      <c r="T122" s="1094"/>
      <c r="U122" s="1094"/>
      <c r="V122" s="1094"/>
      <c r="W122" s="1094"/>
      <c r="X122" s="1094"/>
      <c r="Y122" s="1094"/>
      <c r="Z122" s="1094"/>
      <c r="AA122" s="1094"/>
      <c r="AB122" s="1094"/>
      <c r="AC122" s="1094"/>
      <c r="AD122" s="1094"/>
      <c r="AE122" s="1101"/>
      <c r="AF122" s="2802"/>
      <c r="AG122" s="2803"/>
      <c r="AH122" s="2803"/>
      <c r="AI122" s="2802"/>
      <c r="AJ122" s="2803"/>
      <c r="AK122" s="2803"/>
      <c r="AL122" s="1900"/>
      <c r="AM122" s="1738"/>
      <c r="AN122" s="1738"/>
      <c r="AO122" s="1738"/>
      <c r="AP122" s="1738"/>
      <c r="AQ122" s="1738"/>
      <c r="AR122" s="1738"/>
      <c r="AS122" s="1738"/>
      <c r="AT122" s="1738"/>
      <c r="AU122" s="1738"/>
      <c r="AV122" s="1738"/>
      <c r="AW122" s="1738"/>
      <c r="AX122" s="1738"/>
      <c r="AY122" s="1738"/>
      <c r="AZ122" s="1738"/>
      <c r="BA122" s="1738"/>
      <c r="BB122" s="1738"/>
      <c r="BC122" s="1738"/>
      <c r="BD122" s="1738"/>
      <c r="BE122" s="1738"/>
      <c r="BF122" s="1738"/>
      <c r="BG122" s="2010"/>
    </row>
    <row r="123" spans="1:59" ht="11.25" customHeight="1">
      <c r="A123" s="1084" t="s">
        <v>984</v>
      </c>
      <c r="B123" s="1084" t="s">
        <v>1018</v>
      </c>
      <c r="C123" s="1084"/>
      <c r="D123" s="1078"/>
      <c r="E123" s="1088"/>
      <c r="F123" s="2791"/>
      <c r="G123" s="2776" t="s">
        <v>680</v>
      </c>
      <c r="H123" s="2787" t="s">
        <v>87</v>
      </c>
      <c r="I123" s="2799" t="s">
        <v>1019</v>
      </c>
      <c r="J123" s="2800" t="s">
        <v>1035</v>
      </c>
      <c r="K123" s="2801" t="s">
        <v>1043</v>
      </c>
      <c r="L123" s="2524" t="s">
        <v>19</v>
      </c>
      <c r="M123" s="2525"/>
      <c r="N123" s="1898"/>
      <c r="O123" s="1095" t="s">
        <v>367</v>
      </c>
      <c r="P123" s="1096"/>
      <c r="Q123" s="1096"/>
      <c r="R123" s="1096"/>
      <c r="S123" s="1096"/>
      <c r="T123" s="1096"/>
      <c r="U123" s="1096"/>
      <c r="V123" s="1096"/>
      <c r="W123" s="1096"/>
      <c r="X123" s="1096"/>
      <c r="Y123" s="1096"/>
      <c r="Z123" s="1096"/>
      <c r="AA123" s="1096"/>
      <c r="AB123" s="1096"/>
      <c r="AC123" s="1096"/>
      <c r="AD123" s="1096"/>
      <c r="AE123" s="1096"/>
      <c r="AF123" s="2802">
        <v>4</v>
      </c>
      <c r="AG123" s="2803" t="s">
        <v>1022</v>
      </c>
      <c r="AH123" s="2803" t="s">
        <v>1040</v>
      </c>
      <c r="AI123" s="2802"/>
      <c r="AJ123" s="2803"/>
      <c r="AK123" s="2803"/>
      <c r="AL123" s="1900"/>
      <c r="AM123" s="1738"/>
      <c r="AN123" s="1738"/>
      <c r="AO123" s="1738"/>
      <c r="AP123" s="1738"/>
      <c r="AQ123" s="1738"/>
      <c r="AR123" s="1738"/>
      <c r="AS123" s="1738"/>
      <c r="AT123" s="1738"/>
      <c r="AU123" s="1738"/>
      <c r="AV123" s="1738"/>
      <c r="AW123" s="1738"/>
      <c r="AX123" s="1738"/>
      <c r="AY123" s="1738"/>
      <c r="AZ123" s="1738"/>
      <c r="BA123" s="1738"/>
      <c r="BB123" s="1738"/>
      <c r="BC123" s="1738"/>
      <c r="BD123" s="1738"/>
      <c r="BE123" s="1738"/>
      <c r="BF123" s="1738"/>
      <c r="BG123" s="2010"/>
    </row>
    <row r="124" spans="1:59" ht="11.25" customHeight="1">
      <c r="A124" s="1084" t="s">
        <v>984</v>
      </c>
      <c r="B124" s="1084"/>
      <c r="C124" s="1084"/>
      <c r="D124" s="1078"/>
      <c r="E124" s="1088"/>
      <c r="F124" s="2791"/>
      <c r="G124" s="2798"/>
      <c r="H124" s="2787" t="s">
        <v>86</v>
      </c>
      <c r="I124" s="2799"/>
      <c r="J124" s="2800"/>
      <c r="K124" s="2801"/>
      <c r="L124" s="2524"/>
      <c r="M124" s="2525"/>
      <c r="N124" s="2804"/>
      <c r="O124" s="2805">
        <v>1</v>
      </c>
      <c r="P124" s="2806" t="s">
        <v>65</v>
      </c>
      <c r="Q124" s="2800" t="s">
        <v>1024</v>
      </c>
      <c r="R124" s="2809" t="s">
        <v>1025</v>
      </c>
      <c r="S124" s="2809" t="s">
        <v>1026</v>
      </c>
      <c r="T124" s="2809" t="s">
        <v>1026</v>
      </c>
      <c r="U124" s="2809" t="s">
        <v>1027</v>
      </c>
      <c r="V124" s="2809" t="s">
        <v>1028</v>
      </c>
      <c r="W124" s="2809" t="s">
        <v>1029</v>
      </c>
      <c r="X124" s="2809" t="s">
        <v>1030</v>
      </c>
      <c r="Y124" s="2809" t="s">
        <v>1031</v>
      </c>
      <c r="Z124" s="1093"/>
      <c r="AA124" s="1094"/>
      <c r="AB124" s="1094"/>
      <c r="AC124" s="1098"/>
      <c r="AD124" s="1098"/>
      <c r="AE124" s="1099"/>
      <c r="AF124" s="2802"/>
      <c r="AG124" s="2803"/>
      <c r="AH124" s="2803"/>
      <c r="AI124" s="2802"/>
      <c r="AJ124" s="2803"/>
      <c r="AK124" s="2803"/>
      <c r="AL124" s="1900"/>
      <c r="AM124" s="1738"/>
      <c r="AN124" s="1738"/>
      <c r="AO124" s="1738"/>
      <c r="AP124" s="1738"/>
      <c r="AQ124" s="1738"/>
      <c r="AR124" s="1738"/>
      <c r="AS124" s="1738"/>
      <c r="AT124" s="1738"/>
      <c r="AU124" s="1738"/>
      <c r="AV124" s="1738"/>
      <c r="AW124" s="1738"/>
      <c r="AX124" s="1738"/>
      <c r="AY124" s="1738"/>
      <c r="AZ124" s="1738"/>
      <c r="BA124" s="1738"/>
      <c r="BB124" s="1738"/>
      <c r="BC124" s="1738"/>
      <c r="BD124" s="1738"/>
      <c r="BE124" s="1738"/>
      <c r="BF124" s="1738"/>
      <c r="BG124" s="2010"/>
    </row>
    <row r="125" spans="1:59" ht="11.25" customHeight="1">
      <c r="A125" s="1084" t="s">
        <v>984</v>
      </c>
      <c r="B125" s="1084"/>
      <c r="C125" s="1084"/>
      <c r="D125" s="1078"/>
      <c r="E125" s="1088"/>
      <c r="F125" s="2791"/>
      <c r="G125" s="2798"/>
      <c r="H125" s="2787" t="s">
        <v>86</v>
      </c>
      <c r="I125" s="2799"/>
      <c r="J125" s="2800"/>
      <c r="K125" s="2801"/>
      <c r="L125" s="2524"/>
      <c r="M125" s="2525"/>
      <c r="N125" s="2804"/>
      <c r="O125" s="2805"/>
      <c r="P125" s="2807"/>
      <c r="Q125" s="2800"/>
      <c r="R125" s="2759"/>
      <c r="S125" s="2809"/>
      <c r="T125" s="2759"/>
      <c r="U125" s="2759"/>
      <c r="V125" s="2759"/>
      <c r="W125" s="2759"/>
      <c r="X125" s="2759"/>
      <c r="Y125" s="2759"/>
      <c r="Z125" s="1743"/>
      <c r="AA125" s="1711">
        <v>1</v>
      </c>
      <c r="AB125" s="1097" t="s">
        <v>1032</v>
      </c>
      <c r="AC125" s="1087">
        <v>4814.9503100000002</v>
      </c>
      <c r="AD125" s="1097" t="str">
        <f>AB125</f>
        <v xml:space="preserve">      Амортизационные отчисления с выделением результатов переоценки основных средств и нематериальных активов</v>
      </c>
      <c r="AE125" s="1087"/>
      <c r="AF125" s="2802"/>
      <c r="AG125" s="2803"/>
      <c r="AH125" s="2803"/>
      <c r="AI125" s="2802"/>
      <c r="AJ125" s="2803"/>
      <c r="AK125" s="2803"/>
      <c r="AL125" s="1900"/>
      <c r="AM125" s="1738"/>
      <c r="AN125" s="1738"/>
      <c r="AO125" s="1738"/>
      <c r="AP125" s="1738"/>
      <c r="AQ125" s="1738"/>
      <c r="AR125" s="1738"/>
      <c r="AS125" s="1738"/>
      <c r="AT125" s="1738"/>
      <c r="AU125" s="1738"/>
      <c r="AV125" s="1738"/>
      <c r="AW125" s="1738"/>
      <c r="AX125" s="1738"/>
      <c r="AY125" s="1738"/>
      <c r="AZ125" s="1738"/>
      <c r="BA125" s="1738"/>
      <c r="BB125" s="1738"/>
      <c r="BC125" s="1738"/>
      <c r="BD125" s="1738"/>
      <c r="BE125" s="1738"/>
      <c r="BF125" s="1738"/>
      <c r="BG125" s="2010"/>
    </row>
    <row r="126" spans="1:59" ht="11.25" customHeight="1">
      <c r="A126" s="1084" t="s">
        <v>984</v>
      </c>
      <c r="B126" s="1084"/>
      <c r="C126" s="1084"/>
      <c r="D126" s="1078"/>
      <c r="E126" s="1088"/>
      <c r="F126" s="2798"/>
      <c r="G126" s="2798"/>
      <c r="H126" s="2798"/>
      <c r="I126" s="2798"/>
      <c r="J126" s="2798"/>
      <c r="K126" s="2798"/>
      <c r="L126" s="2798"/>
      <c r="M126" s="2798"/>
      <c r="N126" s="2798"/>
      <c r="O126" s="2798"/>
      <c r="P126" s="2798"/>
      <c r="Q126" s="2798"/>
      <c r="R126" s="2798"/>
      <c r="S126" s="2798"/>
      <c r="T126" s="2798"/>
      <c r="U126" s="2798"/>
      <c r="V126" s="2798"/>
      <c r="W126" s="2798"/>
      <c r="X126" s="2798"/>
      <c r="Y126" s="2798"/>
      <c r="Z126" s="2393" t="s">
        <v>680</v>
      </c>
      <c r="AA126" s="1731" t="s">
        <v>103</v>
      </c>
      <c r="AB126" s="1097" t="s">
        <v>1050</v>
      </c>
      <c r="AC126" s="1087">
        <v>0.11182</v>
      </c>
      <c r="AD126" s="1097" t="str">
        <f>AB126</f>
        <v xml:space="preserve">  Прочие собственные средства</v>
      </c>
      <c r="AE126" s="1087"/>
      <c r="AF126" s="2810"/>
      <c r="AG126" s="2811"/>
      <c r="AH126" s="2811"/>
      <c r="AI126" s="2810"/>
      <c r="AJ126" s="2811"/>
      <c r="AK126" s="2812"/>
      <c r="AL126" s="1900"/>
      <c r="AM126" s="1738"/>
      <c r="AN126" s="1738"/>
      <c r="AO126" s="1738"/>
      <c r="AP126" s="1738"/>
      <c r="AQ126" s="1738"/>
      <c r="AR126" s="1738"/>
      <c r="AS126" s="1738"/>
      <c r="AT126" s="1738"/>
      <c r="AU126" s="1738"/>
      <c r="AV126" s="1738"/>
      <c r="AW126" s="1738"/>
      <c r="AX126" s="1738"/>
      <c r="AY126" s="1738"/>
      <c r="AZ126" s="1738"/>
      <c r="BA126" s="1738"/>
      <c r="BB126" s="1738"/>
      <c r="BC126" s="1738"/>
      <c r="BD126" s="1738"/>
      <c r="BE126" s="1738"/>
      <c r="BF126" s="1738"/>
      <c r="BG126" s="2394"/>
    </row>
    <row r="127" spans="1:59" ht="11.25" customHeight="1">
      <c r="A127" s="1084" t="s">
        <v>984</v>
      </c>
      <c r="B127" s="1084"/>
      <c r="C127" s="1084"/>
      <c r="D127" s="1078"/>
      <c r="E127" s="1088"/>
      <c r="F127" s="2791"/>
      <c r="G127" s="2798"/>
      <c r="H127" s="2787" t="s">
        <v>86</v>
      </c>
      <c r="I127" s="2799"/>
      <c r="J127" s="2800"/>
      <c r="K127" s="2801"/>
      <c r="L127" s="2524"/>
      <c r="M127" s="2525"/>
      <c r="N127" s="2804"/>
      <c r="O127" s="2805"/>
      <c r="P127" s="2808"/>
      <c r="Q127" s="2800"/>
      <c r="R127" s="2759"/>
      <c r="S127" s="2809"/>
      <c r="T127" s="2759"/>
      <c r="U127" s="2759"/>
      <c r="V127" s="2759"/>
      <c r="W127" s="2759"/>
      <c r="X127" s="2759"/>
      <c r="Y127" s="2759"/>
      <c r="Z127" s="1093"/>
      <c r="AA127" s="1094"/>
      <c r="AB127" s="1159" t="s">
        <v>1033</v>
      </c>
      <c r="AC127" s="1098"/>
      <c r="AD127" s="1098"/>
      <c r="AE127" s="1100"/>
      <c r="AF127" s="2802"/>
      <c r="AG127" s="2803"/>
      <c r="AH127" s="2803"/>
      <c r="AI127" s="2802"/>
      <c r="AJ127" s="2803"/>
      <c r="AK127" s="2803"/>
      <c r="AL127" s="1900"/>
      <c r="AM127" s="1738"/>
      <c r="AN127" s="1738"/>
      <c r="AO127" s="1738"/>
      <c r="AP127" s="1738"/>
      <c r="AQ127" s="1738"/>
      <c r="AR127" s="1738"/>
      <c r="AS127" s="1738"/>
      <c r="AT127" s="1738"/>
      <c r="AU127" s="1738"/>
      <c r="AV127" s="1738"/>
      <c r="AW127" s="1738"/>
      <c r="AX127" s="1738"/>
      <c r="AY127" s="1738"/>
      <c r="AZ127" s="1738"/>
      <c r="BA127" s="1738"/>
      <c r="BB127" s="1738"/>
      <c r="BC127" s="1738"/>
      <c r="BD127" s="1738"/>
      <c r="BE127" s="1738"/>
      <c r="BF127" s="1738"/>
      <c r="BG127" s="2010"/>
    </row>
    <row r="128" spans="1:59" ht="11.25" customHeight="1">
      <c r="A128" s="1084" t="s">
        <v>984</v>
      </c>
      <c r="B128" s="1084"/>
      <c r="C128" s="1084"/>
      <c r="D128" s="1078"/>
      <c r="E128" s="1088"/>
      <c r="F128" s="2791"/>
      <c r="G128" s="2798"/>
      <c r="H128" s="2787" t="s">
        <v>86</v>
      </c>
      <c r="I128" s="2799"/>
      <c r="J128" s="2800"/>
      <c r="K128" s="2801"/>
      <c r="L128" s="2524"/>
      <c r="M128" s="2525"/>
      <c r="N128" s="1093"/>
      <c r="O128" s="1094"/>
      <c r="P128" s="1086" t="s">
        <v>1034</v>
      </c>
      <c r="Q128" s="1094"/>
      <c r="R128" s="1094"/>
      <c r="S128" s="1094"/>
      <c r="T128" s="1094"/>
      <c r="U128" s="1094"/>
      <c r="V128" s="1094"/>
      <c r="W128" s="1094"/>
      <c r="X128" s="1094"/>
      <c r="Y128" s="1094"/>
      <c r="Z128" s="1094"/>
      <c r="AA128" s="1094"/>
      <c r="AB128" s="1094"/>
      <c r="AC128" s="1094"/>
      <c r="AD128" s="1094"/>
      <c r="AE128" s="1101"/>
      <c r="AF128" s="2802"/>
      <c r="AG128" s="2803"/>
      <c r="AH128" s="2803"/>
      <c r="AI128" s="2802"/>
      <c r="AJ128" s="2803"/>
      <c r="AK128" s="2803"/>
      <c r="AL128" s="1900"/>
      <c r="AM128" s="1738"/>
      <c r="AN128" s="1738"/>
      <c r="AO128" s="1738"/>
      <c r="AP128" s="1738"/>
      <c r="AQ128" s="1738"/>
      <c r="AR128" s="1738"/>
      <c r="AS128" s="1738"/>
      <c r="AT128" s="1738"/>
      <c r="AU128" s="1738"/>
      <c r="AV128" s="1738"/>
      <c r="AW128" s="1738"/>
      <c r="AX128" s="1738"/>
      <c r="AY128" s="1738"/>
      <c r="AZ128" s="1738"/>
      <c r="BA128" s="1738"/>
      <c r="BB128" s="1738"/>
      <c r="BC128" s="1738"/>
      <c r="BD128" s="1738"/>
      <c r="BE128" s="1738"/>
      <c r="BF128" s="1738"/>
      <c r="BG128" s="2010"/>
    </row>
    <row r="129" spans="1:59" ht="11.25" customHeight="1">
      <c r="A129" s="1084" t="s">
        <v>984</v>
      </c>
      <c r="B129" s="1084" t="s">
        <v>1018</v>
      </c>
      <c r="C129" s="1084"/>
      <c r="D129" s="1078"/>
      <c r="E129" s="1088"/>
      <c r="F129" s="2791"/>
      <c r="G129" s="2776" t="s">
        <v>680</v>
      </c>
      <c r="H129" s="2787" t="s">
        <v>104</v>
      </c>
      <c r="I129" s="2799" t="s">
        <v>1019</v>
      </c>
      <c r="J129" s="2800" t="s">
        <v>1035</v>
      </c>
      <c r="K129" s="2801" t="s">
        <v>1044</v>
      </c>
      <c r="L129" s="2524" t="s">
        <v>19</v>
      </c>
      <c r="M129" s="2525"/>
      <c r="N129" s="1898"/>
      <c r="O129" s="1095" t="s">
        <v>367</v>
      </c>
      <c r="P129" s="1096"/>
      <c r="Q129" s="1096"/>
      <c r="R129" s="1096"/>
      <c r="S129" s="1096"/>
      <c r="T129" s="1096"/>
      <c r="U129" s="1096"/>
      <c r="V129" s="1096"/>
      <c r="W129" s="1096"/>
      <c r="X129" s="1096"/>
      <c r="Y129" s="1096"/>
      <c r="Z129" s="1096"/>
      <c r="AA129" s="1096"/>
      <c r="AB129" s="1096"/>
      <c r="AC129" s="1096"/>
      <c r="AD129" s="1096"/>
      <c r="AE129" s="1096"/>
      <c r="AF129" s="2802">
        <v>5</v>
      </c>
      <c r="AG129" s="2803" t="s">
        <v>1022</v>
      </c>
      <c r="AH129" s="2803" t="s">
        <v>1045</v>
      </c>
      <c r="AI129" s="2802"/>
      <c r="AJ129" s="2803"/>
      <c r="AK129" s="2803"/>
      <c r="AL129" s="1900"/>
      <c r="AM129" s="1738"/>
      <c r="AN129" s="1738"/>
      <c r="AO129" s="1738"/>
      <c r="AP129" s="1738"/>
      <c r="AQ129" s="1738"/>
      <c r="AR129" s="1738"/>
      <c r="AS129" s="1738"/>
      <c r="AT129" s="1738"/>
      <c r="AU129" s="1738"/>
      <c r="AV129" s="1738"/>
      <c r="AW129" s="1738"/>
      <c r="AX129" s="1738"/>
      <c r="AY129" s="1738"/>
      <c r="AZ129" s="1738"/>
      <c r="BA129" s="1738"/>
      <c r="BB129" s="1738"/>
      <c r="BC129" s="1738"/>
      <c r="BD129" s="1738"/>
      <c r="BE129" s="1738"/>
      <c r="BF129" s="1738"/>
      <c r="BG129" s="2010"/>
    </row>
    <row r="130" spans="1:59" ht="11.25" customHeight="1">
      <c r="A130" s="1084" t="s">
        <v>984</v>
      </c>
      <c r="B130" s="1084"/>
      <c r="C130" s="1084"/>
      <c r="D130" s="1078"/>
      <c r="E130" s="1088"/>
      <c r="F130" s="2791"/>
      <c r="G130" s="2798"/>
      <c r="H130" s="2787" t="s">
        <v>87</v>
      </c>
      <c r="I130" s="2799"/>
      <c r="J130" s="2800"/>
      <c r="K130" s="2801"/>
      <c r="L130" s="2524"/>
      <c r="M130" s="2525"/>
      <c r="N130" s="2804"/>
      <c r="O130" s="2805">
        <v>1</v>
      </c>
      <c r="P130" s="2806" t="s">
        <v>65</v>
      </c>
      <c r="Q130" s="2800" t="s">
        <v>1024</v>
      </c>
      <c r="R130" s="2809" t="s">
        <v>1025</v>
      </c>
      <c r="S130" s="2809" t="s">
        <v>1026</v>
      </c>
      <c r="T130" s="2809" t="s">
        <v>1026</v>
      </c>
      <c r="U130" s="2809" t="s">
        <v>1027</v>
      </c>
      <c r="V130" s="2809" t="s">
        <v>1028</v>
      </c>
      <c r="W130" s="2809" t="s">
        <v>1029</v>
      </c>
      <c r="X130" s="2809" t="s">
        <v>1030</v>
      </c>
      <c r="Y130" s="2809" t="s">
        <v>1031</v>
      </c>
      <c r="Z130" s="1093"/>
      <c r="AA130" s="1094"/>
      <c r="AB130" s="1094"/>
      <c r="AC130" s="1098"/>
      <c r="AD130" s="1098"/>
      <c r="AE130" s="1099"/>
      <c r="AF130" s="2802"/>
      <c r="AG130" s="2803"/>
      <c r="AH130" s="2803"/>
      <c r="AI130" s="2802"/>
      <c r="AJ130" s="2803"/>
      <c r="AK130" s="2803"/>
      <c r="AL130" s="1900"/>
      <c r="AM130" s="1738"/>
      <c r="AN130" s="1738"/>
      <c r="AO130" s="1738"/>
      <c r="AP130" s="1738"/>
      <c r="AQ130" s="1738"/>
      <c r="AR130" s="1738"/>
      <c r="AS130" s="1738"/>
      <c r="AT130" s="1738"/>
      <c r="AU130" s="1738"/>
      <c r="AV130" s="1738"/>
      <c r="AW130" s="1738"/>
      <c r="AX130" s="1738"/>
      <c r="AY130" s="1738"/>
      <c r="AZ130" s="1738"/>
      <c r="BA130" s="1738"/>
      <c r="BB130" s="1738"/>
      <c r="BC130" s="1738"/>
      <c r="BD130" s="1738"/>
      <c r="BE130" s="1738"/>
      <c r="BF130" s="1738"/>
      <c r="BG130" s="2010"/>
    </row>
    <row r="131" spans="1:59" ht="11.25" customHeight="1">
      <c r="A131" s="1084" t="s">
        <v>984</v>
      </c>
      <c r="B131" s="1084"/>
      <c r="C131" s="1084"/>
      <c r="D131" s="1078"/>
      <c r="E131" s="1088"/>
      <c r="F131" s="2791"/>
      <c r="G131" s="2798"/>
      <c r="H131" s="2787" t="s">
        <v>87</v>
      </c>
      <c r="I131" s="2799"/>
      <c r="J131" s="2800"/>
      <c r="K131" s="2801"/>
      <c r="L131" s="2524"/>
      <c r="M131" s="2525"/>
      <c r="N131" s="2804"/>
      <c r="O131" s="2805"/>
      <c r="P131" s="2807"/>
      <c r="Q131" s="2800"/>
      <c r="R131" s="2759"/>
      <c r="S131" s="2809"/>
      <c r="T131" s="2759"/>
      <c r="U131" s="2759"/>
      <c r="V131" s="2759"/>
      <c r="W131" s="2759"/>
      <c r="X131" s="2759"/>
      <c r="Y131" s="2759"/>
      <c r="Z131" s="1743"/>
      <c r="AA131" s="1711">
        <v>1</v>
      </c>
      <c r="AB131" s="1097" t="s">
        <v>1032</v>
      </c>
      <c r="AC131" s="1087">
        <v>20336.896390000002</v>
      </c>
      <c r="AD131" s="1097" t="str">
        <f>AB131</f>
        <v xml:space="preserve">      Амортизационные отчисления с выделением результатов переоценки основных средств и нематериальных активов</v>
      </c>
      <c r="AE131" s="1087"/>
      <c r="AF131" s="2802"/>
      <c r="AG131" s="2803"/>
      <c r="AH131" s="2803"/>
      <c r="AI131" s="2802"/>
      <c r="AJ131" s="2803"/>
      <c r="AK131" s="2803"/>
      <c r="AL131" s="1900"/>
      <c r="AM131" s="1738"/>
      <c r="AN131" s="1738"/>
      <c r="AO131" s="1738"/>
      <c r="AP131" s="1738"/>
      <c r="AQ131" s="1738"/>
      <c r="AR131" s="1738"/>
      <c r="AS131" s="1738"/>
      <c r="AT131" s="1738"/>
      <c r="AU131" s="1738"/>
      <c r="AV131" s="1738"/>
      <c r="AW131" s="1738"/>
      <c r="AX131" s="1738"/>
      <c r="AY131" s="1738"/>
      <c r="AZ131" s="1738"/>
      <c r="BA131" s="1738"/>
      <c r="BB131" s="1738"/>
      <c r="BC131" s="1738"/>
      <c r="BD131" s="1738"/>
      <c r="BE131" s="1738"/>
      <c r="BF131" s="1738"/>
      <c r="BG131" s="2010"/>
    </row>
    <row r="132" spans="1:59" ht="11.25" customHeight="1">
      <c r="A132" s="1084" t="s">
        <v>984</v>
      </c>
      <c r="B132" s="1084"/>
      <c r="C132" s="1084"/>
      <c r="D132" s="1078"/>
      <c r="E132" s="1088"/>
      <c r="F132" s="2791"/>
      <c r="G132" s="2798"/>
      <c r="H132" s="2787" t="s">
        <v>87</v>
      </c>
      <c r="I132" s="2799"/>
      <c r="J132" s="2800"/>
      <c r="K132" s="2801"/>
      <c r="L132" s="2524"/>
      <c r="M132" s="2525"/>
      <c r="N132" s="2804"/>
      <c r="O132" s="2805"/>
      <c r="P132" s="2808"/>
      <c r="Q132" s="2800"/>
      <c r="R132" s="2759"/>
      <c r="S132" s="2809"/>
      <c r="T132" s="2759"/>
      <c r="U132" s="2759"/>
      <c r="V132" s="2759"/>
      <c r="W132" s="2759"/>
      <c r="X132" s="2759"/>
      <c r="Y132" s="2759"/>
      <c r="Z132" s="1093"/>
      <c r="AA132" s="1094"/>
      <c r="AB132" s="1159" t="s">
        <v>1033</v>
      </c>
      <c r="AC132" s="1098"/>
      <c r="AD132" s="1098"/>
      <c r="AE132" s="1100"/>
      <c r="AF132" s="2802"/>
      <c r="AG132" s="2803"/>
      <c r="AH132" s="2803"/>
      <c r="AI132" s="2802"/>
      <c r="AJ132" s="2803"/>
      <c r="AK132" s="2803"/>
      <c r="AL132" s="1900"/>
      <c r="AM132" s="1738"/>
      <c r="AN132" s="1738"/>
      <c r="AO132" s="1738"/>
      <c r="AP132" s="1738"/>
      <c r="AQ132" s="1738"/>
      <c r="AR132" s="1738"/>
      <c r="AS132" s="1738"/>
      <c r="AT132" s="1738"/>
      <c r="AU132" s="1738"/>
      <c r="AV132" s="1738"/>
      <c r="AW132" s="1738"/>
      <c r="AX132" s="1738"/>
      <c r="AY132" s="1738"/>
      <c r="AZ132" s="1738"/>
      <c r="BA132" s="1738"/>
      <c r="BB132" s="1738"/>
      <c r="BC132" s="1738"/>
      <c r="BD132" s="1738"/>
      <c r="BE132" s="1738"/>
      <c r="BF132" s="1738"/>
      <c r="BG132" s="2010"/>
    </row>
    <row r="133" spans="1:59" ht="11.25" customHeight="1">
      <c r="A133" s="1084" t="s">
        <v>984</v>
      </c>
      <c r="B133" s="1084"/>
      <c r="C133" s="1084"/>
      <c r="D133" s="1078"/>
      <c r="E133" s="1088"/>
      <c r="F133" s="2791"/>
      <c r="G133" s="2798"/>
      <c r="H133" s="2787" t="s">
        <v>87</v>
      </c>
      <c r="I133" s="2799"/>
      <c r="J133" s="2800"/>
      <c r="K133" s="2801"/>
      <c r="L133" s="2524"/>
      <c r="M133" s="2525"/>
      <c r="N133" s="1093"/>
      <c r="O133" s="1094"/>
      <c r="P133" s="1086" t="s">
        <v>1034</v>
      </c>
      <c r="Q133" s="1094"/>
      <c r="R133" s="1094"/>
      <c r="S133" s="1094"/>
      <c r="T133" s="1094"/>
      <c r="U133" s="1094"/>
      <c r="V133" s="1094"/>
      <c r="W133" s="1094"/>
      <c r="X133" s="1094"/>
      <c r="Y133" s="1094"/>
      <c r="Z133" s="1094"/>
      <c r="AA133" s="1094"/>
      <c r="AB133" s="1094"/>
      <c r="AC133" s="1094"/>
      <c r="AD133" s="1094"/>
      <c r="AE133" s="1101"/>
      <c r="AF133" s="2802"/>
      <c r="AG133" s="2803"/>
      <c r="AH133" s="2803"/>
      <c r="AI133" s="2802"/>
      <c r="AJ133" s="2803"/>
      <c r="AK133" s="2803"/>
      <c r="AL133" s="1900"/>
      <c r="AM133" s="1738"/>
      <c r="AN133" s="1738"/>
      <c r="AO133" s="1738"/>
      <c r="AP133" s="1738"/>
      <c r="AQ133" s="1738"/>
      <c r="AR133" s="1738"/>
      <c r="AS133" s="1738"/>
      <c r="AT133" s="1738"/>
      <c r="AU133" s="1738"/>
      <c r="AV133" s="1738"/>
      <c r="AW133" s="1738"/>
      <c r="AX133" s="1738"/>
      <c r="AY133" s="1738"/>
      <c r="AZ133" s="1738"/>
      <c r="BA133" s="1738"/>
      <c r="BB133" s="1738"/>
      <c r="BC133" s="1738"/>
      <c r="BD133" s="1738"/>
      <c r="BE133" s="1738"/>
      <c r="BF133" s="1738"/>
      <c r="BG133" s="2010"/>
    </row>
    <row r="134" spans="1:59" ht="11.25" customHeight="1">
      <c r="A134" s="1084" t="s">
        <v>984</v>
      </c>
      <c r="B134" s="1084" t="s">
        <v>1018</v>
      </c>
      <c r="C134" s="1084"/>
      <c r="D134" s="1078"/>
      <c r="E134" s="1088"/>
      <c r="F134" s="2791"/>
      <c r="G134" s="2776" t="s">
        <v>680</v>
      </c>
      <c r="H134" s="2787" t="s">
        <v>88</v>
      </c>
      <c r="I134" s="2799" t="s">
        <v>1019</v>
      </c>
      <c r="J134" s="2800" t="s">
        <v>1035</v>
      </c>
      <c r="K134" s="2801" t="s">
        <v>1054</v>
      </c>
      <c r="L134" s="2524" t="s">
        <v>19</v>
      </c>
      <c r="M134" s="2525"/>
      <c r="N134" s="1898"/>
      <c r="O134" s="1095" t="s">
        <v>367</v>
      </c>
      <c r="P134" s="1096"/>
      <c r="Q134" s="1096"/>
      <c r="R134" s="1096"/>
      <c r="S134" s="1096"/>
      <c r="T134" s="1096"/>
      <c r="U134" s="1096"/>
      <c r="V134" s="1096"/>
      <c r="W134" s="1096"/>
      <c r="X134" s="1096"/>
      <c r="Y134" s="1096"/>
      <c r="Z134" s="1096"/>
      <c r="AA134" s="1096"/>
      <c r="AB134" s="1096"/>
      <c r="AC134" s="1096"/>
      <c r="AD134" s="1096"/>
      <c r="AE134" s="1096"/>
      <c r="AF134" s="2802">
        <v>3</v>
      </c>
      <c r="AG134" s="2803" t="s">
        <v>1022</v>
      </c>
      <c r="AH134" s="2803" t="s">
        <v>1023</v>
      </c>
      <c r="AI134" s="2802"/>
      <c r="AJ134" s="2803"/>
      <c r="AK134" s="2803"/>
      <c r="AL134" s="1900"/>
      <c r="AM134" s="1738"/>
      <c r="AN134" s="1738"/>
      <c r="AO134" s="1738"/>
      <c r="AP134" s="1738"/>
      <c r="AQ134" s="1738"/>
      <c r="AR134" s="1738"/>
      <c r="AS134" s="1738"/>
      <c r="AT134" s="1738"/>
      <c r="AU134" s="1738"/>
      <c r="AV134" s="1738"/>
      <c r="AW134" s="1738"/>
      <c r="AX134" s="1738"/>
      <c r="AY134" s="1738"/>
      <c r="AZ134" s="1738"/>
      <c r="BA134" s="1738"/>
      <c r="BB134" s="1738"/>
      <c r="BC134" s="1738"/>
      <c r="BD134" s="1738"/>
      <c r="BE134" s="1738"/>
      <c r="BF134" s="1738"/>
      <c r="BG134" s="2010"/>
    </row>
    <row r="135" spans="1:59" ht="11.25" customHeight="1">
      <c r="A135" s="1084" t="s">
        <v>984</v>
      </c>
      <c r="B135" s="1084"/>
      <c r="C135" s="1084"/>
      <c r="D135" s="1078"/>
      <c r="E135" s="1088"/>
      <c r="F135" s="2791"/>
      <c r="G135" s="2798"/>
      <c r="H135" s="2787" t="s">
        <v>104</v>
      </c>
      <c r="I135" s="2799"/>
      <c r="J135" s="2800"/>
      <c r="K135" s="2801"/>
      <c r="L135" s="2524"/>
      <c r="M135" s="2525"/>
      <c r="N135" s="2804"/>
      <c r="O135" s="2805">
        <v>1</v>
      </c>
      <c r="P135" s="2806" t="s">
        <v>65</v>
      </c>
      <c r="Q135" s="2800" t="s">
        <v>1024</v>
      </c>
      <c r="R135" s="2809" t="s">
        <v>1025</v>
      </c>
      <c r="S135" s="2809" t="s">
        <v>1026</v>
      </c>
      <c r="T135" s="2809" t="s">
        <v>1026</v>
      </c>
      <c r="U135" s="2809" t="s">
        <v>1027</v>
      </c>
      <c r="V135" s="2809" t="s">
        <v>1028</v>
      </c>
      <c r="W135" s="2809" t="s">
        <v>1029</v>
      </c>
      <c r="X135" s="2809" t="s">
        <v>1030</v>
      </c>
      <c r="Y135" s="2809" t="s">
        <v>1031</v>
      </c>
      <c r="Z135" s="1093"/>
      <c r="AA135" s="1094"/>
      <c r="AB135" s="1094"/>
      <c r="AC135" s="1098"/>
      <c r="AD135" s="1098"/>
      <c r="AE135" s="1099"/>
      <c r="AF135" s="2802"/>
      <c r="AG135" s="2803"/>
      <c r="AH135" s="2803"/>
      <c r="AI135" s="2802"/>
      <c r="AJ135" s="2803"/>
      <c r="AK135" s="2803"/>
      <c r="AL135" s="1900"/>
      <c r="AM135" s="1738"/>
      <c r="AN135" s="1738"/>
      <c r="AO135" s="1738"/>
      <c r="AP135" s="1738"/>
      <c r="AQ135" s="1738"/>
      <c r="AR135" s="1738"/>
      <c r="AS135" s="1738"/>
      <c r="AT135" s="1738"/>
      <c r="AU135" s="1738"/>
      <c r="AV135" s="1738"/>
      <c r="AW135" s="1738"/>
      <c r="AX135" s="1738"/>
      <c r="AY135" s="1738"/>
      <c r="AZ135" s="1738"/>
      <c r="BA135" s="1738"/>
      <c r="BB135" s="1738"/>
      <c r="BC135" s="1738"/>
      <c r="BD135" s="1738"/>
      <c r="BE135" s="1738"/>
      <c r="BF135" s="1738"/>
      <c r="BG135" s="2010"/>
    </row>
    <row r="136" spans="1:59" ht="11.25" customHeight="1">
      <c r="A136" s="1084" t="s">
        <v>984</v>
      </c>
      <c r="B136" s="1084"/>
      <c r="C136" s="1084"/>
      <c r="D136" s="1078"/>
      <c r="E136" s="1088"/>
      <c r="F136" s="2791"/>
      <c r="G136" s="2798"/>
      <c r="H136" s="2787" t="s">
        <v>104</v>
      </c>
      <c r="I136" s="2799"/>
      <c r="J136" s="2800"/>
      <c r="K136" s="2801"/>
      <c r="L136" s="2524"/>
      <c r="M136" s="2525"/>
      <c r="N136" s="2804"/>
      <c r="O136" s="2805"/>
      <c r="P136" s="2807"/>
      <c r="Q136" s="2800"/>
      <c r="R136" s="2759"/>
      <c r="S136" s="2809"/>
      <c r="T136" s="2759"/>
      <c r="U136" s="2759"/>
      <c r="V136" s="2759"/>
      <c r="W136" s="2759"/>
      <c r="X136" s="2759"/>
      <c r="Y136" s="2759"/>
      <c r="Z136" s="1743"/>
      <c r="AA136" s="1711">
        <v>1</v>
      </c>
      <c r="AB136" s="1097" t="s">
        <v>1032</v>
      </c>
      <c r="AC136" s="1087">
        <v>481.50621000000001</v>
      </c>
      <c r="AD136" s="1097" t="str">
        <f>AB136</f>
        <v xml:space="preserve">      Амортизационные отчисления с выделением результатов переоценки основных средств и нематериальных активов</v>
      </c>
      <c r="AE136" s="1087"/>
      <c r="AF136" s="2802"/>
      <c r="AG136" s="2803"/>
      <c r="AH136" s="2803"/>
      <c r="AI136" s="2802"/>
      <c r="AJ136" s="2803"/>
      <c r="AK136" s="2803"/>
      <c r="AL136" s="1900"/>
      <c r="AM136" s="1738"/>
      <c r="AN136" s="1738"/>
      <c r="AO136" s="1738"/>
      <c r="AP136" s="1738"/>
      <c r="AQ136" s="1738"/>
      <c r="AR136" s="1738"/>
      <c r="AS136" s="1738"/>
      <c r="AT136" s="1738"/>
      <c r="AU136" s="1738"/>
      <c r="AV136" s="1738"/>
      <c r="AW136" s="1738"/>
      <c r="AX136" s="1738"/>
      <c r="AY136" s="1738"/>
      <c r="AZ136" s="1738"/>
      <c r="BA136" s="1738"/>
      <c r="BB136" s="1738"/>
      <c r="BC136" s="1738"/>
      <c r="BD136" s="1738"/>
      <c r="BE136" s="1738"/>
      <c r="BF136" s="1738"/>
      <c r="BG136" s="2010"/>
    </row>
    <row r="137" spans="1:59" ht="11.25" customHeight="1">
      <c r="A137" s="1084" t="s">
        <v>984</v>
      </c>
      <c r="B137" s="1084"/>
      <c r="C137" s="1084"/>
      <c r="D137" s="1078"/>
      <c r="E137" s="1088"/>
      <c r="F137" s="2791"/>
      <c r="G137" s="2798"/>
      <c r="H137" s="2787" t="s">
        <v>104</v>
      </c>
      <c r="I137" s="2799"/>
      <c r="J137" s="2800"/>
      <c r="K137" s="2801"/>
      <c r="L137" s="2524"/>
      <c r="M137" s="2525"/>
      <c r="N137" s="2804"/>
      <c r="O137" s="2805"/>
      <c r="P137" s="2808"/>
      <c r="Q137" s="2800"/>
      <c r="R137" s="2759"/>
      <c r="S137" s="2809"/>
      <c r="T137" s="2759"/>
      <c r="U137" s="2759"/>
      <c r="V137" s="2759"/>
      <c r="W137" s="2759"/>
      <c r="X137" s="2759"/>
      <c r="Y137" s="2759"/>
      <c r="Z137" s="1093"/>
      <c r="AA137" s="1094"/>
      <c r="AB137" s="1159" t="s">
        <v>1033</v>
      </c>
      <c r="AC137" s="1098"/>
      <c r="AD137" s="1098"/>
      <c r="AE137" s="1100"/>
      <c r="AF137" s="2802"/>
      <c r="AG137" s="2803"/>
      <c r="AH137" s="2803"/>
      <c r="AI137" s="2802"/>
      <c r="AJ137" s="2803"/>
      <c r="AK137" s="2803"/>
      <c r="AL137" s="1900"/>
      <c r="AM137" s="1738"/>
      <c r="AN137" s="1738"/>
      <c r="AO137" s="1738"/>
      <c r="AP137" s="1738"/>
      <c r="AQ137" s="1738"/>
      <c r="AR137" s="1738"/>
      <c r="AS137" s="1738"/>
      <c r="AT137" s="1738"/>
      <c r="AU137" s="1738"/>
      <c r="AV137" s="1738"/>
      <c r="AW137" s="1738"/>
      <c r="AX137" s="1738"/>
      <c r="AY137" s="1738"/>
      <c r="AZ137" s="1738"/>
      <c r="BA137" s="1738"/>
      <c r="BB137" s="1738"/>
      <c r="BC137" s="1738"/>
      <c r="BD137" s="1738"/>
      <c r="BE137" s="1738"/>
      <c r="BF137" s="1738"/>
      <c r="BG137" s="2010"/>
    </row>
    <row r="138" spans="1:59" ht="11.25" customHeight="1">
      <c r="A138" s="1084" t="s">
        <v>984</v>
      </c>
      <c r="B138" s="1084"/>
      <c r="C138" s="1084"/>
      <c r="D138" s="1078"/>
      <c r="E138" s="1088"/>
      <c r="F138" s="2791"/>
      <c r="G138" s="2798"/>
      <c r="H138" s="2787" t="s">
        <v>104</v>
      </c>
      <c r="I138" s="2799"/>
      <c r="J138" s="2800"/>
      <c r="K138" s="2801"/>
      <c r="L138" s="2524"/>
      <c r="M138" s="2525"/>
      <c r="N138" s="1093"/>
      <c r="O138" s="1094"/>
      <c r="P138" s="1086" t="s">
        <v>1034</v>
      </c>
      <c r="Q138" s="1094"/>
      <c r="R138" s="1094"/>
      <c r="S138" s="1094"/>
      <c r="T138" s="1094"/>
      <c r="U138" s="1094"/>
      <c r="V138" s="1094"/>
      <c r="W138" s="1094"/>
      <c r="X138" s="1094"/>
      <c r="Y138" s="1094"/>
      <c r="Z138" s="1094"/>
      <c r="AA138" s="1094"/>
      <c r="AB138" s="1094"/>
      <c r="AC138" s="1094"/>
      <c r="AD138" s="1094"/>
      <c r="AE138" s="1101"/>
      <c r="AF138" s="2802"/>
      <c r="AG138" s="2803"/>
      <c r="AH138" s="2803"/>
      <c r="AI138" s="2802"/>
      <c r="AJ138" s="2803"/>
      <c r="AK138" s="2803"/>
      <c r="AL138" s="1900"/>
      <c r="AM138" s="1738"/>
      <c r="AN138" s="1738"/>
      <c r="AO138" s="1738"/>
      <c r="AP138" s="1738"/>
      <c r="AQ138" s="1738"/>
      <c r="AR138" s="1738"/>
      <c r="AS138" s="1738"/>
      <c r="AT138" s="1738"/>
      <c r="AU138" s="1738"/>
      <c r="AV138" s="1738"/>
      <c r="AW138" s="1738"/>
      <c r="AX138" s="1738"/>
      <c r="AY138" s="1738"/>
      <c r="AZ138" s="1738"/>
      <c r="BA138" s="1738"/>
      <c r="BB138" s="1738"/>
      <c r="BC138" s="1738"/>
      <c r="BD138" s="1738"/>
      <c r="BE138" s="1738"/>
      <c r="BF138" s="1738"/>
      <c r="BG138" s="2010"/>
    </row>
    <row r="139" spans="1:59" ht="11.25" customHeight="1">
      <c r="A139" s="1084" t="s">
        <v>984</v>
      </c>
      <c r="B139" s="1084" t="s">
        <v>1018</v>
      </c>
      <c r="C139" s="1084"/>
      <c r="D139" s="1078"/>
      <c r="E139" s="1088"/>
      <c r="F139" s="2791"/>
      <c r="G139" s="2776" t="s">
        <v>680</v>
      </c>
      <c r="H139" s="2787" t="s">
        <v>89</v>
      </c>
      <c r="I139" s="2799" t="s">
        <v>1019</v>
      </c>
      <c r="J139" s="2800" t="s">
        <v>1035</v>
      </c>
      <c r="K139" s="2801" t="s">
        <v>1055</v>
      </c>
      <c r="L139" s="2524" t="s">
        <v>19</v>
      </c>
      <c r="M139" s="2525"/>
      <c r="N139" s="1898"/>
      <c r="O139" s="1095" t="s">
        <v>367</v>
      </c>
      <c r="P139" s="1096"/>
      <c r="Q139" s="1096"/>
      <c r="R139" s="1096"/>
      <c r="S139" s="1096"/>
      <c r="T139" s="1096"/>
      <c r="U139" s="1096"/>
      <c r="V139" s="1096"/>
      <c r="W139" s="1096"/>
      <c r="X139" s="1096"/>
      <c r="Y139" s="1096"/>
      <c r="Z139" s="1096"/>
      <c r="AA139" s="1096"/>
      <c r="AB139" s="1096"/>
      <c r="AC139" s="1096"/>
      <c r="AD139" s="1096"/>
      <c r="AE139" s="1096"/>
      <c r="AF139" s="2802">
        <v>2</v>
      </c>
      <c r="AG139" s="2803" t="s">
        <v>1022</v>
      </c>
      <c r="AH139" s="2803" t="s">
        <v>1040</v>
      </c>
      <c r="AI139" s="2802"/>
      <c r="AJ139" s="2803"/>
      <c r="AK139" s="2803"/>
      <c r="AL139" s="1900"/>
      <c r="AM139" s="1738"/>
      <c r="AN139" s="1738"/>
      <c r="AO139" s="1738"/>
      <c r="AP139" s="1738"/>
      <c r="AQ139" s="1738"/>
      <c r="AR139" s="1738"/>
      <c r="AS139" s="1738"/>
      <c r="AT139" s="1738"/>
      <c r="AU139" s="1738"/>
      <c r="AV139" s="1738"/>
      <c r="AW139" s="1738"/>
      <c r="AX139" s="1738"/>
      <c r="AY139" s="1738"/>
      <c r="AZ139" s="1738"/>
      <c r="BA139" s="1738"/>
      <c r="BB139" s="1738"/>
      <c r="BC139" s="1738"/>
      <c r="BD139" s="1738"/>
      <c r="BE139" s="1738"/>
      <c r="BF139" s="1738"/>
      <c r="BG139" s="2010"/>
    </row>
    <row r="140" spans="1:59" ht="11.25" customHeight="1">
      <c r="A140" s="1084" t="s">
        <v>984</v>
      </c>
      <c r="B140" s="1084"/>
      <c r="C140" s="1084"/>
      <c r="D140" s="1078"/>
      <c r="E140" s="1088"/>
      <c r="F140" s="2791"/>
      <c r="G140" s="2798"/>
      <c r="H140" s="2787" t="s">
        <v>88</v>
      </c>
      <c r="I140" s="2799"/>
      <c r="J140" s="2800"/>
      <c r="K140" s="2801"/>
      <c r="L140" s="2524"/>
      <c r="M140" s="2525"/>
      <c r="N140" s="2804"/>
      <c r="O140" s="2805">
        <v>1</v>
      </c>
      <c r="P140" s="2806" t="s">
        <v>65</v>
      </c>
      <c r="Q140" s="2800" t="s">
        <v>1024</v>
      </c>
      <c r="R140" s="2809" t="s">
        <v>1025</v>
      </c>
      <c r="S140" s="2809" t="s">
        <v>1026</v>
      </c>
      <c r="T140" s="2809" t="s">
        <v>1026</v>
      </c>
      <c r="U140" s="2809" t="s">
        <v>1027</v>
      </c>
      <c r="V140" s="2809" t="s">
        <v>1028</v>
      </c>
      <c r="W140" s="2809" t="s">
        <v>1029</v>
      </c>
      <c r="X140" s="2809" t="s">
        <v>1030</v>
      </c>
      <c r="Y140" s="2809" t="s">
        <v>1031</v>
      </c>
      <c r="Z140" s="1093"/>
      <c r="AA140" s="1094"/>
      <c r="AB140" s="1094"/>
      <c r="AC140" s="1098"/>
      <c r="AD140" s="1098"/>
      <c r="AE140" s="1099"/>
      <c r="AF140" s="2802"/>
      <c r="AG140" s="2803"/>
      <c r="AH140" s="2803"/>
      <c r="AI140" s="2802"/>
      <c r="AJ140" s="2803"/>
      <c r="AK140" s="2803"/>
      <c r="AL140" s="1900"/>
      <c r="AM140" s="1738"/>
      <c r="AN140" s="1738"/>
      <c r="AO140" s="1738"/>
      <c r="AP140" s="1738"/>
      <c r="AQ140" s="1738"/>
      <c r="AR140" s="1738"/>
      <c r="AS140" s="1738"/>
      <c r="AT140" s="1738"/>
      <c r="AU140" s="1738"/>
      <c r="AV140" s="1738"/>
      <c r="AW140" s="1738"/>
      <c r="AX140" s="1738"/>
      <c r="AY140" s="1738"/>
      <c r="AZ140" s="1738"/>
      <c r="BA140" s="1738"/>
      <c r="BB140" s="1738"/>
      <c r="BC140" s="1738"/>
      <c r="BD140" s="1738"/>
      <c r="BE140" s="1738"/>
      <c r="BF140" s="1738"/>
      <c r="BG140" s="2010"/>
    </row>
    <row r="141" spans="1:59" ht="11.25" customHeight="1">
      <c r="A141" s="1084" t="s">
        <v>984</v>
      </c>
      <c r="B141" s="1084"/>
      <c r="C141" s="1084"/>
      <c r="D141" s="1078"/>
      <c r="E141" s="1088"/>
      <c r="F141" s="2791"/>
      <c r="G141" s="2798"/>
      <c r="H141" s="2787" t="s">
        <v>88</v>
      </c>
      <c r="I141" s="2799"/>
      <c r="J141" s="2800"/>
      <c r="K141" s="2801"/>
      <c r="L141" s="2524"/>
      <c r="M141" s="2525"/>
      <c r="N141" s="2804"/>
      <c r="O141" s="2805"/>
      <c r="P141" s="2807"/>
      <c r="Q141" s="2800"/>
      <c r="R141" s="2759"/>
      <c r="S141" s="2809"/>
      <c r="T141" s="2759"/>
      <c r="U141" s="2759"/>
      <c r="V141" s="2759"/>
      <c r="W141" s="2759"/>
      <c r="X141" s="2759"/>
      <c r="Y141" s="2759"/>
      <c r="Z141" s="1743"/>
      <c r="AA141" s="1711">
        <v>1</v>
      </c>
      <c r="AB141" s="1097" t="s">
        <v>1032</v>
      </c>
      <c r="AC141" s="1087">
        <v>2407.5310599999998</v>
      </c>
      <c r="AD141" s="1097" t="str">
        <f>AB141</f>
        <v xml:space="preserve">      Амортизационные отчисления с выделением результатов переоценки основных средств и нематериальных активов</v>
      </c>
      <c r="AE141" s="1087"/>
      <c r="AF141" s="2802"/>
      <c r="AG141" s="2803"/>
      <c r="AH141" s="2803"/>
      <c r="AI141" s="2802"/>
      <c r="AJ141" s="2803"/>
      <c r="AK141" s="2803"/>
      <c r="AL141" s="1900"/>
      <c r="AM141" s="1738"/>
      <c r="AN141" s="1738"/>
      <c r="AO141" s="1738"/>
      <c r="AP141" s="1738"/>
      <c r="AQ141" s="1738"/>
      <c r="AR141" s="1738"/>
      <c r="AS141" s="1738"/>
      <c r="AT141" s="1738"/>
      <c r="AU141" s="1738"/>
      <c r="AV141" s="1738"/>
      <c r="AW141" s="1738"/>
      <c r="AX141" s="1738"/>
      <c r="AY141" s="1738"/>
      <c r="AZ141" s="1738"/>
      <c r="BA141" s="1738"/>
      <c r="BB141" s="1738"/>
      <c r="BC141" s="1738"/>
      <c r="BD141" s="1738"/>
      <c r="BE141" s="1738"/>
      <c r="BF141" s="1738"/>
      <c r="BG141" s="2010"/>
    </row>
    <row r="142" spans="1:59" ht="11.25" customHeight="1">
      <c r="A142" s="1084" t="s">
        <v>984</v>
      </c>
      <c r="B142" s="1084"/>
      <c r="C142" s="1084"/>
      <c r="D142" s="1078"/>
      <c r="E142" s="1088"/>
      <c r="F142" s="2791"/>
      <c r="G142" s="2798"/>
      <c r="H142" s="2787" t="s">
        <v>88</v>
      </c>
      <c r="I142" s="2799"/>
      <c r="J142" s="2800"/>
      <c r="K142" s="2801"/>
      <c r="L142" s="2524"/>
      <c r="M142" s="2525"/>
      <c r="N142" s="2804"/>
      <c r="O142" s="2805"/>
      <c r="P142" s="2808"/>
      <c r="Q142" s="2800"/>
      <c r="R142" s="2759"/>
      <c r="S142" s="2809"/>
      <c r="T142" s="2759"/>
      <c r="U142" s="2759"/>
      <c r="V142" s="2759"/>
      <c r="W142" s="2759"/>
      <c r="X142" s="2759"/>
      <c r="Y142" s="2759"/>
      <c r="Z142" s="1093"/>
      <c r="AA142" s="1094"/>
      <c r="AB142" s="1159" t="s">
        <v>1033</v>
      </c>
      <c r="AC142" s="1098"/>
      <c r="AD142" s="1098"/>
      <c r="AE142" s="1100"/>
      <c r="AF142" s="2802"/>
      <c r="AG142" s="2803"/>
      <c r="AH142" s="2803"/>
      <c r="AI142" s="2802"/>
      <c r="AJ142" s="2803"/>
      <c r="AK142" s="2803"/>
      <c r="AL142" s="1900"/>
      <c r="AM142" s="1738"/>
      <c r="AN142" s="1738"/>
      <c r="AO142" s="1738"/>
      <c r="AP142" s="1738"/>
      <c r="AQ142" s="1738"/>
      <c r="AR142" s="1738"/>
      <c r="AS142" s="1738"/>
      <c r="AT142" s="1738"/>
      <c r="AU142" s="1738"/>
      <c r="AV142" s="1738"/>
      <c r="AW142" s="1738"/>
      <c r="AX142" s="1738"/>
      <c r="AY142" s="1738"/>
      <c r="AZ142" s="1738"/>
      <c r="BA142" s="1738"/>
      <c r="BB142" s="1738"/>
      <c r="BC142" s="1738"/>
      <c r="BD142" s="1738"/>
      <c r="BE142" s="1738"/>
      <c r="BF142" s="1738"/>
      <c r="BG142" s="2010"/>
    </row>
    <row r="143" spans="1:59" ht="11.25" customHeight="1">
      <c r="A143" s="1084" t="s">
        <v>984</v>
      </c>
      <c r="B143" s="1084"/>
      <c r="C143" s="1084"/>
      <c r="D143" s="1078"/>
      <c r="E143" s="1088"/>
      <c r="F143" s="2791"/>
      <c r="G143" s="2798"/>
      <c r="H143" s="2787" t="s">
        <v>88</v>
      </c>
      <c r="I143" s="2799"/>
      <c r="J143" s="2800"/>
      <c r="K143" s="2801"/>
      <c r="L143" s="2524"/>
      <c r="M143" s="2525"/>
      <c r="N143" s="1093"/>
      <c r="O143" s="1094"/>
      <c r="P143" s="1086" t="s">
        <v>1034</v>
      </c>
      <c r="Q143" s="1094"/>
      <c r="R143" s="1094"/>
      <c r="S143" s="1094"/>
      <c r="T143" s="1094"/>
      <c r="U143" s="1094"/>
      <c r="V143" s="1094"/>
      <c r="W143" s="1094"/>
      <c r="X143" s="1094"/>
      <c r="Y143" s="1094"/>
      <c r="Z143" s="1094"/>
      <c r="AA143" s="1094"/>
      <c r="AB143" s="1094"/>
      <c r="AC143" s="1094"/>
      <c r="AD143" s="1094"/>
      <c r="AE143" s="1101"/>
      <c r="AF143" s="2802"/>
      <c r="AG143" s="2803"/>
      <c r="AH143" s="2803"/>
      <c r="AI143" s="2802"/>
      <c r="AJ143" s="2803"/>
      <c r="AK143" s="2803"/>
      <c r="AL143" s="1900"/>
      <c r="AM143" s="1738"/>
      <c r="AN143" s="1738"/>
      <c r="AO143" s="1738"/>
      <c r="AP143" s="1738"/>
      <c r="AQ143" s="1738"/>
      <c r="AR143" s="1738"/>
      <c r="AS143" s="1738"/>
      <c r="AT143" s="1738"/>
      <c r="AU143" s="1738"/>
      <c r="AV143" s="1738"/>
      <c r="AW143" s="1738"/>
      <c r="AX143" s="1738"/>
      <c r="AY143" s="1738"/>
      <c r="AZ143" s="1738"/>
      <c r="BA143" s="1738"/>
      <c r="BB143" s="1738"/>
      <c r="BC143" s="1738"/>
      <c r="BD143" s="1738"/>
      <c r="BE143" s="1738"/>
      <c r="BF143" s="1738"/>
      <c r="BG143" s="2010"/>
    </row>
    <row r="144" spans="1:59" ht="11.25" customHeight="1">
      <c r="A144" s="1084" t="s">
        <v>984</v>
      </c>
      <c r="B144" s="1084" t="s">
        <v>1018</v>
      </c>
      <c r="C144" s="1084"/>
      <c r="D144" s="1078"/>
      <c r="E144" s="1088"/>
      <c r="F144" s="2791"/>
      <c r="G144" s="2776" t="s">
        <v>680</v>
      </c>
      <c r="H144" s="2787" t="s">
        <v>105</v>
      </c>
      <c r="I144" s="2799" t="s">
        <v>1019</v>
      </c>
      <c r="J144" s="2800" t="s">
        <v>1035</v>
      </c>
      <c r="K144" s="2801" t="s">
        <v>1056</v>
      </c>
      <c r="L144" s="2524" t="s">
        <v>19</v>
      </c>
      <c r="M144" s="2525"/>
      <c r="N144" s="1898"/>
      <c r="O144" s="1095" t="s">
        <v>367</v>
      </c>
      <c r="P144" s="1096"/>
      <c r="Q144" s="1096"/>
      <c r="R144" s="1096"/>
      <c r="S144" s="1096"/>
      <c r="T144" s="1096"/>
      <c r="U144" s="1096"/>
      <c r="V144" s="1096"/>
      <c r="W144" s="1096"/>
      <c r="X144" s="1096"/>
      <c r="Y144" s="1096"/>
      <c r="Z144" s="1096"/>
      <c r="AA144" s="1096"/>
      <c r="AB144" s="1096"/>
      <c r="AC144" s="1096"/>
      <c r="AD144" s="1096"/>
      <c r="AE144" s="1096"/>
      <c r="AF144" s="2802">
        <v>2</v>
      </c>
      <c r="AG144" s="2803" t="s">
        <v>1022</v>
      </c>
      <c r="AH144" s="2803" t="s">
        <v>1040</v>
      </c>
      <c r="AI144" s="2802"/>
      <c r="AJ144" s="2803"/>
      <c r="AK144" s="2803"/>
      <c r="AL144" s="1900"/>
      <c r="AM144" s="1738"/>
      <c r="AN144" s="1738"/>
      <c r="AO144" s="1738"/>
      <c r="AP144" s="1738"/>
      <c r="AQ144" s="1738"/>
      <c r="AR144" s="1738"/>
      <c r="AS144" s="1738"/>
      <c r="AT144" s="1738"/>
      <c r="AU144" s="1738"/>
      <c r="AV144" s="1738"/>
      <c r="AW144" s="1738"/>
      <c r="AX144" s="1738"/>
      <c r="AY144" s="1738"/>
      <c r="AZ144" s="1738"/>
      <c r="BA144" s="1738"/>
      <c r="BB144" s="1738"/>
      <c r="BC144" s="1738"/>
      <c r="BD144" s="1738"/>
      <c r="BE144" s="1738"/>
      <c r="BF144" s="1738"/>
      <c r="BG144" s="2010"/>
    </row>
    <row r="145" spans="1:59" ht="11.25" customHeight="1">
      <c r="A145" s="1084" t="s">
        <v>984</v>
      </c>
      <c r="B145" s="1084"/>
      <c r="C145" s="1084"/>
      <c r="D145" s="1078"/>
      <c r="E145" s="1088"/>
      <c r="F145" s="2791"/>
      <c r="G145" s="2798"/>
      <c r="H145" s="2787" t="s">
        <v>89</v>
      </c>
      <c r="I145" s="2799"/>
      <c r="J145" s="2800"/>
      <c r="K145" s="2801"/>
      <c r="L145" s="2524"/>
      <c r="M145" s="2525"/>
      <c r="N145" s="2804"/>
      <c r="O145" s="2805">
        <v>1</v>
      </c>
      <c r="P145" s="2806" t="s">
        <v>65</v>
      </c>
      <c r="Q145" s="2800" t="s">
        <v>1024</v>
      </c>
      <c r="R145" s="2809" t="s">
        <v>1025</v>
      </c>
      <c r="S145" s="2809" t="s">
        <v>1026</v>
      </c>
      <c r="T145" s="2809" t="s">
        <v>1026</v>
      </c>
      <c r="U145" s="2809" t="s">
        <v>1027</v>
      </c>
      <c r="V145" s="2809" t="s">
        <v>1028</v>
      </c>
      <c r="W145" s="2809" t="s">
        <v>1029</v>
      </c>
      <c r="X145" s="2809" t="s">
        <v>1030</v>
      </c>
      <c r="Y145" s="2809" t="s">
        <v>1031</v>
      </c>
      <c r="Z145" s="1093"/>
      <c r="AA145" s="1094"/>
      <c r="AB145" s="1094"/>
      <c r="AC145" s="1098"/>
      <c r="AD145" s="1098"/>
      <c r="AE145" s="1099"/>
      <c r="AF145" s="2802"/>
      <c r="AG145" s="2803"/>
      <c r="AH145" s="2803"/>
      <c r="AI145" s="2802"/>
      <c r="AJ145" s="2803"/>
      <c r="AK145" s="2803"/>
      <c r="AL145" s="1900"/>
      <c r="AM145" s="1738"/>
      <c r="AN145" s="1738"/>
      <c r="AO145" s="1738"/>
      <c r="AP145" s="1738"/>
      <c r="AQ145" s="1738"/>
      <c r="AR145" s="1738"/>
      <c r="AS145" s="1738"/>
      <c r="AT145" s="1738"/>
      <c r="AU145" s="1738"/>
      <c r="AV145" s="1738"/>
      <c r="AW145" s="1738"/>
      <c r="AX145" s="1738"/>
      <c r="AY145" s="1738"/>
      <c r="AZ145" s="1738"/>
      <c r="BA145" s="1738"/>
      <c r="BB145" s="1738"/>
      <c r="BC145" s="1738"/>
      <c r="BD145" s="1738"/>
      <c r="BE145" s="1738"/>
      <c r="BF145" s="1738"/>
      <c r="BG145" s="2010"/>
    </row>
    <row r="146" spans="1:59" ht="11.25" customHeight="1">
      <c r="A146" s="1084" t="s">
        <v>984</v>
      </c>
      <c r="B146" s="1084"/>
      <c r="C146" s="1084"/>
      <c r="D146" s="1078"/>
      <c r="E146" s="1088"/>
      <c r="F146" s="2791"/>
      <c r="G146" s="2798"/>
      <c r="H146" s="2787" t="s">
        <v>89</v>
      </c>
      <c r="I146" s="2799"/>
      <c r="J146" s="2800"/>
      <c r="K146" s="2801"/>
      <c r="L146" s="2524"/>
      <c r="M146" s="2525"/>
      <c r="N146" s="2804"/>
      <c r="O146" s="2805"/>
      <c r="P146" s="2807"/>
      <c r="Q146" s="2800"/>
      <c r="R146" s="2759"/>
      <c r="S146" s="2809"/>
      <c r="T146" s="2759"/>
      <c r="U146" s="2759"/>
      <c r="V146" s="2759"/>
      <c r="W146" s="2759"/>
      <c r="X146" s="2759"/>
      <c r="Y146" s="2759"/>
      <c r="Z146" s="1743"/>
      <c r="AA146" s="1711">
        <v>1</v>
      </c>
      <c r="AB146" s="1097" t="s">
        <v>1032</v>
      </c>
      <c r="AC146" s="1087">
        <v>2407.5310599999998</v>
      </c>
      <c r="AD146" s="1097" t="str">
        <f>AB146</f>
        <v xml:space="preserve">      Амортизационные отчисления с выделением результатов переоценки основных средств и нематериальных активов</v>
      </c>
      <c r="AE146" s="1087"/>
      <c r="AF146" s="2802"/>
      <c r="AG146" s="2803"/>
      <c r="AH146" s="2803"/>
      <c r="AI146" s="2802"/>
      <c r="AJ146" s="2803"/>
      <c r="AK146" s="2803"/>
      <c r="AL146" s="1900"/>
      <c r="AM146" s="1738"/>
      <c r="AN146" s="1738"/>
      <c r="AO146" s="1738"/>
      <c r="AP146" s="1738"/>
      <c r="AQ146" s="1738"/>
      <c r="AR146" s="1738"/>
      <c r="AS146" s="1738"/>
      <c r="AT146" s="1738"/>
      <c r="AU146" s="1738"/>
      <c r="AV146" s="1738"/>
      <c r="AW146" s="1738"/>
      <c r="AX146" s="1738"/>
      <c r="AY146" s="1738"/>
      <c r="AZ146" s="1738"/>
      <c r="BA146" s="1738"/>
      <c r="BB146" s="1738"/>
      <c r="BC146" s="1738"/>
      <c r="BD146" s="1738"/>
      <c r="BE146" s="1738"/>
      <c r="BF146" s="1738"/>
      <c r="BG146" s="2010"/>
    </row>
    <row r="147" spans="1:59" ht="11.25" customHeight="1">
      <c r="A147" s="1084" t="s">
        <v>984</v>
      </c>
      <c r="B147" s="1084"/>
      <c r="C147" s="1084"/>
      <c r="D147" s="1078"/>
      <c r="E147" s="1088"/>
      <c r="F147" s="2791"/>
      <c r="G147" s="2798"/>
      <c r="H147" s="2787" t="s">
        <v>89</v>
      </c>
      <c r="I147" s="2799"/>
      <c r="J147" s="2800"/>
      <c r="K147" s="2801"/>
      <c r="L147" s="2524"/>
      <c r="M147" s="2525"/>
      <c r="N147" s="2804"/>
      <c r="O147" s="2805"/>
      <c r="P147" s="2808"/>
      <c r="Q147" s="2800"/>
      <c r="R147" s="2759"/>
      <c r="S147" s="2809"/>
      <c r="T147" s="2759"/>
      <c r="U147" s="2759"/>
      <c r="V147" s="2759"/>
      <c r="W147" s="2759"/>
      <c r="X147" s="2759"/>
      <c r="Y147" s="2759"/>
      <c r="Z147" s="1093"/>
      <c r="AA147" s="1094"/>
      <c r="AB147" s="1159" t="s">
        <v>1033</v>
      </c>
      <c r="AC147" s="1098"/>
      <c r="AD147" s="1098"/>
      <c r="AE147" s="1100"/>
      <c r="AF147" s="2802"/>
      <c r="AG147" s="2803"/>
      <c r="AH147" s="2803"/>
      <c r="AI147" s="2802"/>
      <c r="AJ147" s="2803"/>
      <c r="AK147" s="2803"/>
      <c r="AL147" s="1900"/>
      <c r="AM147" s="1738"/>
      <c r="AN147" s="1738"/>
      <c r="AO147" s="1738"/>
      <c r="AP147" s="1738"/>
      <c r="AQ147" s="1738"/>
      <c r="AR147" s="1738"/>
      <c r="AS147" s="1738"/>
      <c r="AT147" s="1738"/>
      <c r="AU147" s="1738"/>
      <c r="AV147" s="1738"/>
      <c r="AW147" s="1738"/>
      <c r="AX147" s="1738"/>
      <c r="AY147" s="1738"/>
      <c r="AZ147" s="1738"/>
      <c r="BA147" s="1738"/>
      <c r="BB147" s="1738"/>
      <c r="BC147" s="1738"/>
      <c r="BD147" s="1738"/>
      <c r="BE147" s="1738"/>
      <c r="BF147" s="1738"/>
      <c r="BG147" s="2010"/>
    </row>
    <row r="148" spans="1:59" ht="11.25" customHeight="1">
      <c r="A148" s="1084" t="s">
        <v>984</v>
      </c>
      <c r="B148" s="1084"/>
      <c r="C148" s="1084"/>
      <c r="D148" s="1078"/>
      <c r="E148" s="1088"/>
      <c r="F148" s="2791"/>
      <c r="G148" s="2798"/>
      <c r="H148" s="2787" t="s">
        <v>89</v>
      </c>
      <c r="I148" s="2799"/>
      <c r="J148" s="2800"/>
      <c r="K148" s="2801"/>
      <c r="L148" s="2524"/>
      <c r="M148" s="2525"/>
      <c r="N148" s="1093"/>
      <c r="O148" s="1094"/>
      <c r="P148" s="1086" t="s">
        <v>1034</v>
      </c>
      <c r="Q148" s="1094"/>
      <c r="R148" s="1094"/>
      <c r="S148" s="1094"/>
      <c r="T148" s="1094"/>
      <c r="U148" s="1094"/>
      <c r="V148" s="1094"/>
      <c r="W148" s="1094"/>
      <c r="X148" s="1094"/>
      <c r="Y148" s="1094"/>
      <c r="Z148" s="1094"/>
      <c r="AA148" s="1094"/>
      <c r="AB148" s="1094"/>
      <c r="AC148" s="1094"/>
      <c r="AD148" s="1094"/>
      <c r="AE148" s="1101"/>
      <c r="AF148" s="2802"/>
      <c r="AG148" s="2803"/>
      <c r="AH148" s="2803"/>
      <c r="AI148" s="2802"/>
      <c r="AJ148" s="2803"/>
      <c r="AK148" s="2803"/>
      <c r="AL148" s="1900"/>
      <c r="AM148" s="1738"/>
      <c r="AN148" s="1738"/>
      <c r="AO148" s="1738"/>
      <c r="AP148" s="1738"/>
      <c r="AQ148" s="1738"/>
      <c r="AR148" s="1738"/>
      <c r="AS148" s="1738"/>
      <c r="AT148" s="1738"/>
      <c r="AU148" s="1738"/>
      <c r="AV148" s="1738"/>
      <c r="AW148" s="1738"/>
      <c r="AX148" s="1738"/>
      <c r="AY148" s="1738"/>
      <c r="AZ148" s="1738"/>
      <c r="BA148" s="1738"/>
      <c r="BB148" s="1738"/>
      <c r="BC148" s="1738"/>
      <c r="BD148" s="1738"/>
      <c r="BE148" s="1738"/>
      <c r="BF148" s="1738"/>
      <c r="BG148" s="2010"/>
    </row>
    <row r="149" spans="1:59" ht="11.25" customHeight="1">
      <c r="A149" s="1084" t="s">
        <v>984</v>
      </c>
      <c r="B149" s="1084" t="s">
        <v>1018</v>
      </c>
      <c r="C149" s="1084"/>
      <c r="D149" s="1078"/>
      <c r="E149" s="1088"/>
      <c r="F149" s="2791"/>
      <c r="G149" s="2776" t="s">
        <v>680</v>
      </c>
      <c r="H149" s="2787" t="s">
        <v>141</v>
      </c>
      <c r="I149" s="2799" t="s">
        <v>1019</v>
      </c>
      <c r="J149" s="2800" t="s">
        <v>1035</v>
      </c>
      <c r="K149" s="2801" t="s">
        <v>1057</v>
      </c>
      <c r="L149" s="2524" t="s">
        <v>19</v>
      </c>
      <c r="M149" s="2525"/>
      <c r="N149" s="1898"/>
      <c r="O149" s="1095" t="s">
        <v>367</v>
      </c>
      <c r="P149" s="1096"/>
      <c r="Q149" s="1096"/>
      <c r="R149" s="1096"/>
      <c r="S149" s="1096"/>
      <c r="T149" s="1096"/>
      <c r="U149" s="1096"/>
      <c r="V149" s="1096"/>
      <c r="W149" s="1096"/>
      <c r="X149" s="1096"/>
      <c r="Y149" s="1096"/>
      <c r="Z149" s="1096"/>
      <c r="AA149" s="1096"/>
      <c r="AB149" s="1096"/>
      <c r="AC149" s="1096"/>
      <c r="AD149" s="1096"/>
      <c r="AE149" s="1096"/>
      <c r="AF149" s="2802">
        <v>1</v>
      </c>
      <c r="AG149" s="2803" t="s">
        <v>1022</v>
      </c>
      <c r="AH149" s="2803" t="s">
        <v>1058</v>
      </c>
      <c r="AI149" s="2802"/>
      <c r="AJ149" s="2803"/>
      <c r="AK149" s="2803"/>
      <c r="AL149" s="1900"/>
      <c r="AM149" s="1738"/>
      <c r="AN149" s="1738"/>
      <c r="AO149" s="1738"/>
      <c r="AP149" s="1738"/>
      <c r="AQ149" s="1738"/>
      <c r="AR149" s="1738"/>
      <c r="AS149" s="1738"/>
      <c r="AT149" s="1738"/>
      <c r="AU149" s="1738"/>
      <c r="AV149" s="1738"/>
      <c r="AW149" s="1738"/>
      <c r="AX149" s="1738"/>
      <c r="AY149" s="1738"/>
      <c r="AZ149" s="1738"/>
      <c r="BA149" s="1738"/>
      <c r="BB149" s="1738"/>
      <c r="BC149" s="1738"/>
      <c r="BD149" s="1738"/>
      <c r="BE149" s="1738"/>
      <c r="BF149" s="1738"/>
      <c r="BG149" s="2010"/>
    </row>
    <row r="150" spans="1:59" ht="11.25" customHeight="1">
      <c r="A150" s="1084" t="s">
        <v>984</v>
      </c>
      <c r="B150" s="1084"/>
      <c r="C150" s="1084"/>
      <c r="D150" s="1078"/>
      <c r="E150" s="1088"/>
      <c r="F150" s="2791"/>
      <c r="G150" s="2798"/>
      <c r="H150" s="2787" t="s">
        <v>105</v>
      </c>
      <c r="I150" s="2799"/>
      <c r="J150" s="2800"/>
      <c r="K150" s="2801"/>
      <c r="L150" s="2524"/>
      <c r="M150" s="2525"/>
      <c r="N150" s="2804"/>
      <c r="O150" s="2805">
        <v>1</v>
      </c>
      <c r="P150" s="2806" t="s">
        <v>65</v>
      </c>
      <c r="Q150" s="2800" t="s">
        <v>1024</v>
      </c>
      <c r="R150" s="2809" t="s">
        <v>1025</v>
      </c>
      <c r="S150" s="2809" t="s">
        <v>1026</v>
      </c>
      <c r="T150" s="2809" t="s">
        <v>1026</v>
      </c>
      <c r="U150" s="2809" t="s">
        <v>1027</v>
      </c>
      <c r="V150" s="2809" t="s">
        <v>1028</v>
      </c>
      <c r="W150" s="2809" t="s">
        <v>1029</v>
      </c>
      <c r="X150" s="2809" t="s">
        <v>1030</v>
      </c>
      <c r="Y150" s="2809" t="s">
        <v>1031</v>
      </c>
      <c r="Z150" s="1093"/>
      <c r="AA150" s="1094"/>
      <c r="AB150" s="1094"/>
      <c r="AC150" s="1098"/>
      <c r="AD150" s="1098"/>
      <c r="AE150" s="1099"/>
      <c r="AF150" s="2802"/>
      <c r="AG150" s="2803"/>
      <c r="AH150" s="2803"/>
      <c r="AI150" s="2802"/>
      <c r="AJ150" s="2803"/>
      <c r="AK150" s="2803"/>
      <c r="AL150" s="1900"/>
      <c r="AM150" s="1738"/>
      <c r="AN150" s="1738"/>
      <c r="AO150" s="1738"/>
      <c r="AP150" s="1738"/>
      <c r="AQ150" s="1738"/>
      <c r="AR150" s="1738"/>
      <c r="AS150" s="1738"/>
      <c r="AT150" s="1738"/>
      <c r="AU150" s="1738"/>
      <c r="AV150" s="1738"/>
      <c r="AW150" s="1738"/>
      <c r="AX150" s="1738"/>
      <c r="AY150" s="1738"/>
      <c r="AZ150" s="1738"/>
      <c r="BA150" s="1738"/>
      <c r="BB150" s="1738"/>
      <c r="BC150" s="1738"/>
      <c r="BD150" s="1738"/>
      <c r="BE150" s="1738"/>
      <c r="BF150" s="1738"/>
      <c r="BG150" s="2010"/>
    </row>
    <row r="151" spans="1:59" ht="11.25" customHeight="1">
      <c r="A151" s="1084" t="s">
        <v>984</v>
      </c>
      <c r="B151" s="1084"/>
      <c r="C151" s="1084"/>
      <c r="D151" s="1078"/>
      <c r="E151" s="1088"/>
      <c r="F151" s="2791"/>
      <c r="G151" s="2798"/>
      <c r="H151" s="2787" t="s">
        <v>105</v>
      </c>
      <c r="I151" s="2799"/>
      <c r="J151" s="2800"/>
      <c r="K151" s="2801"/>
      <c r="L151" s="2524"/>
      <c r="M151" s="2525"/>
      <c r="N151" s="2804"/>
      <c r="O151" s="2805"/>
      <c r="P151" s="2807"/>
      <c r="Q151" s="2800"/>
      <c r="R151" s="2759"/>
      <c r="S151" s="2809"/>
      <c r="T151" s="2759"/>
      <c r="U151" s="2759"/>
      <c r="V151" s="2759"/>
      <c r="W151" s="2759"/>
      <c r="X151" s="2759"/>
      <c r="Y151" s="2759"/>
      <c r="Z151" s="1743"/>
      <c r="AA151" s="1711">
        <v>1</v>
      </c>
      <c r="AB151" s="1097" t="s">
        <v>1032</v>
      </c>
      <c r="AC151" s="1087">
        <v>3226.0916200000001</v>
      </c>
      <c r="AD151" s="1097" t="str">
        <f>AB151</f>
        <v xml:space="preserve">      Амортизационные отчисления с выделением результатов переоценки основных средств и нематериальных активов</v>
      </c>
      <c r="AE151" s="1087"/>
      <c r="AF151" s="2802"/>
      <c r="AG151" s="2803"/>
      <c r="AH151" s="2803"/>
      <c r="AI151" s="2802"/>
      <c r="AJ151" s="2803"/>
      <c r="AK151" s="2803"/>
      <c r="AL151" s="1900"/>
      <c r="AM151" s="1738"/>
      <c r="AN151" s="1738"/>
      <c r="AO151" s="1738"/>
      <c r="AP151" s="1738"/>
      <c r="AQ151" s="1738"/>
      <c r="AR151" s="1738"/>
      <c r="AS151" s="1738"/>
      <c r="AT151" s="1738"/>
      <c r="AU151" s="1738"/>
      <c r="AV151" s="1738"/>
      <c r="AW151" s="1738"/>
      <c r="AX151" s="1738"/>
      <c r="AY151" s="1738"/>
      <c r="AZ151" s="1738"/>
      <c r="BA151" s="1738"/>
      <c r="BB151" s="1738"/>
      <c r="BC151" s="1738"/>
      <c r="BD151" s="1738"/>
      <c r="BE151" s="1738"/>
      <c r="BF151" s="1738"/>
      <c r="BG151" s="2010"/>
    </row>
    <row r="152" spans="1:59" ht="11.25" customHeight="1">
      <c r="A152" s="1084" t="s">
        <v>984</v>
      </c>
      <c r="B152" s="1084"/>
      <c r="C152" s="1084"/>
      <c r="D152" s="1078"/>
      <c r="E152" s="1088"/>
      <c r="F152" s="2791"/>
      <c r="G152" s="2798"/>
      <c r="H152" s="2787" t="s">
        <v>105</v>
      </c>
      <c r="I152" s="2799"/>
      <c r="J152" s="2800"/>
      <c r="K152" s="2801"/>
      <c r="L152" s="2524"/>
      <c r="M152" s="2525"/>
      <c r="N152" s="2804"/>
      <c r="O152" s="2805"/>
      <c r="P152" s="2808"/>
      <c r="Q152" s="2800"/>
      <c r="R152" s="2759"/>
      <c r="S152" s="2809"/>
      <c r="T152" s="2759"/>
      <c r="U152" s="2759"/>
      <c r="V152" s="2759"/>
      <c r="W152" s="2759"/>
      <c r="X152" s="2759"/>
      <c r="Y152" s="2759"/>
      <c r="Z152" s="1093"/>
      <c r="AA152" s="1094"/>
      <c r="AB152" s="1159" t="s">
        <v>1033</v>
      </c>
      <c r="AC152" s="1098"/>
      <c r="AD152" s="1098"/>
      <c r="AE152" s="1100"/>
      <c r="AF152" s="2802"/>
      <c r="AG152" s="2803"/>
      <c r="AH152" s="2803"/>
      <c r="AI152" s="2802"/>
      <c r="AJ152" s="2803"/>
      <c r="AK152" s="2803"/>
      <c r="AL152" s="1900"/>
      <c r="AM152" s="1738"/>
      <c r="AN152" s="1738"/>
      <c r="AO152" s="1738"/>
      <c r="AP152" s="1738"/>
      <c r="AQ152" s="1738"/>
      <c r="AR152" s="1738"/>
      <c r="AS152" s="1738"/>
      <c r="AT152" s="1738"/>
      <c r="AU152" s="1738"/>
      <c r="AV152" s="1738"/>
      <c r="AW152" s="1738"/>
      <c r="AX152" s="1738"/>
      <c r="AY152" s="1738"/>
      <c r="AZ152" s="1738"/>
      <c r="BA152" s="1738"/>
      <c r="BB152" s="1738"/>
      <c r="BC152" s="1738"/>
      <c r="BD152" s="1738"/>
      <c r="BE152" s="1738"/>
      <c r="BF152" s="1738"/>
      <c r="BG152" s="2010"/>
    </row>
    <row r="153" spans="1:59" ht="11.25" customHeight="1">
      <c r="A153" s="1084" t="s">
        <v>984</v>
      </c>
      <c r="B153" s="1084"/>
      <c r="C153" s="1084"/>
      <c r="D153" s="1078"/>
      <c r="E153" s="1088"/>
      <c r="F153" s="2791"/>
      <c r="G153" s="2798"/>
      <c r="H153" s="2787" t="s">
        <v>105</v>
      </c>
      <c r="I153" s="2799"/>
      <c r="J153" s="2800"/>
      <c r="K153" s="2801"/>
      <c r="L153" s="2524"/>
      <c r="M153" s="2525"/>
      <c r="N153" s="1093"/>
      <c r="O153" s="1094"/>
      <c r="P153" s="1086" t="s">
        <v>1034</v>
      </c>
      <c r="Q153" s="1094"/>
      <c r="R153" s="1094"/>
      <c r="S153" s="1094"/>
      <c r="T153" s="1094"/>
      <c r="U153" s="1094"/>
      <c r="V153" s="1094"/>
      <c r="W153" s="1094"/>
      <c r="X153" s="1094"/>
      <c r="Y153" s="1094"/>
      <c r="Z153" s="1094"/>
      <c r="AA153" s="1094"/>
      <c r="AB153" s="1094"/>
      <c r="AC153" s="1094"/>
      <c r="AD153" s="1094"/>
      <c r="AE153" s="1101"/>
      <c r="AF153" s="2802"/>
      <c r="AG153" s="2803"/>
      <c r="AH153" s="2803"/>
      <c r="AI153" s="2802"/>
      <c r="AJ153" s="2803"/>
      <c r="AK153" s="2803"/>
      <c r="AL153" s="1900"/>
      <c r="AM153" s="1738"/>
      <c r="AN153" s="1738"/>
      <c r="AO153" s="1738"/>
      <c r="AP153" s="1738"/>
      <c r="AQ153" s="1738"/>
      <c r="AR153" s="1738"/>
      <c r="AS153" s="1738"/>
      <c r="AT153" s="1738"/>
      <c r="AU153" s="1738"/>
      <c r="AV153" s="1738"/>
      <c r="AW153" s="1738"/>
      <c r="AX153" s="1738"/>
      <c r="AY153" s="1738"/>
      <c r="AZ153" s="1738"/>
      <c r="BA153" s="1738"/>
      <c r="BB153" s="1738"/>
      <c r="BC153" s="1738"/>
      <c r="BD153" s="1738"/>
      <c r="BE153" s="1738"/>
      <c r="BF153" s="1738"/>
      <c r="BG153" s="2010"/>
    </row>
    <row r="154" spans="1:59" ht="12" customHeight="1">
      <c r="A154" s="1084" t="s">
        <v>984</v>
      </c>
      <c r="B154" s="1084"/>
      <c r="C154" s="1084"/>
      <c r="D154" s="1078"/>
      <c r="E154" s="1088"/>
      <c r="F154" s="2792"/>
      <c r="G154" s="1108"/>
      <c r="H154" s="1108"/>
      <c r="I154" s="2789" t="s">
        <v>1047</v>
      </c>
      <c r="J154" s="2789"/>
      <c r="K154" s="2789"/>
      <c r="L154" s="1091"/>
      <c r="M154" s="1091"/>
      <c r="N154" s="1092"/>
      <c r="O154" s="1092"/>
      <c r="P154" s="1092"/>
      <c r="Q154" s="1092"/>
      <c r="R154" s="1092"/>
      <c r="S154" s="1092"/>
      <c r="T154" s="1092"/>
      <c r="U154" s="1092"/>
      <c r="V154" s="1092"/>
      <c r="W154" s="1092"/>
      <c r="X154" s="1092"/>
      <c r="Y154" s="1092"/>
      <c r="Z154" s="1092"/>
      <c r="AA154" s="1092"/>
      <c r="AB154" s="1092"/>
      <c r="AC154" s="1092"/>
      <c r="AD154" s="1092"/>
      <c r="AE154" s="1092"/>
      <c r="AF154" s="1092"/>
      <c r="AG154" s="1091"/>
      <c r="AH154" s="1091"/>
      <c r="AI154" s="1092"/>
      <c r="AJ154" s="1091"/>
      <c r="AK154" s="1092"/>
      <c r="AL154" s="1900"/>
      <c r="AM154" s="1738"/>
      <c r="AN154" s="1738"/>
      <c r="AO154" s="1738"/>
      <c r="AP154" s="1738"/>
      <c r="AQ154" s="1738"/>
      <c r="AR154" s="1738"/>
      <c r="AS154" s="1738"/>
      <c r="AT154" s="1738"/>
      <c r="AU154" s="1738"/>
      <c r="AV154" s="1738"/>
      <c r="AW154" s="1738"/>
      <c r="AX154" s="1738"/>
      <c r="AY154" s="1738"/>
      <c r="AZ154" s="1738"/>
      <c r="BA154" s="1738"/>
      <c r="BB154" s="1738"/>
      <c r="BC154" s="1738"/>
      <c r="BD154" s="1738"/>
      <c r="BE154" s="1738"/>
      <c r="BF154" s="1738"/>
      <c r="BG154" s="2010"/>
    </row>
    <row r="155" spans="1:59" ht="0.75" customHeight="1">
      <c r="A155" s="1084" t="s">
        <v>984</v>
      </c>
      <c r="B155" s="1084"/>
      <c r="C155" s="1084"/>
      <c r="D155" s="1078"/>
      <c r="E155" s="1088"/>
      <c r="F155" s="2790">
        <v>2026</v>
      </c>
      <c r="G155" s="2787"/>
      <c r="H155" s="2794" t="s">
        <v>367</v>
      </c>
      <c r="I155" s="2795"/>
      <c r="J155" s="2786"/>
      <c r="K155" s="2786"/>
      <c r="L155" s="2788"/>
      <c r="M155" s="2639"/>
      <c r="N155" s="1948"/>
      <c r="O155" s="1947"/>
      <c r="P155" s="1948"/>
      <c r="Q155" s="1948"/>
      <c r="R155" s="1948"/>
      <c r="S155" s="1948"/>
      <c r="T155" s="1948"/>
      <c r="U155" s="1948"/>
      <c r="V155" s="1948"/>
      <c r="W155" s="1948"/>
      <c r="X155" s="1948"/>
      <c r="Y155" s="1948"/>
      <c r="Z155" s="1948"/>
      <c r="AA155" s="1948"/>
      <c r="AB155" s="1948"/>
      <c r="AC155" s="1948"/>
      <c r="AD155" s="1948"/>
      <c r="AE155" s="1948"/>
      <c r="AF155" s="2793"/>
      <c r="AG155" s="2788"/>
      <c r="AH155" s="2788"/>
      <c r="AI155" s="2793"/>
      <c r="AJ155" s="2788"/>
      <c r="AK155" s="2788"/>
      <c r="AL155" s="1900"/>
      <c r="AM155" s="1738"/>
      <c r="AN155" s="1738"/>
      <c r="AO155" s="1738"/>
      <c r="AP155" s="1738"/>
      <c r="AQ155" s="1738"/>
      <c r="AR155" s="1738"/>
      <c r="AS155" s="1738"/>
      <c r="AT155" s="1738"/>
      <c r="AU155" s="1738"/>
      <c r="AV155" s="1738"/>
      <c r="AW155" s="1738"/>
      <c r="AX155" s="1738"/>
      <c r="AY155" s="1738"/>
      <c r="AZ155" s="1738"/>
      <c r="BA155" s="1738"/>
      <c r="BB155" s="1738"/>
      <c r="BC155" s="1738"/>
      <c r="BD155" s="1738"/>
      <c r="BE155" s="1738"/>
      <c r="BF155" s="1738"/>
      <c r="BG155" s="2010"/>
    </row>
    <row r="156" spans="1:59" ht="0.75" customHeight="1">
      <c r="A156" s="1084" t="s">
        <v>984</v>
      </c>
      <c r="B156" s="1084"/>
      <c r="C156" s="1084"/>
      <c r="D156" s="1078"/>
      <c r="E156" s="1088"/>
      <c r="F156" s="2790"/>
      <c r="G156" s="2787"/>
      <c r="H156" s="2794"/>
      <c r="I156" s="2795"/>
      <c r="J156" s="2786"/>
      <c r="K156" s="2786"/>
      <c r="L156" s="2788"/>
      <c r="M156" s="2639"/>
      <c r="N156" s="2796"/>
      <c r="O156" s="2797"/>
      <c r="P156" s="2783"/>
      <c r="Q156" s="2786"/>
      <c r="R156" s="2786"/>
      <c r="S156" s="2786"/>
      <c r="T156" s="2786"/>
      <c r="U156" s="2786"/>
      <c r="V156" s="2786"/>
      <c r="W156" s="2786"/>
      <c r="X156" s="2786"/>
      <c r="Y156" s="2786"/>
      <c r="Z156" s="1949"/>
      <c r="AA156" s="1950"/>
      <c r="AB156" s="1950"/>
      <c r="AC156" s="1951"/>
      <c r="AD156" s="1951"/>
      <c r="AE156" s="1952"/>
      <c r="AF156" s="2793"/>
      <c r="AG156" s="2788"/>
      <c r="AH156" s="2788"/>
      <c r="AI156" s="2793"/>
      <c r="AJ156" s="2788"/>
      <c r="AK156" s="2788"/>
      <c r="AL156" s="1900"/>
      <c r="AM156" s="1738"/>
      <c r="AN156" s="1738"/>
      <c r="AO156" s="1738"/>
      <c r="AP156" s="1738"/>
      <c r="AQ156" s="1738"/>
      <c r="AR156" s="1738"/>
      <c r="AS156" s="1738"/>
      <c r="AT156" s="1738"/>
      <c r="AU156" s="1738"/>
      <c r="AV156" s="1738"/>
      <c r="AW156" s="1738"/>
      <c r="AX156" s="1738"/>
      <c r="AY156" s="1738"/>
      <c r="AZ156" s="1738"/>
      <c r="BA156" s="1738"/>
      <c r="BB156" s="1738"/>
      <c r="BC156" s="1738"/>
      <c r="BD156" s="1738"/>
      <c r="BE156" s="1738"/>
      <c r="BF156" s="1738"/>
      <c r="BG156" s="2010"/>
    </row>
    <row r="157" spans="1:59" ht="0.75" customHeight="1">
      <c r="A157" s="1084" t="s">
        <v>984</v>
      </c>
      <c r="B157" s="1084"/>
      <c r="C157" s="1084"/>
      <c r="D157" s="1078"/>
      <c r="E157" s="1088"/>
      <c r="F157" s="2790"/>
      <c r="G157" s="2787"/>
      <c r="H157" s="2794"/>
      <c r="I157" s="2795"/>
      <c r="J157" s="2786"/>
      <c r="K157" s="2786"/>
      <c r="L157" s="2788"/>
      <c r="M157" s="2639"/>
      <c r="N157" s="2796"/>
      <c r="O157" s="2797"/>
      <c r="P157" s="2784"/>
      <c r="Q157" s="2786"/>
      <c r="R157" s="2786"/>
      <c r="S157" s="2786"/>
      <c r="T157" s="2786"/>
      <c r="U157" s="2786"/>
      <c r="V157" s="2786"/>
      <c r="W157" s="2786"/>
      <c r="X157" s="2786"/>
      <c r="Y157" s="2786"/>
      <c r="Z157" s="1953"/>
      <c r="AA157" s="1954"/>
      <c r="AB157" s="1955"/>
      <c r="AC157" s="1956"/>
      <c r="AD157" s="1955"/>
      <c r="AE157" s="1956"/>
      <c r="AF157" s="2793"/>
      <c r="AG157" s="2788"/>
      <c r="AH157" s="2788"/>
      <c r="AI157" s="2793"/>
      <c r="AJ157" s="2788"/>
      <c r="AK157" s="2788"/>
      <c r="AL157" s="1900"/>
      <c r="AM157" s="1738"/>
      <c r="AN157" s="1738"/>
      <c r="AO157" s="1738"/>
      <c r="AP157" s="1738"/>
      <c r="AQ157" s="1738"/>
      <c r="AR157" s="1738"/>
      <c r="AS157" s="1738"/>
      <c r="AT157" s="1738"/>
      <c r="AU157" s="1738"/>
      <c r="AV157" s="1738"/>
      <c r="AW157" s="1738"/>
      <c r="AX157" s="1738"/>
      <c r="AY157" s="1738"/>
      <c r="AZ157" s="1738"/>
      <c r="BA157" s="1738"/>
      <c r="BB157" s="1738"/>
      <c r="BC157" s="1738"/>
      <c r="BD157" s="1738"/>
      <c r="BE157" s="1738"/>
      <c r="BF157" s="1738"/>
      <c r="BG157" s="2010"/>
    </row>
    <row r="158" spans="1:59" ht="0.75" customHeight="1">
      <c r="A158" s="1084" t="s">
        <v>984</v>
      </c>
      <c r="B158" s="1084"/>
      <c r="C158" s="1084"/>
      <c r="D158" s="1078"/>
      <c r="E158" s="1088"/>
      <c r="F158" s="2790"/>
      <c r="G158" s="2787"/>
      <c r="H158" s="2794"/>
      <c r="I158" s="2795"/>
      <c r="J158" s="2786"/>
      <c r="K158" s="2786"/>
      <c r="L158" s="2788"/>
      <c r="M158" s="2639"/>
      <c r="N158" s="2796"/>
      <c r="O158" s="2797"/>
      <c r="P158" s="2785"/>
      <c r="Q158" s="2786"/>
      <c r="R158" s="2786"/>
      <c r="S158" s="2786"/>
      <c r="T158" s="2786"/>
      <c r="U158" s="2786"/>
      <c r="V158" s="2786"/>
      <c r="W158" s="2786"/>
      <c r="X158" s="2786"/>
      <c r="Y158" s="2786"/>
      <c r="Z158" s="1949"/>
      <c r="AA158" s="1950"/>
      <c r="AB158" s="1957"/>
      <c r="AC158" s="1951"/>
      <c r="AD158" s="1951"/>
      <c r="AE158" s="1958"/>
      <c r="AF158" s="2793"/>
      <c r="AG158" s="2788"/>
      <c r="AH158" s="2788"/>
      <c r="AI158" s="2793"/>
      <c r="AJ158" s="2788"/>
      <c r="AK158" s="2788"/>
      <c r="AL158" s="1900"/>
      <c r="AM158" s="1738"/>
      <c r="AN158" s="1738"/>
      <c r="AO158" s="1738"/>
      <c r="AP158" s="1738"/>
      <c r="AQ158" s="1738"/>
      <c r="AR158" s="1738"/>
      <c r="AS158" s="1738"/>
      <c r="AT158" s="1738"/>
      <c r="AU158" s="1738"/>
      <c r="AV158" s="1738"/>
      <c r="AW158" s="1738"/>
      <c r="AX158" s="1738"/>
      <c r="AY158" s="1738"/>
      <c r="AZ158" s="1738"/>
      <c r="BA158" s="1738"/>
      <c r="BB158" s="1738"/>
      <c r="BC158" s="1738"/>
      <c r="BD158" s="1738"/>
      <c r="BE158" s="1738"/>
      <c r="BF158" s="1738"/>
      <c r="BG158" s="2010"/>
    </row>
    <row r="159" spans="1:59" ht="0.75" customHeight="1">
      <c r="A159" s="1084" t="s">
        <v>984</v>
      </c>
      <c r="B159" s="1084"/>
      <c r="C159" s="1084"/>
      <c r="D159" s="1078"/>
      <c r="E159" s="1088"/>
      <c r="F159" s="2790"/>
      <c r="G159" s="2787"/>
      <c r="H159" s="2794"/>
      <c r="I159" s="2795"/>
      <c r="J159" s="2786"/>
      <c r="K159" s="2786"/>
      <c r="L159" s="2788"/>
      <c r="M159" s="2639"/>
      <c r="N159" s="1950"/>
      <c r="O159" s="1950"/>
      <c r="P159" s="1957"/>
      <c r="Q159" s="1950"/>
      <c r="R159" s="1950"/>
      <c r="S159" s="1950"/>
      <c r="T159" s="1950"/>
      <c r="U159" s="1950"/>
      <c r="V159" s="1950"/>
      <c r="W159" s="1950"/>
      <c r="X159" s="1950"/>
      <c r="Y159" s="1950"/>
      <c r="Z159" s="1950"/>
      <c r="AA159" s="1950"/>
      <c r="AB159" s="1950"/>
      <c r="AC159" s="1950"/>
      <c r="AD159" s="1950"/>
      <c r="AE159" s="1959"/>
      <c r="AF159" s="2793"/>
      <c r="AG159" s="2788"/>
      <c r="AH159" s="2788"/>
      <c r="AI159" s="2793"/>
      <c r="AJ159" s="2788"/>
      <c r="AK159" s="2788"/>
      <c r="AL159" s="1900"/>
      <c r="AM159" s="1738"/>
      <c r="AN159" s="1738"/>
      <c r="AO159" s="1738"/>
      <c r="AP159" s="1738"/>
      <c r="AQ159" s="1738"/>
      <c r="AR159" s="1738"/>
      <c r="AS159" s="1738"/>
      <c r="AT159" s="1738"/>
      <c r="AU159" s="1738"/>
      <c r="AV159" s="1738"/>
      <c r="AW159" s="1738"/>
      <c r="AX159" s="1738"/>
      <c r="AY159" s="1738"/>
      <c r="AZ159" s="1738"/>
      <c r="BA159" s="1738"/>
      <c r="BB159" s="1738"/>
      <c r="BC159" s="1738"/>
      <c r="BD159" s="1738"/>
      <c r="BE159" s="1738"/>
      <c r="BF159" s="1738"/>
      <c r="BG159" s="2010"/>
    </row>
    <row r="160" spans="1:59" ht="11.25" customHeight="1">
      <c r="A160" s="1084" t="s">
        <v>984</v>
      </c>
      <c r="B160" s="1084" t="s">
        <v>1018</v>
      </c>
      <c r="C160" s="1084"/>
      <c r="D160" s="1078"/>
      <c r="E160" s="1088"/>
      <c r="F160" s="2791"/>
      <c r="G160" s="2776" t="s">
        <v>680</v>
      </c>
      <c r="H160" s="2787" t="s">
        <v>102</v>
      </c>
      <c r="I160" s="2799" t="s">
        <v>1019</v>
      </c>
      <c r="J160" s="2800" t="s">
        <v>1020</v>
      </c>
      <c r="K160" s="2801" t="s">
        <v>1021</v>
      </c>
      <c r="L160" s="2524" t="s">
        <v>19</v>
      </c>
      <c r="M160" s="2525"/>
      <c r="N160" s="1898"/>
      <c r="O160" s="1095" t="s">
        <v>367</v>
      </c>
      <c r="P160" s="1096"/>
      <c r="Q160" s="1096"/>
      <c r="R160" s="1096"/>
      <c r="S160" s="1096"/>
      <c r="T160" s="1096"/>
      <c r="U160" s="1096"/>
      <c r="V160" s="1096"/>
      <c r="W160" s="1096"/>
      <c r="X160" s="1096"/>
      <c r="Y160" s="1096"/>
      <c r="Z160" s="1096"/>
      <c r="AA160" s="1096"/>
      <c r="AB160" s="1096"/>
      <c r="AC160" s="1096"/>
      <c r="AD160" s="1096"/>
      <c r="AE160" s="1096"/>
      <c r="AF160" s="2802">
        <v>5</v>
      </c>
      <c r="AG160" s="2803" t="s">
        <v>1022</v>
      </c>
      <c r="AH160" s="2803" t="s">
        <v>1023</v>
      </c>
      <c r="AI160" s="2802"/>
      <c r="AJ160" s="2803"/>
      <c r="AK160" s="2803"/>
      <c r="AL160" s="1900"/>
      <c r="AM160" s="1738"/>
      <c r="AN160" s="1738"/>
      <c r="AO160" s="1738"/>
      <c r="AP160" s="1738"/>
      <c r="AQ160" s="1738"/>
      <c r="AR160" s="1738"/>
      <c r="AS160" s="1738"/>
      <c r="AT160" s="1738"/>
      <c r="AU160" s="1738"/>
      <c r="AV160" s="1738"/>
      <c r="AW160" s="1738"/>
      <c r="AX160" s="1738"/>
      <c r="AY160" s="1738"/>
      <c r="AZ160" s="1738"/>
      <c r="BA160" s="1738"/>
      <c r="BB160" s="1738"/>
      <c r="BC160" s="1738"/>
      <c r="BD160" s="1738"/>
      <c r="BE160" s="1738"/>
      <c r="BF160" s="1738"/>
      <c r="BG160" s="2010"/>
    </row>
    <row r="161" spans="1:59" ht="11.25" customHeight="1">
      <c r="A161" s="1084" t="s">
        <v>984</v>
      </c>
      <c r="B161" s="1084"/>
      <c r="C161" s="1084"/>
      <c r="D161" s="1078"/>
      <c r="E161" s="1088"/>
      <c r="F161" s="2791"/>
      <c r="G161" s="2798"/>
      <c r="H161" s="2787" t="s">
        <v>367</v>
      </c>
      <c r="I161" s="2799"/>
      <c r="J161" s="2800"/>
      <c r="K161" s="2801"/>
      <c r="L161" s="2524"/>
      <c r="M161" s="2525"/>
      <c r="N161" s="2804"/>
      <c r="O161" s="2805">
        <v>1</v>
      </c>
      <c r="P161" s="2806" t="s">
        <v>65</v>
      </c>
      <c r="Q161" s="2800" t="s">
        <v>1024</v>
      </c>
      <c r="R161" s="2809" t="s">
        <v>1025</v>
      </c>
      <c r="S161" s="2809" t="s">
        <v>1026</v>
      </c>
      <c r="T161" s="2809" t="s">
        <v>1026</v>
      </c>
      <c r="U161" s="2809" t="s">
        <v>1027</v>
      </c>
      <c r="V161" s="2809" t="s">
        <v>1028</v>
      </c>
      <c r="W161" s="2809" t="s">
        <v>1029</v>
      </c>
      <c r="X161" s="2809" t="s">
        <v>1030</v>
      </c>
      <c r="Y161" s="2809" t="s">
        <v>1031</v>
      </c>
      <c r="Z161" s="1093"/>
      <c r="AA161" s="1094"/>
      <c r="AB161" s="1094"/>
      <c r="AC161" s="1098"/>
      <c r="AD161" s="1098"/>
      <c r="AE161" s="1099"/>
      <c r="AF161" s="2802"/>
      <c r="AG161" s="2803"/>
      <c r="AH161" s="2803"/>
      <c r="AI161" s="2802"/>
      <c r="AJ161" s="2803"/>
      <c r="AK161" s="2803"/>
      <c r="AL161" s="1900"/>
      <c r="AM161" s="1738"/>
      <c r="AN161" s="1738"/>
      <c r="AO161" s="1738"/>
      <c r="AP161" s="1738"/>
      <c r="AQ161" s="1738"/>
      <c r="AR161" s="1738"/>
      <c r="AS161" s="1738"/>
      <c r="AT161" s="1738"/>
      <c r="AU161" s="1738"/>
      <c r="AV161" s="1738"/>
      <c r="AW161" s="1738"/>
      <c r="AX161" s="1738"/>
      <c r="AY161" s="1738"/>
      <c r="AZ161" s="1738"/>
      <c r="BA161" s="1738"/>
      <c r="BB161" s="1738"/>
      <c r="BC161" s="1738"/>
      <c r="BD161" s="1738"/>
      <c r="BE161" s="1738"/>
      <c r="BF161" s="1738"/>
      <c r="BG161" s="2010"/>
    </row>
    <row r="162" spans="1:59" ht="11.25" customHeight="1">
      <c r="A162" s="1084" t="s">
        <v>984</v>
      </c>
      <c r="B162" s="1084"/>
      <c r="C162" s="1084"/>
      <c r="D162" s="1078"/>
      <c r="E162" s="1088"/>
      <c r="F162" s="2791"/>
      <c r="G162" s="2798"/>
      <c r="H162" s="2787" t="s">
        <v>367</v>
      </c>
      <c r="I162" s="2799"/>
      <c r="J162" s="2800"/>
      <c r="K162" s="2801"/>
      <c r="L162" s="2524"/>
      <c r="M162" s="2525"/>
      <c r="N162" s="2804"/>
      <c r="O162" s="2805"/>
      <c r="P162" s="2807"/>
      <c r="Q162" s="2800"/>
      <c r="R162" s="2759"/>
      <c r="S162" s="2809"/>
      <c r="T162" s="2759"/>
      <c r="U162" s="2759"/>
      <c r="V162" s="2759"/>
      <c r="W162" s="2759"/>
      <c r="X162" s="2759"/>
      <c r="Y162" s="2759"/>
      <c r="Z162" s="1743"/>
      <c r="AA162" s="1711">
        <v>1</v>
      </c>
      <c r="AB162" s="1097" t="s">
        <v>1032</v>
      </c>
      <c r="AC162" s="1087">
        <v>27000</v>
      </c>
      <c r="AD162" s="1097" t="str">
        <f>AB162</f>
        <v xml:space="preserve">      Амортизационные отчисления с выделением результатов переоценки основных средств и нематериальных активов</v>
      </c>
      <c r="AE162" s="1087"/>
      <c r="AF162" s="2802"/>
      <c r="AG162" s="2803"/>
      <c r="AH162" s="2803"/>
      <c r="AI162" s="2802"/>
      <c r="AJ162" s="2803"/>
      <c r="AK162" s="2803"/>
      <c r="AL162" s="1900"/>
      <c r="AM162" s="1738"/>
      <c r="AN162" s="1738"/>
      <c r="AO162" s="1738"/>
      <c r="AP162" s="1738"/>
      <c r="AQ162" s="1738"/>
      <c r="AR162" s="1738"/>
      <c r="AS162" s="1738"/>
      <c r="AT162" s="1738"/>
      <c r="AU162" s="1738"/>
      <c r="AV162" s="1738"/>
      <c r="AW162" s="1738"/>
      <c r="AX162" s="1738"/>
      <c r="AY162" s="1738"/>
      <c r="AZ162" s="1738"/>
      <c r="BA162" s="1738"/>
      <c r="BB162" s="1738"/>
      <c r="BC162" s="1738"/>
      <c r="BD162" s="1738"/>
      <c r="BE162" s="1738"/>
      <c r="BF162" s="1738"/>
      <c r="BG162" s="2010"/>
    </row>
    <row r="163" spans="1:59" ht="11.25" customHeight="1">
      <c r="A163" s="1084" t="s">
        <v>984</v>
      </c>
      <c r="B163" s="1084"/>
      <c r="C163" s="1084"/>
      <c r="D163" s="1078"/>
      <c r="E163" s="1088"/>
      <c r="F163" s="2791"/>
      <c r="G163" s="2798"/>
      <c r="H163" s="2787" t="s">
        <v>367</v>
      </c>
      <c r="I163" s="2799"/>
      <c r="J163" s="2800"/>
      <c r="K163" s="2801"/>
      <c r="L163" s="2524"/>
      <c r="M163" s="2525"/>
      <c r="N163" s="2804"/>
      <c r="O163" s="2805"/>
      <c r="P163" s="2808"/>
      <c r="Q163" s="2800"/>
      <c r="R163" s="2759"/>
      <c r="S163" s="2809"/>
      <c r="T163" s="2759"/>
      <c r="U163" s="2759"/>
      <c r="V163" s="2759"/>
      <c r="W163" s="2759"/>
      <c r="X163" s="2759"/>
      <c r="Y163" s="2759"/>
      <c r="Z163" s="1093"/>
      <c r="AA163" s="1094"/>
      <c r="AB163" s="1159" t="s">
        <v>1033</v>
      </c>
      <c r="AC163" s="1098"/>
      <c r="AD163" s="1098"/>
      <c r="AE163" s="1100"/>
      <c r="AF163" s="2802"/>
      <c r="AG163" s="2803"/>
      <c r="AH163" s="2803"/>
      <c r="AI163" s="2802"/>
      <c r="AJ163" s="2803"/>
      <c r="AK163" s="2803"/>
      <c r="AL163" s="1900"/>
      <c r="AM163" s="1738"/>
      <c r="AN163" s="1738"/>
      <c r="AO163" s="1738"/>
      <c r="AP163" s="1738"/>
      <c r="AQ163" s="1738"/>
      <c r="AR163" s="1738"/>
      <c r="AS163" s="1738"/>
      <c r="AT163" s="1738"/>
      <c r="AU163" s="1738"/>
      <c r="AV163" s="1738"/>
      <c r="AW163" s="1738"/>
      <c r="AX163" s="1738"/>
      <c r="AY163" s="1738"/>
      <c r="AZ163" s="1738"/>
      <c r="BA163" s="1738"/>
      <c r="BB163" s="1738"/>
      <c r="BC163" s="1738"/>
      <c r="BD163" s="1738"/>
      <c r="BE163" s="1738"/>
      <c r="BF163" s="1738"/>
      <c r="BG163" s="2010"/>
    </row>
    <row r="164" spans="1:59" ht="11.25" customHeight="1">
      <c r="A164" s="1084" t="s">
        <v>984</v>
      </c>
      <c r="B164" s="1084"/>
      <c r="C164" s="1084"/>
      <c r="D164" s="1078"/>
      <c r="E164" s="1088"/>
      <c r="F164" s="2791"/>
      <c r="G164" s="2798"/>
      <c r="H164" s="2787" t="s">
        <v>367</v>
      </c>
      <c r="I164" s="2799"/>
      <c r="J164" s="2800"/>
      <c r="K164" s="2801"/>
      <c r="L164" s="2524"/>
      <c r="M164" s="2525"/>
      <c r="N164" s="1093"/>
      <c r="O164" s="1094"/>
      <c r="P164" s="1086" t="s">
        <v>1034</v>
      </c>
      <c r="Q164" s="1094"/>
      <c r="R164" s="1094"/>
      <c r="S164" s="1094"/>
      <c r="T164" s="1094"/>
      <c r="U164" s="1094"/>
      <c r="V164" s="1094"/>
      <c r="W164" s="1094"/>
      <c r="X164" s="1094"/>
      <c r="Y164" s="1094"/>
      <c r="Z164" s="1094"/>
      <c r="AA164" s="1094"/>
      <c r="AB164" s="1094"/>
      <c r="AC164" s="1094"/>
      <c r="AD164" s="1094"/>
      <c r="AE164" s="1101"/>
      <c r="AF164" s="2802"/>
      <c r="AG164" s="2803"/>
      <c r="AH164" s="2803"/>
      <c r="AI164" s="2802"/>
      <c r="AJ164" s="2803"/>
      <c r="AK164" s="2803"/>
      <c r="AL164" s="1900"/>
      <c r="AM164" s="1738"/>
      <c r="AN164" s="1738"/>
      <c r="AO164" s="1738"/>
      <c r="AP164" s="1738"/>
      <c r="AQ164" s="1738"/>
      <c r="AR164" s="1738"/>
      <c r="AS164" s="1738"/>
      <c r="AT164" s="1738"/>
      <c r="AU164" s="1738"/>
      <c r="AV164" s="1738"/>
      <c r="AW164" s="1738"/>
      <c r="AX164" s="1738"/>
      <c r="AY164" s="1738"/>
      <c r="AZ164" s="1738"/>
      <c r="BA164" s="1738"/>
      <c r="BB164" s="1738"/>
      <c r="BC164" s="1738"/>
      <c r="BD164" s="1738"/>
      <c r="BE164" s="1738"/>
      <c r="BF164" s="1738"/>
      <c r="BG164" s="2010"/>
    </row>
    <row r="165" spans="1:59" ht="11.25" customHeight="1">
      <c r="A165" s="1084" t="s">
        <v>984</v>
      </c>
      <c r="B165" s="1084" t="s">
        <v>1018</v>
      </c>
      <c r="C165" s="1084"/>
      <c r="D165" s="1078"/>
      <c r="E165" s="1088"/>
      <c r="F165" s="2791"/>
      <c r="G165" s="2776" t="s">
        <v>680</v>
      </c>
      <c r="H165" s="2787" t="s">
        <v>103</v>
      </c>
      <c r="I165" s="2799" t="s">
        <v>1019</v>
      </c>
      <c r="J165" s="2800" t="s">
        <v>1035</v>
      </c>
      <c r="K165" s="2801" t="s">
        <v>1039</v>
      </c>
      <c r="L165" s="2524" t="s">
        <v>19</v>
      </c>
      <c r="M165" s="2525"/>
      <c r="N165" s="1898"/>
      <c r="O165" s="1095" t="s">
        <v>367</v>
      </c>
      <c r="P165" s="1096"/>
      <c r="Q165" s="1096"/>
      <c r="R165" s="1096"/>
      <c r="S165" s="1096"/>
      <c r="T165" s="1096"/>
      <c r="U165" s="1096"/>
      <c r="V165" s="1096"/>
      <c r="W165" s="1096"/>
      <c r="X165" s="1096"/>
      <c r="Y165" s="1096"/>
      <c r="Z165" s="1096"/>
      <c r="AA165" s="1096"/>
      <c r="AB165" s="1096"/>
      <c r="AC165" s="1096"/>
      <c r="AD165" s="1096"/>
      <c r="AE165" s="1096"/>
      <c r="AF165" s="2802">
        <v>4</v>
      </c>
      <c r="AG165" s="2803" t="s">
        <v>1022</v>
      </c>
      <c r="AH165" s="2803" t="s">
        <v>1040</v>
      </c>
      <c r="AI165" s="2802"/>
      <c r="AJ165" s="2803"/>
      <c r="AK165" s="2803"/>
      <c r="AL165" s="1900"/>
      <c r="AM165" s="1738"/>
      <c r="AN165" s="1738"/>
      <c r="AO165" s="1738"/>
      <c r="AP165" s="1738"/>
      <c r="AQ165" s="1738"/>
      <c r="AR165" s="1738"/>
      <c r="AS165" s="1738"/>
      <c r="AT165" s="1738"/>
      <c r="AU165" s="1738"/>
      <c r="AV165" s="1738"/>
      <c r="AW165" s="1738"/>
      <c r="AX165" s="1738"/>
      <c r="AY165" s="1738"/>
      <c r="AZ165" s="1738"/>
      <c r="BA165" s="1738"/>
      <c r="BB165" s="1738"/>
      <c r="BC165" s="1738"/>
      <c r="BD165" s="1738"/>
      <c r="BE165" s="1738"/>
      <c r="BF165" s="1738"/>
      <c r="BG165" s="2010"/>
    </row>
    <row r="166" spans="1:59" ht="11.25" customHeight="1">
      <c r="A166" s="1084" t="s">
        <v>984</v>
      </c>
      <c r="B166" s="1084"/>
      <c r="C166" s="1084"/>
      <c r="D166" s="1078"/>
      <c r="E166" s="1088"/>
      <c r="F166" s="2791"/>
      <c r="G166" s="2798"/>
      <c r="H166" s="2787" t="s">
        <v>102</v>
      </c>
      <c r="I166" s="2799"/>
      <c r="J166" s="2800"/>
      <c r="K166" s="2801"/>
      <c r="L166" s="2524"/>
      <c r="M166" s="2525"/>
      <c r="N166" s="2804"/>
      <c r="O166" s="2805">
        <v>1</v>
      </c>
      <c r="P166" s="2806" t="s">
        <v>65</v>
      </c>
      <c r="Q166" s="2800" t="s">
        <v>1024</v>
      </c>
      <c r="R166" s="2809" t="s">
        <v>1025</v>
      </c>
      <c r="S166" s="2809" t="s">
        <v>1026</v>
      </c>
      <c r="T166" s="2809" t="s">
        <v>1026</v>
      </c>
      <c r="U166" s="2809" t="s">
        <v>1027</v>
      </c>
      <c r="V166" s="2809" t="s">
        <v>1028</v>
      </c>
      <c r="W166" s="2809" t="s">
        <v>1029</v>
      </c>
      <c r="X166" s="2809" t="s">
        <v>1030</v>
      </c>
      <c r="Y166" s="2809" t="s">
        <v>1031</v>
      </c>
      <c r="Z166" s="1093"/>
      <c r="AA166" s="1094"/>
      <c r="AB166" s="1094"/>
      <c r="AC166" s="1098"/>
      <c r="AD166" s="1098"/>
      <c r="AE166" s="1099"/>
      <c r="AF166" s="2802"/>
      <c r="AG166" s="2803"/>
      <c r="AH166" s="2803"/>
      <c r="AI166" s="2802"/>
      <c r="AJ166" s="2803"/>
      <c r="AK166" s="2803"/>
      <c r="AL166" s="1900"/>
      <c r="AM166" s="1738"/>
      <c r="AN166" s="1738"/>
      <c r="AO166" s="1738"/>
      <c r="AP166" s="1738"/>
      <c r="AQ166" s="1738"/>
      <c r="AR166" s="1738"/>
      <c r="AS166" s="1738"/>
      <c r="AT166" s="1738"/>
      <c r="AU166" s="1738"/>
      <c r="AV166" s="1738"/>
      <c r="AW166" s="1738"/>
      <c r="AX166" s="1738"/>
      <c r="AY166" s="1738"/>
      <c r="AZ166" s="1738"/>
      <c r="BA166" s="1738"/>
      <c r="BB166" s="1738"/>
      <c r="BC166" s="1738"/>
      <c r="BD166" s="1738"/>
      <c r="BE166" s="1738"/>
      <c r="BF166" s="1738"/>
      <c r="BG166" s="2010"/>
    </row>
    <row r="167" spans="1:59" ht="11.25" customHeight="1">
      <c r="A167" s="1084" t="s">
        <v>984</v>
      </c>
      <c r="B167" s="1084"/>
      <c r="C167" s="1084"/>
      <c r="D167" s="1078"/>
      <c r="E167" s="1088"/>
      <c r="F167" s="2791"/>
      <c r="G167" s="2798"/>
      <c r="H167" s="2787" t="s">
        <v>102</v>
      </c>
      <c r="I167" s="2799"/>
      <c r="J167" s="2800"/>
      <c r="K167" s="2801"/>
      <c r="L167" s="2524"/>
      <c r="M167" s="2525"/>
      <c r="N167" s="2804"/>
      <c r="O167" s="2805"/>
      <c r="P167" s="2807"/>
      <c r="Q167" s="2800"/>
      <c r="R167" s="2759"/>
      <c r="S167" s="2809"/>
      <c r="T167" s="2759"/>
      <c r="U167" s="2759"/>
      <c r="V167" s="2759"/>
      <c r="W167" s="2759"/>
      <c r="X167" s="2759"/>
      <c r="Y167" s="2759"/>
      <c r="Z167" s="1743"/>
      <c r="AA167" s="1711">
        <v>1</v>
      </c>
      <c r="AB167" s="1097" t="s">
        <v>1032</v>
      </c>
      <c r="AC167" s="1087">
        <v>40338.521200000003</v>
      </c>
      <c r="AD167" s="1097" t="str">
        <f>AB167</f>
        <v xml:space="preserve">      Амортизационные отчисления с выделением результатов переоценки основных средств и нематериальных активов</v>
      </c>
      <c r="AE167" s="1087"/>
      <c r="AF167" s="2802"/>
      <c r="AG167" s="2803"/>
      <c r="AH167" s="2803"/>
      <c r="AI167" s="2802"/>
      <c r="AJ167" s="2803"/>
      <c r="AK167" s="2803"/>
      <c r="AL167" s="1900"/>
      <c r="AM167" s="1738"/>
      <c r="AN167" s="1738"/>
      <c r="AO167" s="1738"/>
      <c r="AP167" s="1738"/>
      <c r="AQ167" s="1738"/>
      <c r="AR167" s="1738"/>
      <c r="AS167" s="1738"/>
      <c r="AT167" s="1738"/>
      <c r="AU167" s="1738"/>
      <c r="AV167" s="1738"/>
      <c r="AW167" s="1738"/>
      <c r="AX167" s="1738"/>
      <c r="AY167" s="1738"/>
      <c r="AZ167" s="1738"/>
      <c r="BA167" s="1738"/>
      <c r="BB167" s="1738"/>
      <c r="BC167" s="1738"/>
      <c r="BD167" s="1738"/>
      <c r="BE167" s="1738"/>
      <c r="BF167" s="1738"/>
      <c r="BG167" s="2010"/>
    </row>
    <row r="168" spans="1:59" ht="11.25" customHeight="1">
      <c r="A168" s="1084" t="s">
        <v>984</v>
      </c>
      <c r="B168" s="1084"/>
      <c r="C168" s="1084"/>
      <c r="D168" s="1078"/>
      <c r="E168" s="1088"/>
      <c r="F168" s="2798"/>
      <c r="G168" s="2798"/>
      <c r="H168" s="2798"/>
      <c r="I168" s="2798"/>
      <c r="J168" s="2798"/>
      <c r="K168" s="2798"/>
      <c r="L168" s="2798"/>
      <c r="M168" s="2798"/>
      <c r="N168" s="2798"/>
      <c r="O168" s="2798"/>
      <c r="P168" s="2798"/>
      <c r="Q168" s="2798"/>
      <c r="R168" s="2798"/>
      <c r="S168" s="2798"/>
      <c r="T168" s="2798"/>
      <c r="U168" s="2798"/>
      <c r="V168" s="2798"/>
      <c r="W168" s="2798"/>
      <c r="X168" s="2798"/>
      <c r="Y168" s="2798"/>
      <c r="Z168" s="2393" t="s">
        <v>680</v>
      </c>
      <c r="AA168" s="1731" t="s">
        <v>103</v>
      </c>
      <c r="AB168" s="1097" t="s">
        <v>1050</v>
      </c>
      <c r="AC168" s="1087">
        <v>13313.80413</v>
      </c>
      <c r="AD168" s="1097" t="str">
        <f>AB168</f>
        <v xml:space="preserve">  Прочие собственные средства</v>
      </c>
      <c r="AE168" s="1087"/>
      <c r="AF168" s="2810"/>
      <c r="AG168" s="2811"/>
      <c r="AH168" s="2811"/>
      <c r="AI168" s="2810"/>
      <c r="AJ168" s="2811"/>
      <c r="AK168" s="2812"/>
      <c r="AL168" s="1900"/>
      <c r="AM168" s="1738"/>
      <c r="AN168" s="1738"/>
      <c r="AO168" s="1738"/>
      <c r="AP168" s="1738"/>
      <c r="AQ168" s="1738"/>
      <c r="AR168" s="1738"/>
      <c r="AS168" s="1738"/>
      <c r="AT168" s="1738"/>
      <c r="AU168" s="1738"/>
      <c r="AV168" s="1738"/>
      <c r="AW168" s="1738"/>
      <c r="AX168" s="1738"/>
      <c r="AY168" s="1738"/>
      <c r="AZ168" s="1738"/>
      <c r="BA168" s="1738"/>
      <c r="BB168" s="1738"/>
      <c r="BC168" s="1738"/>
      <c r="BD168" s="1738"/>
      <c r="BE168" s="1738"/>
      <c r="BF168" s="1738"/>
      <c r="BG168" s="2394"/>
    </row>
    <row r="169" spans="1:59" ht="11.25" customHeight="1">
      <c r="A169" s="1084" t="s">
        <v>984</v>
      </c>
      <c r="B169" s="1084"/>
      <c r="C169" s="1084"/>
      <c r="D169" s="1078"/>
      <c r="E169" s="1088"/>
      <c r="F169" s="2791"/>
      <c r="G169" s="2798"/>
      <c r="H169" s="2787" t="s">
        <v>102</v>
      </c>
      <c r="I169" s="2799"/>
      <c r="J169" s="2800"/>
      <c r="K169" s="2801"/>
      <c r="L169" s="2524"/>
      <c r="M169" s="2525"/>
      <c r="N169" s="2804"/>
      <c r="O169" s="2805"/>
      <c r="P169" s="2808"/>
      <c r="Q169" s="2800"/>
      <c r="R169" s="2759"/>
      <c r="S169" s="2809"/>
      <c r="T169" s="2759"/>
      <c r="U169" s="2759"/>
      <c r="V169" s="2759"/>
      <c r="W169" s="2759"/>
      <c r="X169" s="2759"/>
      <c r="Y169" s="2759"/>
      <c r="Z169" s="1093"/>
      <c r="AA169" s="1094"/>
      <c r="AB169" s="1159" t="s">
        <v>1033</v>
      </c>
      <c r="AC169" s="1098"/>
      <c r="AD169" s="1098"/>
      <c r="AE169" s="1100"/>
      <c r="AF169" s="2802"/>
      <c r="AG169" s="2803"/>
      <c r="AH169" s="2803"/>
      <c r="AI169" s="2802"/>
      <c r="AJ169" s="2803"/>
      <c r="AK169" s="2803"/>
      <c r="AL169" s="1900"/>
      <c r="AM169" s="1738"/>
      <c r="AN169" s="1738"/>
      <c r="AO169" s="1738"/>
      <c r="AP169" s="1738"/>
      <c r="AQ169" s="1738"/>
      <c r="AR169" s="1738"/>
      <c r="AS169" s="1738"/>
      <c r="AT169" s="1738"/>
      <c r="AU169" s="1738"/>
      <c r="AV169" s="1738"/>
      <c r="AW169" s="1738"/>
      <c r="AX169" s="1738"/>
      <c r="AY169" s="1738"/>
      <c r="AZ169" s="1738"/>
      <c r="BA169" s="1738"/>
      <c r="BB169" s="1738"/>
      <c r="BC169" s="1738"/>
      <c r="BD169" s="1738"/>
      <c r="BE169" s="1738"/>
      <c r="BF169" s="1738"/>
      <c r="BG169" s="2010"/>
    </row>
    <row r="170" spans="1:59" ht="11.25" customHeight="1">
      <c r="A170" s="1084" t="s">
        <v>984</v>
      </c>
      <c r="B170" s="1084"/>
      <c r="C170" s="1084"/>
      <c r="D170" s="1078"/>
      <c r="E170" s="1088"/>
      <c r="F170" s="2791"/>
      <c r="G170" s="2798"/>
      <c r="H170" s="2787" t="s">
        <v>102</v>
      </c>
      <c r="I170" s="2799"/>
      <c r="J170" s="2800"/>
      <c r="K170" s="2801"/>
      <c r="L170" s="2524"/>
      <c r="M170" s="2525"/>
      <c r="N170" s="1093"/>
      <c r="O170" s="1094"/>
      <c r="P170" s="1086" t="s">
        <v>1034</v>
      </c>
      <c r="Q170" s="1094"/>
      <c r="R170" s="1094"/>
      <c r="S170" s="1094"/>
      <c r="T170" s="1094"/>
      <c r="U170" s="1094"/>
      <c r="V170" s="1094"/>
      <c r="W170" s="1094"/>
      <c r="X170" s="1094"/>
      <c r="Y170" s="1094"/>
      <c r="Z170" s="1094"/>
      <c r="AA170" s="1094"/>
      <c r="AB170" s="1094"/>
      <c r="AC170" s="1094"/>
      <c r="AD170" s="1094"/>
      <c r="AE170" s="1101"/>
      <c r="AF170" s="2802"/>
      <c r="AG170" s="2803"/>
      <c r="AH170" s="2803"/>
      <c r="AI170" s="2802"/>
      <c r="AJ170" s="2803"/>
      <c r="AK170" s="2803"/>
      <c r="AL170" s="1900"/>
      <c r="AM170" s="1738"/>
      <c r="AN170" s="1738"/>
      <c r="AO170" s="1738"/>
      <c r="AP170" s="1738"/>
      <c r="AQ170" s="1738"/>
      <c r="AR170" s="1738"/>
      <c r="AS170" s="1738"/>
      <c r="AT170" s="1738"/>
      <c r="AU170" s="1738"/>
      <c r="AV170" s="1738"/>
      <c r="AW170" s="1738"/>
      <c r="AX170" s="1738"/>
      <c r="AY170" s="1738"/>
      <c r="AZ170" s="1738"/>
      <c r="BA170" s="1738"/>
      <c r="BB170" s="1738"/>
      <c r="BC170" s="1738"/>
      <c r="BD170" s="1738"/>
      <c r="BE170" s="1738"/>
      <c r="BF170" s="1738"/>
      <c r="BG170" s="2010"/>
    </row>
    <row r="171" spans="1:59" ht="11.25" customHeight="1">
      <c r="A171" s="1084" t="s">
        <v>984</v>
      </c>
      <c r="B171" s="1084" t="s">
        <v>1018</v>
      </c>
      <c r="C171" s="1084"/>
      <c r="D171" s="1078"/>
      <c r="E171" s="1088"/>
      <c r="F171" s="2791"/>
      <c r="G171" s="2776" t="s">
        <v>680</v>
      </c>
      <c r="H171" s="2787" t="s">
        <v>86</v>
      </c>
      <c r="I171" s="2799" t="s">
        <v>1019</v>
      </c>
      <c r="J171" s="2800" t="s">
        <v>1035</v>
      </c>
      <c r="K171" s="2801" t="s">
        <v>1048</v>
      </c>
      <c r="L171" s="2524" t="s">
        <v>19</v>
      </c>
      <c r="M171" s="2525"/>
      <c r="N171" s="1898"/>
      <c r="O171" s="1095" t="s">
        <v>367</v>
      </c>
      <c r="P171" s="1096"/>
      <c r="Q171" s="1096"/>
      <c r="R171" s="1096"/>
      <c r="S171" s="1096"/>
      <c r="T171" s="1096"/>
      <c r="U171" s="1096"/>
      <c r="V171" s="1096"/>
      <c r="W171" s="1096"/>
      <c r="X171" s="1096"/>
      <c r="Y171" s="1096"/>
      <c r="Z171" s="1096"/>
      <c r="AA171" s="1096"/>
      <c r="AB171" s="1096"/>
      <c r="AC171" s="1096"/>
      <c r="AD171" s="1096"/>
      <c r="AE171" s="1096"/>
      <c r="AF171" s="2802">
        <v>4</v>
      </c>
      <c r="AG171" s="2803" t="s">
        <v>1022</v>
      </c>
      <c r="AH171" s="2803" t="s">
        <v>1023</v>
      </c>
      <c r="AI171" s="2802"/>
      <c r="AJ171" s="2803"/>
      <c r="AK171" s="2803"/>
      <c r="AL171" s="1900"/>
      <c r="AM171" s="1738"/>
      <c r="AN171" s="1738"/>
      <c r="AO171" s="1738"/>
      <c r="AP171" s="1738"/>
      <c r="AQ171" s="1738"/>
      <c r="AR171" s="1738"/>
      <c r="AS171" s="1738"/>
      <c r="AT171" s="1738"/>
      <c r="AU171" s="1738"/>
      <c r="AV171" s="1738"/>
      <c r="AW171" s="1738"/>
      <c r="AX171" s="1738"/>
      <c r="AY171" s="1738"/>
      <c r="AZ171" s="1738"/>
      <c r="BA171" s="1738"/>
      <c r="BB171" s="1738"/>
      <c r="BC171" s="1738"/>
      <c r="BD171" s="1738"/>
      <c r="BE171" s="1738"/>
      <c r="BF171" s="1738"/>
      <c r="BG171" s="2010"/>
    </row>
    <row r="172" spans="1:59" ht="11.25" customHeight="1">
      <c r="A172" s="1084" t="s">
        <v>984</v>
      </c>
      <c r="B172" s="1084"/>
      <c r="C172" s="1084"/>
      <c r="D172" s="1078"/>
      <c r="E172" s="1088"/>
      <c r="F172" s="2791"/>
      <c r="G172" s="2798"/>
      <c r="H172" s="2787" t="s">
        <v>103</v>
      </c>
      <c r="I172" s="2799"/>
      <c r="J172" s="2800"/>
      <c r="K172" s="2801"/>
      <c r="L172" s="2524"/>
      <c r="M172" s="2525"/>
      <c r="N172" s="2804"/>
      <c r="O172" s="2805">
        <v>1</v>
      </c>
      <c r="P172" s="2806" t="s">
        <v>65</v>
      </c>
      <c r="Q172" s="2800" t="s">
        <v>1024</v>
      </c>
      <c r="R172" s="2809" t="s">
        <v>1025</v>
      </c>
      <c r="S172" s="2809" t="s">
        <v>1026</v>
      </c>
      <c r="T172" s="2809" t="s">
        <v>1026</v>
      </c>
      <c r="U172" s="2809" t="s">
        <v>1027</v>
      </c>
      <c r="V172" s="2809" t="s">
        <v>1028</v>
      </c>
      <c r="W172" s="2809" t="s">
        <v>1029</v>
      </c>
      <c r="X172" s="2809" t="s">
        <v>1030</v>
      </c>
      <c r="Y172" s="2809" t="s">
        <v>1031</v>
      </c>
      <c r="Z172" s="1093"/>
      <c r="AA172" s="1094"/>
      <c r="AB172" s="1094"/>
      <c r="AC172" s="1098"/>
      <c r="AD172" s="1098"/>
      <c r="AE172" s="1099"/>
      <c r="AF172" s="2802"/>
      <c r="AG172" s="2803"/>
      <c r="AH172" s="2803"/>
      <c r="AI172" s="2802"/>
      <c r="AJ172" s="2803"/>
      <c r="AK172" s="2803"/>
      <c r="AL172" s="1900"/>
      <c r="AM172" s="1738"/>
      <c r="AN172" s="1738"/>
      <c r="AO172" s="1738"/>
      <c r="AP172" s="1738"/>
      <c r="AQ172" s="1738"/>
      <c r="AR172" s="1738"/>
      <c r="AS172" s="1738"/>
      <c r="AT172" s="1738"/>
      <c r="AU172" s="1738"/>
      <c r="AV172" s="1738"/>
      <c r="AW172" s="1738"/>
      <c r="AX172" s="1738"/>
      <c r="AY172" s="1738"/>
      <c r="AZ172" s="1738"/>
      <c r="BA172" s="1738"/>
      <c r="BB172" s="1738"/>
      <c r="BC172" s="1738"/>
      <c r="BD172" s="1738"/>
      <c r="BE172" s="1738"/>
      <c r="BF172" s="1738"/>
      <c r="BG172" s="2010"/>
    </row>
    <row r="173" spans="1:59" ht="11.25" customHeight="1">
      <c r="A173" s="1084" t="s">
        <v>984</v>
      </c>
      <c r="B173" s="1084"/>
      <c r="C173" s="1084"/>
      <c r="D173" s="1078"/>
      <c r="E173" s="1088"/>
      <c r="F173" s="2791"/>
      <c r="G173" s="2798"/>
      <c r="H173" s="2787" t="s">
        <v>103</v>
      </c>
      <c r="I173" s="2799"/>
      <c r="J173" s="2800"/>
      <c r="K173" s="2801"/>
      <c r="L173" s="2524"/>
      <c r="M173" s="2525"/>
      <c r="N173" s="2804"/>
      <c r="O173" s="2805"/>
      <c r="P173" s="2807"/>
      <c r="Q173" s="2800"/>
      <c r="R173" s="2759"/>
      <c r="S173" s="2809"/>
      <c r="T173" s="2759"/>
      <c r="U173" s="2759"/>
      <c r="V173" s="2759"/>
      <c r="W173" s="2759"/>
      <c r="X173" s="2759"/>
      <c r="Y173" s="2759"/>
      <c r="Z173" s="1743"/>
      <c r="AA173" s="1711">
        <v>1</v>
      </c>
      <c r="AB173" s="1097" t="s">
        <v>1050</v>
      </c>
      <c r="AC173" s="1087">
        <v>9630.1242500000008</v>
      </c>
      <c r="AD173" s="1097" t="str">
        <f>AB173</f>
        <v xml:space="preserve">  Прочие собственные средства</v>
      </c>
      <c r="AE173" s="1087"/>
      <c r="AF173" s="2802"/>
      <c r="AG173" s="2803"/>
      <c r="AH173" s="2803"/>
      <c r="AI173" s="2802"/>
      <c r="AJ173" s="2803"/>
      <c r="AK173" s="2803"/>
      <c r="AL173" s="1900"/>
      <c r="AM173" s="1738"/>
      <c r="AN173" s="1738"/>
      <c r="AO173" s="1738"/>
      <c r="AP173" s="1738"/>
      <c r="AQ173" s="1738"/>
      <c r="AR173" s="1738"/>
      <c r="AS173" s="1738"/>
      <c r="AT173" s="1738"/>
      <c r="AU173" s="1738"/>
      <c r="AV173" s="1738"/>
      <c r="AW173" s="1738"/>
      <c r="AX173" s="1738"/>
      <c r="AY173" s="1738"/>
      <c r="AZ173" s="1738"/>
      <c r="BA173" s="1738"/>
      <c r="BB173" s="1738"/>
      <c r="BC173" s="1738"/>
      <c r="BD173" s="1738"/>
      <c r="BE173" s="1738"/>
      <c r="BF173" s="1738"/>
      <c r="BG173" s="2010"/>
    </row>
    <row r="174" spans="1:59" ht="11.25" customHeight="1">
      <c r="A174" s="1084" t="s">
        <v>984</v>
      </c>
      <c r="B174" s="1084"/>
      <c r="C174" s="1084"/>
      <c r="D174" s="1078"/>
      <c r="E174" s="1088"/>
      <c r="F174" s="2791"/>
      <c r="G174" s="2798"/>
      <c r="H174" s="2787" t="s">
        <v>103</v>
      </c>
      <c r="I174" s="2799"/>
      <c r="J174" s="2800"/>
      <c r="K174" s="2801"/>
      <c r="L174" s="2524"/>
      <c r="M174" s="2525"/>
      <c r="N174" s="2804"/>
      <c r="O174" s="2805"/>
      <c r="P174" s="2808"/>
      <c r="Q174" s="2800"/>
      <c r="R174" s="2759"/>
      <c r="S174" s="2809"/>
      <c r="T174" s="2759"/>
      <c r="U174" s="2759"/>
      <c r="V174" s="2759"/>
      <c r="W174" s="2759"/>
      <c r="X174" s="2759"/>
      <c r="Y174" s="2759"/>
      <c r="Z174" s="1093"/>
      <c r="AA174" s="1094"/>
      <c r="AB174" s="1159" t="s">
        <v>1033</v>
      </c>
      <c r="AC174" s="1098"/>
      <c r="AD174" s="1098"/>
      <c r="AE174" s="1100"/>
      <c r="AF174" s="2802"/>
      <c r="AG174" s="2803"/>
      <c r="AH174" s="2803"/>
      <c r="AI174" s="2802"/>
      <c r="AJ174" s="2803"/>
      <c r="AK174" s="2803"/>
      <c r="AL174" s="1900"/>
      <c r="AM174" s="1738"/>
      <c r="AN174" s="1738"/>
      <c r="AO174" s="1738"/>
      <c r="AP174" s="1738"/>
      <c r="AQ174" s="1738"/>
      <c r="AR174" s="1738"/>
      <c r="AS174" s="1738"/>
      <c r="AT174" s="1738"/>
      <c r="AU174" s="1738"/>
      <c r="AV174" s="1738"/>
      <c r="AW174" s="1738"/>
      <c r="AX174" s="1738"/>
      <c r="AY174" s="1738"/>
      <c r="AZ174" s="1738"/>
      <c r="BA174" s="1738"/>
      <c r="BB174" s="1738"/>
      <c r="BC174" s="1738"/>
      <c r="BD174" s="1738"/>
      <c r="BE174" s="1738"/>
      <c r="BF174" s="1738"/>
      <c r="BG174" s="2010"/>
    </row>
    <row r="175" spans="1:59" ht="11.25" customHeight="1">
      <c r="A175" s="1084" t="s">
        <v>984</v>
      </c>
      <c r="B175" s="1084"/>
      <c r="C175" s="1084"/>
      <c r="D175" s="1078"/>
      <c r="E175" s="1088"/>
      <c r="F175" s="2791"/>
      <c r="G175" s="2798"/>
      <c r="H175" s="2787" t="s">
        <v>103</v>
      </c>
      <c r="I175" s="2799"/>
      <c r="J175" s="2800"/>
      <c r="K175" s="2801"/>
      <c r="L175" s="2524"/>
      <c r="M175" s="2525"/>
      <c r="N175" s="1093"/>
      <c r="O175" s="1094"/>
      <c r="P175" s="1086" t="s">
        <v>1034</v>
      </c>
      <c r="Q175" s="1094"/>
      <c r="R175" s="1094"/>
      <c r="S175" s="1094"/>
      <c r="T175" s="1094"/>
      <c r="U175" s="1094"/>
      <c r="V175" s="1094"/>
      <c r="W175" s="1094"/>
      <c r="X175" s="1094"/>
      <c r="Y175" s="1094"/>
      <c r="Z175" s="1094"/>
      <c r="AA175" s="1094"/>
      <c r="AB175" s="1094"/>
      <c r="AC175" s="1094"/>
      <c r="AD175" s="1094"/>
      <c r="AE175" s="1101"/>
      <c r="AF175" s="2802"/>
      <c r="AG175" s="2803"/>
      <c r="AH175" s="2803"/>
      <c r="AI175" s="2802"/>
      <c r="AJ175" s="2803"/>
      <c r="AK175" s="2803"/>
      <c r="AL175" s="1900"/>
      <c r="AM175" s="1738"/>
      <c r="AN175" s="1738"/>
      <c r="AO175" s="1738"/>
      <c r="AP175" s="1738"/>
      <c r="AQ175" s="1738"/>
      <c r="AR175" s="1738"/>
      <c r="AS175" s="1738"/>
      <c r="AT175" s="1738"/>
      <c r="AU175" s="1738"/>
      <c r="AV175" s="1738"/>
      <c r="AW175" s="1738"/>
      <c r="AX175" s="1738"/>
      <c r="AY175" s="1738"/>
      <c r="AZ175" s="1738"/>
      <c r="BA175" s="1738"/>
      <c r="BB175" s="1738"/>
      <c r="BC175" s="1738"/>
      <c r="BD175" s="1738"/>
      <c r="BE175" s="1738"/>
      <c r="BF175" s="1738"/>
      <c r="BG175" s="2010"/>
    </row>
    <row r="176" spans="1:59" ht="11.25" customHeight="1">
      <c r="A176" s="1084" t="s">
        <v>984</v>
      </c>
      <c r="B176" s="1084" t="s">
        <v>1018</v>
      </c>
      <c r="C176" s="1084"/>
      <c r="D176" s="1078"/>
      <c r="E176" s="1088"/>
      <c r="F176" s="2791"/>
      <c r="G176" s="2776" t="s">
        <v>680</v>
      </c>
      <c r="H176" s="2787" t="s">
        <v>87</v>
      </c>
      <c r="I176" s="2799" t="s">
        <v>1019</v>
      </c>
      <c r="J176" s="2800" t="s">
        <v>1035</v>
      </c>
      <c r="K176" s="2801" t="s">
        <v>1043</v>
      </c>
      <c r="L176" s="2524" t="s">
        <v>19</v>
      </c>
      <c r="M176" s="2525"/>
      <c r="N176" s="1898"/>
      <c r="O176" s="1095" t="s">
        <v>367</v>
      </c>
      <c r="P176" s="1096"/>
      <c r="Q176" s="1096"/>
      <c r="R176" s="1096"/>
      <c r="S176" s="1096"/>
      <c r="T176" s="1096"/>
      <c r="U176" s="1096"/>
      <c r="V176" s="1096"/>
      <c r="W176" s="1096"/>
      <c r="X176" s="1096"/>
      <c r="Y176" s="1096"/>
      <c r="Z176" s="1096"/>
      <c r="AA176" s="1096"/>
      <c r="AB176" s="1096"/>
      <c r="AC176" s="1096"/>
      <c r="AD176" s="1096"/>
      <c r="AE176" s="1096"/>
      <c r="AF176" s="2802">
        <v>4</v>
      </c>
      <c r="AG176" s="2803" t="s">
        <v>1022</v>
      </c>
      <c r="AH176" s="2803" t="s">
        <v>1040</v>
      </c>
      <c r="AI176" s="2802"/>
      <c r="AJ176" s="2803"/>
      <c r="AK176" s="2803"/>
      <c r="AL176" s="1900"/>
      <c r="AM176" s="1738"/>
      <c r="AN176" s="1738"/>
      <c r="AO176" s="1738"/>
      <c r="AP176" s="1738"/>
      <c r="AQ176" s="1738"/>
      <c r="AR176" s="1738"/>
      <c r="AS176" s="1738"/>
      <c r="AT176" s="1738"/>
      <c r="AU176" s="1738"/>
      <c r="AV176" s="1738"/>
      <c r="AW176" s="1738"/>
      <c r="AX176" s="1738"/>
      <c r="AY176" s="1738"/>
      <c r="AZ176" s="1738"/>
      <c r="BA176" s="1738"/>
      <c r="BB176" s="1738"/>
      <c r="BC176" s="1738"/>
      <c r="BD176" s="1738"/>
      <c r="BE176" s="1738"/>
      <c r="BF176" s="1738"/>
      <c r="BG176" s="2010"/>
    </row>
    <row r="177" spans="1:59" ht="11.25" customHeight="1">
      <c r="A177" s="1084" t="s">
        <v>984</v>
      </c>
      <c r="B177" s="1084"/>
      <c r="C177" s="1084"/>
      <c r="D177" s="1078"/>
      <c r="E177" s="1088"/>
      <c r="F177" s="2791"/>
      <c r="G177" s="2798"/>
      <c r="H177" s="2787" t="s">
        <v>86</v>
      </c>
      <c r="I177" s="2799"/>
      <c r="J177" s="2800"/>
      <c r="K177" s="2801"/>
      <c r="L177" s="2524"/>
      <c r="M177" s="2525"/>
      <c r="N177" s="2804"/>
      <c r="O177" s="2805">
        <v>1</v>
      </c>
      <c r="P177" s="2806" t="s">
        <v>65</v>
      </c>
      <c r="Q177" s="2800" t="s">
        <v>1024</v>
      </c>
      <c r="R177" s="2809" t="s">
        <v>1025</v>
      </c>
      <c r="S177" s="2809" t="s">
        <v>1026</v>
      </c>
      <c r="T177" s="2809" t="s">
        <v>1026</v>
      </c>
      <c r="U177" s="2809" t="s">
        <v>1027</v>
      </c>
      <c r="V177" s="2809" t="s">
        <v>1028</v>
      </c>
      <c r="W177" s="2809" t="s">
        <v>1029</v>
      </c>
      <c r="X177" s="2809" t="s">
        <v>1030</v>
      </c>
      <c r="Y177" s="2809" t="s">
        <v>1031</v>
      </c>
      <c r="Z177" s="1093"/>
      <c r="AA177" s="1094"/>
      <c r="AB177" s="1094"/>
      <c r="AC177" s="1098"/>
      <c r="AD177" s="1098"/>
      <c r="AE177" s="1099"/>
      <c r="AF177" s="2802"/>
      <c r="AG177" s="2803"/>
      <c r="AH177" s="2803"/>
      <c r="AI177" s="2802"/>
      <c r="AJ177" s="2803"/>
      <c r="AK177" s="2803"/>
      <c r="AL177" s="1900"/>
      <c r="AM177" s="1738"/>
      <c r="AN177" s="1738"/>
      <c r="AO177" s="1738"/>
      <c r="AP177" s="1738"/>
      <c r="AQ177" s="1738"/>
      <c r="AR177" s="1738"/>
      <c r="AS177" s="1738"/>
      <c r="AT177" s="1738"/>
      <c r="AU177" s="1738"/>
      <c r="AV177" s="1738"/>
      <c r="AW177" s="1738"/>
      <c r="AX177" s="1738"/>
      <c r="AY177" s="1738"/>
      <c r="AZ177" s="1738"/>
      <c r="BA177" s="1738"/>
      <c r="BB177" s="1738"/>
      <c r="BC177" s="1738"/>
      <c r="BD177" s="1738"/>
      <c r="BE177" s="1738"/>
      <c r="BF177" s="1738"/>
      <c r="BG177" s="2010"/>
    </row>
    <row r="178" spans="1:59" ht="11.25" customHeight="1">
      <c r="A178" s="1084" t="s">
        <v>984</v>
      </c>
      <c r="B178" s="1084"/>
      <c r="C178" s="1084"/>
      <c r="D178" s="1078"/>
      <c r="E178" s="1088"/>
      <c r="F178" s="2791"/>
      <c r="G178" s="2798"/>
      <c r="H178" s="2787" t="s">
        <v>86</v>
      </c>
      <c r="I178" s="2799"/>
      <c r="J178" s="2800"/>
      <c r="K178" s="2801"/>
      <c r="L178" s="2524"/>
      <c r="M178" s="2525"/>
      <c r="N178" s="2804"/>
      <c r="O178" s="2805"/>
      <c r="P178" s="2807"/>
      <c r="Q178" s="2800"/>
      <c r="R178" s="2759"/>
      <c r="S178" s="2809"/>
      <c r="T178" s="2759"/>
      <c r="U178" s="2759"/>
      <c r="V178" s="2759"/>
      <c r="W178" s="2759"/>
      <c r="X178" s="2759"/>
      <c r="Y178" s="2759"/>
      <c r="Z178" s="1743"/>
      <c r="AA178" s="1711">
        <v>1</v>
      </c>
      <c r="AB178" s="1097" t="s">
        <v>1050</v>
      </c>
      <c r="AC178" s="1087">
        <v>12759.914629999999</v>
      </c>
      <c r="AD178" s="1097" t="str">
        <f>AB178</f>
        <v xml:space="preserve">  Прочие собственные средства</v>
      </c>
      <c r="AE178" s="1087"/>
      <c r="AF178" s="2802"/>
      <c r="AG178" s="2803"/>
      <c r="AH178" s="2803"/>
      <c r="AI178" s="2802"/>
      <c r="AJ178" s="2803"/>
      <c r="AK178" s="2803"/>
      <c r="AL178" s="1900"/>
      <c r="AM178" s="1738"/>
      <c r="AN178" s="1738"/>
      <c r="AO178" s="1738"/>
      <c r="AP178" s="1738"/>
      <c r="AQ178" s="1738"/>
      <c r="AR178" s="1738"/>
      <c r="AS178" s="1738"/>
      <c r="AT178" s="1738"/>
      <c r="AU178" s="1738"/>
      <c r="AV178" s="1738"/>
      <c r="AW178" s="1738"/>
      <c r="AX178" s="1738"/>
      <c r="AY178" s="1738"/>
      <c r="AZ178" s="1738"/>
      <c r="BA178" s="1738"/>
      <c r="BB178" s="1738"/>
      <c r="BC178" s="1738"/>
      <c r="BD178" s="1738"/>
      <c r="BE178" s="1738"/>
      <c r="BF178" s="1738"/>
      <c r="BG178" s="2010"/>
    </row>
    <row r="179" spans="1:59" ht="11.25" customHeight="1">
      <c r="A179" s="1084" t="s">
        <v>984</v>
      </c>
      <c r="B179" s="1084"/>
      <c r="C179" s="1084"/>
      <c r="D179" s="1078"/>
      <c r="E179" s="1088"/>
      <c r="F179" s="2791"/>
      <c r="G179" s="2798"/>
      <c r="H179" s="2787" t="s">
        <v>86</v>
      </c>
      <c r="I179" s="2799"/>
      <c r="J179" s="2800"/>
      <c r="K179" s="2801"/>
      <c r="L179" s="2524"/>
      <c r="M179" s="2525"/>
      <c r="N179" s="2804"/>
      <c r="O179" s="2805"/>
      <c r="P179" s="2808"/>
      <c r="Q179" s="2800"/>
      <c r="R179" s="2759"/>
      <c r="S179" s="2809"/>
      <c r="T179" s="2759"/>
      <c r="U179" s="2759"/>
      <c r="V179" s="2759"/>
      <c r="W179" s="2759"/>
      <c r="X179" s="2759"/>
      <c r="Y179" s="2759"/>
      <c r="Z179" s="1093"/>
      <c r="AA179" s="1094"/>
      <c r="AB179" s="1159" t="s">
        <v>1033</v>
      </c>
      <c r="AC179" s="1098"/>
      <c r="AD179" s="1098"/>
      <c r="AE179" s="1100"/>
      <c r="AF179" s="2802"/>
      <c r="AG179" s="2803"/>
      <c r="AH179" s="2803"/>
      <c r="AI179" s="2802"/>
      <c r="AJ179" s="2803"/>
      <c r="AK179" s="2803"/>
      <c r="AL179" s="1900"/>
      <c r="AM179" s="1738"/>
      <c r="AN179" s="1738"/>
      <c r="AO179" s="1738"/>
      <c r="AP179" s="1738"/>
      <c r="AQ179" s="1738"/>
      <c r="AR179" s="1738"/>
      <c r="AS179" s="1738"/>
      <c r="AT179" s="1738"/>
      <c r="AU179" s="1738"/>
      <c r="AV179" s="1738"/>
      <c r="AW179" s="1738"/>
      <c r="AX179" s="1738"/>
      <c r="AY179" s="1738"/>
      <c r="AZ179" s="1738"/>
      <c r="BA179" s="1738"/>
      <c r="BB179" s="1738"/>
      <c r="BC179" s="1738"/>
      <c r="BD179" s="1738"/>
      <c r="BE179" s="1738"/>
      <c r="BF179" s="1738"/>
      <c r="BG179" s="2010"/>
    </row>
    <row r="180" spans="1:59" ht="11.25" customHeight="1">
      <c r="A180" s="1084" t="s">
        <v>984</v>
      </c>
      <c r="B180" s="1084"/>
      <c r="C180" s="1084"/>
      <c r="D180" s="1078"/>
      <c r="E180" s="1088"/>
      <c r="F180" s="2791"/>
      <c r="G180" s="2798"/>
      <c r="H180" s="2787" t="s">
        <v>86</v>
      </c>
      <c r="I180" s="2799"/>
      <c r="J180" s="2800"/>
      <c r="K180" s="2801"/>
      <c r="L180" s="2524"/>
      <c r="M180" s="2525"/>
      <c r="N180" s="1093"/>
      <c r="O180" s="1094"/>
      <c r="P180" s="1086" t="s">
        <v>1034</v>
      </c>
      <c r="Q180" s="1094"/>
      <c r="R180" s="1094"/>
      <c r="S180" s="1094"/>
      <c r="T180" s="1094"/>
      <c r="U180" s="1094"/>
      <c r="V180" s="1094"/>
      <c r="W180" s="1094"/>
      <c r="X180" s="1094"/>
      <c r="Y180" s="1094"/>
      <c r="Z180" s="1094"/>
      <c r="AA180" s="1094"/>
      <c r="AB180" s="1094"/>
      <c r="AC180" s="1094"/>
      <c r="AD180" s="1094"/>
      <c r="AE180" s="1101"/>
      <c r="AF180" s="2802"/>
      <c r="AG180" s="2803"/>
      <c r="AH180" s="2803"/>
      <c r="AI180" s="2802"/>
      <c r="AJ180" s="2803"/>
      <c r="AK180" s="2803"/>
      <c r="AL180" s="1900"/>
      <c r="AM180" s="1738"/>
      <c r="AN180" s="1738"/>
      <c r="AO180" s="1738"/>
      <c r="AP180" s="1738"/>
      <c r="AQ180" s="1738"/>
      <c r="AR180" s="1738"/>
      <c r="AS180" s="1738"/>
      <c r="AT180" s="1738"/>
      <c r="AU180" s="1738"/>
      <c r="AV180" s="1738"/>
      <c r="AW180" s="1738"/>
      <c r="AX180" s="1738"/>
      <c r="AY180" s="1738"/>
      <c r="AZ180" s="1738"/>
      <c r="BA180" s="1738"/>
      <c r="BB180" s="1738"/>
      <c r="BC180" s="1738"/>
      <c r="BD180" s="1738"/>
      <c r="BE180" s="1738"/>
      <c r="BF180" s="1738"/>
      <c r="BG180" s="2010"/>
    </row>
    <row r="181" spans="1:59" ht="11.25" customHeight="1">
      <c r="A181" s="1084" t="s">
        <v>984</v>
      </c>
      <c r="B181" s="1084" t="s">
        <v>1018</v>
      </c>
      <c r="C181" s="1084"/>
      <c r="D181" s="1078"/>
      <c r="E181" s="1088"/>
      <c r="F181" s="2791"/>
      <c r="G181" s="2776" t="s">
        <v>680</v>
      </c>
      <c r="H181" s="2787" t="s">
        <v>104</v>
      </c>
      <c r="I181" s="2799" t="s">
        <v>1019</v>
      </c>
      <c r="J181" s="2800" t="s">
        <v>1035</v>
      </c>
      <c r="K181" s="2801" t="s">
        <v>1052</v>
      </c>
      <c r="L181" s="2524" t="s">
        <v>19</v>
      </c>
      <c r="M181" s="2525"/>
      <c r="N181" s="1898"/>
      <c r="O181" s="1095" t="s">
        <v>367</v>
      </c>
      <c r="P181" s="1096"/>
      <c r="Q181" s="1096"/>
      <c r="R181" s="1096"/>
      <c r="S181" s="1096"/>
      <c r="T181" s="1096"/>
      <c r="U181" s="1096"/>
      <c r="V181" s="1096"/>
      <c r="W181" s="1096"/>
      <c r="X181" s="1096"/>
      <c r="Y181" s="1096"/>
      <c r="Z181" s="1096"/>
      <c r="AA181" s="1096"/>
      <c r="AB181" s="1096"/>
      <c r="AC181" s="1096"/>
      <c r="AD181" s="1096"/>
      <c r="AE181" s="1096"/>
      <c r="AF181" s="2802">
        <v>5</v>
      </c>
      <c r="AG181" s="2803" t="s">
        <v>1022</v>
      </c>
      <c r="AH181" s="2803" t="s">
        <v>1045</v>
      </c>
      <c r="AI181" s="2802"/>
      <c r="AJ181" s="2803"/>
      <c r="AK181" s="2803"/>
      <c r="AL181" s="1900"/>
      <c r="AM181" s="1738"/>
      <c r="AN181" s="1738"/>
      <c r="AO181" s="1738"/>
      <c r="AP181" s="1738"/>
      <c r="AQ181" s="1738"/>
      <c r="AR181" s="1738"/>
      <c r="AS181" s="1738"/>
      <c r="AT181" s="1738"/>
      <c r="AU181" s="1738"/>
      <c r="AV181" s="1738"/>
      <c r="AW181" s="1738"/>
      <c r="AX181" s="1738"/>
      <c r="AY181" s="1738"/>
      <c r="AZ181" s="1738"/>
      <c r="BA181" s="1738"/>
      <c r="BB181" s="1738"/>
      <c r="BC181" s="1738"/>
      <c r="BD181" s="1738"/>
      <c r="BE181" s="1738"/>
      <c r="BF181" s="1738"/>
      <c r="BG181" s="2010"/>
    </row>
    <row r="182" spans="1:59" ht="11.25" customHeight="1">
      <c r="A182" s="1084" t="s">
        <v>984</v>
      </c>
      <c r="B182" s="1084"/>
      <c r="C182" s="1084"/>
      <c r="D182" s="1078"/>
      <c r="E182" s="1088"/>
      <c r="F182" s="2791"/>
      <c r="G182" s="2798"/>
      <c r="H182" s="2787" t="s">
        <v>87</v>
      </c>
      <c r="I182" s="2799"/>
      <c r="J182" s="2800"/>
      <c r="K182" s="2801"/>
      <c r="L182" s="2524"/>
      <c r="M182" s="2525"/>
      <c r="N182" s="2804"/>
      <c r="O182" s="2805">
        <v>1</v>
      </c>
      <c r="P182" s="2806" t="s">
        <v>65</v>
      </c>
      <c r="Q182" s="2800" t="s">
        <v>1024</v>
      </c>
      <c r="R182" s="2809" t="s">
        <v>1025</v>
      </c>
      <c r="S182" s="2809" t="s">
        <v>1026</v>
      </c>
      <c r="T182" s="2809" t="s">
        <v>1026</v>
      </c>
      <c r="U182" s="2809" t="s">
        <v>1027</v>
      </c>
      <c r="V182" s="2809" t="s">
        <v>1028</v>
      </c>
      <c r="W182" s="2809" t="s">
        <v>1029</v>
      </c>
      <c r="X182" s="2809" t="s">
        <v>1030</v>
      </c>
      <c r="Y182" s="2809" t="s">
        <v>1031</v>
      </c>
      <c r="Z182" s="1093"/>
      <c r="AA182" s="1094"/>
      <c r="AB182" s="1094"/>
      <c r="AC182" s="1098"/>
      <c r="AD182" s="1098"/>
      <c r="AE182" s="1099"/>
      <c r="AF182" s="2802"/>
      <c r="AG182" s="2803"/>
      <c r="AH182" s="2803"/>
      <c r="AI182" s="2802"/>
      <c r="AJ182" s="2803"/>
      <c r="AK182" s="2803"/>
      <c r="AL182" s="1900"/>
      <c r="AM182" s="1738"/>
      <c r="AN182" s="1738"/>
      <c r="AO182" s="1738"/>
      <c r="AP182" s="1738"/>
      <c r="AQ182" s="1738"/>
      <c r="AR182" s="1738"/>
      <c r="AS182" s="1738"/>
      <c r="AT182" s="1738"/>
      <c r="AU182" s="1738"/>
      <c r="AV182" s="1738"/>
      <c r="AW182" s="1738"/>
      <c r="AX182" s="1738"/>
      <c r="AY182" s="1738"/>
      <c r="AZ182" s="1738"/>
      <c r="BA182" s="1738"/>
      <c r="BB182" s="1738"/>
      <c r="BC182" s="1738"/>
      <c r="BD182" s="1738"/>
      <c r="BE182" s="1738"/>
      <c r="BF182" s="1738"/>
      <c r="BG182" s="2010"/>
    </row>
    <row r="183" spans="1:59" ht="11.25" customHeight="1">
      <c r="A183" s="1084" t="s">
        <v>984</v>
      </c>
      <c r="B183" s="1084"/>
      <c r="C183" s="1084"/>
      <c r="D183" s="1078"/>
      <c r="E183" s="1088"/>
      <c r="F183" s="2791"/>
      <c r="G183" s="2798"/>
      <c r="H183" s="2787" t="s">
        <v>87</v>
      </c>
      <c r="I183" s="2799"/>
      <c r="J183" s="2800"/>
      <c r="K183" s="2801"/>
      <c r="L183" s="2524"/>
      <c r="M183" s="2525"/>
      <c r="N183" s="2804"/>
      <c r="O183" s="2805"/>
      <c r="P183" s="2807"/>
      <c r="Q183" s="2800"/>
      <c r="R183" s="2759"/>
      <c r="S183" s="2809"/>
      <c r="T183" s="2759"/>
      <c r="U183" s="2759"/>
      <c r="V183" s="2759"/>
      <c r="W183" s="2759"/>
      <c r="X183" s="2759"/>
      <c r="Y183" s="2759"/>
      <c r="Z183" s="1743"/>
      <c r="AA183" s="1711">
        <v>1</v>
      </c>
      <c r="AB183" s="1097" t="s">
        <v>1050</v>
      </c>
      <c r="AC183" s="1087">
        <v>14445.186379999999</v>
      </c>
      <c r="AD183" s="1097" t="str">
        <f>AB183</f>
        <v xml:space="preserve">  Прочие собственные средства</v>
      </c>
      <c r="AE183" s="1087"/>
      <c r="AF183" s="2802"/>
      <c r="AG183" s="2803"/>
      <c r="AH183" s="2803"/>
      <c r="AI183" s="2802"/>
      <c r="AJ183" s="2803"/>
      <c r="AK183" s="2803"/>
      <c r="AL183" s="1900"/>
      <c r="AM183" s="1738"/>
      <c r="AN183" s="1738"/>
      <c r="AO183" s="1738"/>
      <c r="AP183" s="1738"/>
      <c r="AQ183" s="1738"/>
      <c r="AR183" s="1738"/>
      <c r="AS183" s="1738"/>
      <c r="AT183" s="1738"/>
      <c r="AU183" s="1738"/>
      <c r="AV183" s="1738"/>
      <c r="AW183" s="1738"/>
      <c r="AX183" s="1738"/>
      <c r="AY183" s="1738"/>
      <c r="AZ183" s="1738"/>
      <c r="BA183" s="1738"/>
      <c r="BB183" s="1738"/>
      <c r="BC183" s="1738"/>
      <c r="BD183" s="1738"/>
      <c r="BE183" s="1738"/>
      <c r="BF183" s="1738"/>
      <c r="BG183" s="2010"/>
    </row>
    <row r="184" spans="1:59" ht="11.25" customHeight="1">
      <c r="A184" s="1084" t="s">
        <v>984</v>
      </c>
      <c r="B184" s="1084"/>
      <c r="C184" s="1084"/>
      <c r="D184" s="1078"/>
      <c r="E184" s="1088"/>
      <c r="F184" s="2791"/>
      <c r="G184" s="2798"/>
      <c r="H184" s="2787" t="s">
        <v>87</v>
      </c>
      <c r="I184" s="2799"/>
      <c r="J184" s="2800"/>
      <c r="K184" s="2801"/>
      <c r="L184" s="2524"/>
      <c r="M184" s="2525"/>
      <c r="N184" s="2804"/>
      <c r="O184" s="2805"/>
      <c r="P184" s="2808"/>
      <c r="Q184" s="2800"/>
      <c r="R184" s="2759"/>
      <c r="S184" s="2809"/>
      <c r="T184" s="2759"/>
      <c r="U184" s="2759"/>
      <c r="V184" s="2759"/>
      <c r="W184" s="2759"/>
      <c r="X184" s="2759"/>
      <c r="Y184" s="2759"/>
      <c r="Z184" s="1093"/>
      <c r="AA184" s="1094"/>
      <c r="AB184" s="1159" t="s">
        <v>1033</v>
      </c>
      <c r="AC184" s="1098"/>
      <c r="AD184" s="1098"/>
      <c r="AE184" s="1100"/>
      <c r="AF184" s="2802"/>
      <c r="AG184" s="2803"/>
      <c r="AH184" s="2803"/>
      <c r="AI184" s="2802"/>
      <c r="AJ184" s="2803"/>
      <c r="AK184" s="2803"/>
      <c r="AL184" s="1900"/>
      <c r="AM184" s="1738"/>
      <c r="AN184" s="1738"/>
      <c r="AO184" s="1738"/>
      <c r="AP184" s="1738"/>
      <c r="AQ184" s="1738"/>
      <c r="AR184" s="1738"/>
      <c r="AS184" s="1738"/>
      <c r="AT184" s="1738"/>
      <c r="AU184" s="1738"/>
      <c r="AV184" s="1738"/>
      <c r="AW184" s="1738"/>
      <c r="AX184" s="1738"/>
      <c r="AY184" s="1738"/>
      <c r="AZ184" s="1738"/>
      <c r="BA184" s="1738"/>
      <c r="BB184" s="1738"/>
      <c r="BC184" s="1738"/>
      <c r="BD184" s="1738"/>
      <c r="BE184" s="1738"/>
      <c r="BF184" s="1738"/>
      <c r="BG184" s="2010"/>
    </row>
    <row r="185" spans="1:59" ht="11.25" customHeight="1">
      <c r="A185" s="1084" t="s">
        <v>984</v>
      </c>
      <c r="B185" s="1084"/>
      <c r="C185" s="1084"/>
      <c r="D185" s="1078"/>
      <c r="E185" s="1088"/>
      <c r="F185" s="2791"/>
      <c r="G185" s="2798"/>
      <c r="H185" s="2787" t="s">
        <v>87</v>
      </c>
      <c r="I185" s="2799"/>
      <c r="J185" s="2800"/>
      <c r="K185" s="2801"/>
      <c r="L185" s="2524"/>
      <c r="M185" s="2525"/>
      <c r="N185" s="1093"/>
      <c r="O185" s="1094"/>
      <c r="P185" s="1086" t="s">
        <v>1034</v>
      </c>
      <c r="Q185" s="1094"/>
      <c r="R185" s="1094"/>
      <c r="S185" s="1094"/>
      <c r="T185" s="1094"/>
      <c r="U185" s="1094"/>
      <c r="V185" s="1094"/>
      <c r="W185" s="1094"/>
      <c r="X185" s="1094"/>
      <c r="Y185" s="1094"/>
      <c r="Z185" s="1094"/>
      <c r="AA185" s="1094"/>
      <c r="AB185" s="1094"/>
      <c r="AC185" s="1094"/>
      <c r="AD185" s="1094"/>
      <c r="AE185" s="1101"/>
      <c r="AF185" s="2802"/>
      <c r="AG185" s="2803"/>
      <c r="AH185" s="2803"/>
      <c r="AI185" s="2802"/>
      <c r="AJ185" s="2803"/>
      <c r="AK185" s="2803"/>
      <c r="AL185" s="1900"/>
      <c r="AM185" s="1738"/>
      <c r="AN185" s="1738"/>
      <c r="AO185" s="1738"/>
      <c r="AP185" s="1738"/>
      <c r="AQ185" s="1738"/>
      <c r="AR185" s="1738"/>
      <c r="AS185" s="1738"/>
      <c r="AT185" s="1738"/>
      <c r="AU185" s="1738"/>
      <c r="AV185" s="1738"/>
      <c r="AW185" s="1738"/>
      <c r="AX185" s="1738"/>
      <c r="AY185" s="1738"/>
      <c r="AZ185" s="1738"/>
      <c r="BA185" s="1738"/>
      <c r="BB185" s="1738"/>
      <c r="BC185" s="1738"/>
      <c r="BD185" s="1738"/>
      <c r="BE185" s="1738"/>
      <c r="BF185" s="1738"/>
      <c r="BG185" s="2010"/>
    </row>
    <row r="186" spans="1:59" ht="11.25" customHeight="1">
      <c r="A186" s="1084" t="s">
        <v>984</v>
      </c>
      <c r="B186" s="1084" t="s">
        <v>1018</v>
      </c>
      <c r="C186" s="1084"/>
      <c r="D186" s="1078"/>
      <c r="E186" s="1088"/>
      <c r="F186" s="2791"/>
      <c r="G186" s="2776" t="s">
        <v>680</v>
      </c>
      <c r="H186" s="2787" t="s">
        <v>88</v>
      </c>
      <c r="I186" s="2799" t="s">
        <v>1019</v>
      </c>
      <c r="J186" s="2800" t="s">
        <v>1035</v>
      </c>
      <c r="K186" s="2801" t="s">
        <v>1054</v>
      </c>
      <c r="L186" s="2524" t="s">
        <v>19</v>
      </c>
      <c r="M186" s="2525"/>
      <c r="N186" s="1898"/>
      <c r="O186" s="1095" t="s">
        <v>367</v>
      </c>
      <c r="P186" s="1096"/>
      <c r="Q186" s="1096"/>
      <c r="R186" s="1096"/>
      <c r="S186" s="1096"/>
      <c r="T186" s="1096"/>
      <c r="U186" s="1096"/>
      <c r="V186" s="1096"/>
      <c r="W186" s="1096"/>
      <c r="X186" s="1096"/>
      <c r="Y186" s="1096"/>
      <c r="Z186" s="1096"/>
      <c r="AA186" s="1096"/>
      <c r="AB186" s="1096"/>
      <c r="AC186" s="1096"/>
      <c r="AD186" s="1096"/>
      <c r="AE186" s="1096"/>
      <c r="AF186" s="2802">
        <v>3</v>
      </c>
      <c r="AG186" s="2803" t="s">
        <v>1022</v>
      </c>
      <c r="AH186" s="2803" t="s">
        <v>1023</v>
      </c>
      <c r="AI186" s="2802"/>
      <c r="AJ186" s="2803"/>
      <c r="AK186" s="2803"/>
      <c r="AL186" s="1900"/>
      <c r="AM186" s="1738"/>
      <c r="AN186" s="1738"/>
      <c r="AO186" s="1738"/>
      <c r="AP186" s="1738"/>
      <c r="AQ186" s="1738"/>
      <c r="AR186" s="1738"/>
      <c r="AS186" s="1738"/>
      <c r="AT186" s="1738"/>
      <c r="AU186" s="1738"/>
      <c r="AV186" s="1738"/>
      <c r="AW186" s="1738"/>
      <c r="AX186" s="1738"/>
      <c r="AY186" s="1738"/>
      <c r="AZ186" s="1738"/>
      <c r="BA186" s="1738"/>
      <c r="BB186" s="1738"/>
      <c r="BC186" s="1738"/>
      <c r="BD186" s="1738"/>
      <c r="BE186" s="1738"/>
      <c r="BF186" s="1738"/>
      <c r="BG186" s="2010"/>
    </row>
    <row r="187" spans="1:59" ht="11.25" customHeight="1">
      <c r="A187" s="1084" t="s">
        <v>984</v>
      </c>
      <c r="B187" s="1084"/>
      <c r="C187" s="1084"/>
      <c r="D187" s="1078"/>
      <c r="E187" s="1088"/>
      <c r="F187" s="2791"/>
      <c r="G187" s="2798"/>
      <c r="H187" s="2787" t="s">
        <v>104</v>
      </c>
      <c r="I187" s="2799"/>
      <c r="J187" s="2800"/>
      <c r="K187" s="2801"/>
      <c r="L187" s="2524"/>
      <c r="M187" s="2525"/>
      <c r="N187" s="2804"/>
      <c r="O187" s="2805">
        <v>1</v>
      </c>
      <c r="P187" s="2806" t="s">
        <v>65</v>
      </c>
      <c r="Q187" s="2800" t="s">
        <v>1024</v>
      </c>
      <c r="R187" s="2809" t="s">
        <v>1025</v>
      </c>
      <c r="S187" s="2809" t="s">
        <v>1026</v>
      </c>
      <c r="T187" s="2809" t="s">
        <v>1026</v>
      </c>
      <c r="U187" s="2809" t="s">
        <v>1027</v>
      </c>
      <c r="V187" s="2809" t="s">
        <v>1028</v>
      </c>
      <c r="W187" s="2809" t="s">
        <v>1029</v>
      </c>
      <c r="X187" s="2809" t="s">
        <v>1030</v>
      </c>
      <c r="Y187" s="2809" t="s">
        <v>1031</v>
      </c>
      <c r="Z187" s="1093"/>
      <c r="AA187" s="1094"/>
      <c r="AB187" s="1094"/>
      <c r="AC187" s="1098"/>
      <c r="AD187" s="1098"/>
      <c r="AE187" s="1099"/>
      <c r="AF187" s="2802"/>
      <c r="AG187" s="2803"/>
      <c r="AH187" s="2803"/>
      <c r="AI187" s="2802"/>
      <c r="AJ187" s="2803"/>
      <c r="AK187" s="2803"/>
      <c r="AL187" s="1900"/>
      <c r="AM187" s="1738"/>
      <c r="AN187" s="1738"/>
      <c r="AO187" s="1738"/>
      <c r="AP187" s="1738"/>
      <c r="AQ187" s="1738"/>
      <c r="AR187" s="1738"/>
      <c r="AS187" s="1738"/>
      <c r="AT187" s="1738"/>
      <c r="AU187" s="1738"/>
      <c r="AV187" s="1738"/>
      <c r="AW187" s="1738"/>
      <c r="AX187" s="1738"/>
      <c r="AY187" s="1738"/>
      <c r="AZ187" s="1738"/>
      <c r="BA187" s="1738"/>
      <c r="BB187" s="1738"/>
      <c r="BC187" s="1738"/>
      <c r="BD187" s="1738"/>
      <c r="BE187" s="1738"/>
      <c r="BF187" s="1738"/>
      <c r="BG187" s="2010"/>
    </row>
    <row r="188" spans="1:59" ht="11.25" customHeight="1">
      <c r="A188" s="1084" t="s">
        <v>984</v>
      </c>
      <c r="B188" s="1084"/>
      <c r="C188" s="1084"/>
      <c r="D188" s="1078"/>
      <c r="E188" s="1088"/>
      <c r="F188" s="2791"/>
      <c r="G188" s="2798"/>
      <c r="H188" s="2787" t="s">
        <v>104</v>
      </c>
      <c r="I188" s="2799"/>
      <c r="J188" s="2800"/>
      <c r="K188" s="2801"/>
      <c r="L188" s="2524"/>
      <c r="M188" s="2525"/>
      <c r="N188" s="2804"/>
      <c r="O188" s="2805"/>
      <c r="P188" s="2807"/>
      <c r="Q188" s="2800"/>
      <c r="R188" s="2759"/>
      <c r="S188" s="2809"/>
      <c r="T188" s="2759"/>
      <c r="U188" s="2759"/>
      <c r="V188" s="2759"/>
      <c r="W188" s="2759"/>
      <c r="X188" s="2759"/>
      <c r="Y188" s="2759"/>
      <c r="Z188" s="1743"/>
      <c r="AA188" s="1711">
        <v>1</v>
      </c>
      <c r="AB188" s="1097" t="s">
        <v>1050</v>
      </c>
      <c r="AC188" s="1087">
        <v>7222.5931899999996</v>
      </c>
      <c r="AD188" s="1097" t="str">
        <f>AB188</f>
        <v xml:space="preserve">  Прочие собственные средства</v>
      </c>
      <c r="AE188" s="1087"/>
      <c r="AF188" s="2802"/>
      <c r="AG188" s="2803"/>
      <c r="AH188" s="2803"/>
      <c r="AI188" s="2802"/>
      <c r="AJ188" s="2803"/>
      <c r="AK188" s="2803"/>
      <c r="AL188" s="1900"/>
      <c r="AM188" s="1738"/>
      <c r="AN188" s="1738"/>
      <c r="AO188" s="1738"/>
      <c r="AP188" s="1738"/>
      <c r="AQ188" s="1738"/>
      <c r="AR188" s="1738"/>
      <c r="AS188" s="1738"/>
      <c r="AT188" s="1738"/>
      <c r="AU188" s="1738"/>
      <c r="AV188" s="1738"/>
      <c r="AW188" s="1738"/>
      <c r="AX188" s="1738"/>
      <c r="AY188" s="1738"/>
      <c r="AZ188" s="1738"/>
      <c r="BA188" s="1738"/>
      <c r="BB188" s="1738"/>
      <c r="BC188" s="1738"/>
      <c r="BD188" s="1738"/>
      <c r="BE188" s="1738"/>
      <c r="BF188" s="1738"/>
      <c r="BG188" s="2010"/>
    </row>
    <row r="189" spans="1:59" ht="11.25" customHeight="1">
      <c r="A189" s="1084" t="s">
        <v>984</v>
      </c>
      <c r="B189" s="1084"/>
      <c r="C189" s="1084"/>
      <c r="D189" s="1078"/>
      <c r="E189" s="1088"/>
      <c r="F189" s="2791"/>
      <c r="G189" s="2798"/>
      <c r="H189" s="2787" t="s">
        <v>104</v>
      </c>
      <c r="I189" s="2799"/>
      <c r="J189" s="2800"/>
      <c r="K189" s="2801"/>
      <c r="L189" s="2524"/>
      <c r="M189" s="2525"/>
      <c r="N189" s="2804"/>
      <c r="O189" s="2805"/>
      <c r="P189" s="2808"/>
      <c r="Q189" s="2800"/>
      <c r="R189" s="2759"/>
      <c r="S189" s="2809"/>
      <c r="T189" s="2759"/>
      <c r="U189" s="2759"/>
      <c r="V189" s="2759"/>
      <c r="W189" s="2759"/>
      <c r="X189" s="2759"/>
      <c r="Y189" s="2759"/>
      <c r="Z189" s="1093"/>
      <c r="AA189" s="1094"/>
      <c r="AB189" s="1159" t="s">
        <v>1033</v>
      </c>
      <c r="AC189" s="1098"/>
      <c r="AD189" s="1098"/>
      <c r="AE189" s="1100"/>
      <c r="AF189" s="2802"/>
      <c r="AG189" s="2803"/>
      <c r="AH189" s="2803"/>
      <c r="AI189" s="2802"/>
      <c r="AJ189" s="2803"/>
      <c r="AK189" s="2803"/>
      <c r="AL189" s="1900"/>
      <c r="AM189" s="1738"/>
      <c r="AN189" s="1738"/>
      <c r="AO189" s="1738"/>
      <c r="AP189" s="1738"/>
      <c r="AQ189" s="1738"/>
      <c r="AR189" s="1738"/>
      <c r="AS189" s="1738"/>
      <c r="AT189" s="1738"/>
      <c r="AU189" s="1738"/>
      <c r="AV189" s="1738"/>
      <c r="AW189" s="1738"/>
      <c r="AX189" s="1738"/>
      <c r="AY189" s="1738"/>
      <c r="AZ189" s="1738"/>
      <c r="BA189" s="1738"/>
      <c r="BB189" s="1738"/>
      <c r="BC189" s="1738"/>
      <c r="BD189" s="1738"/>
      <c r="BE189" s="1738"/>
      <c r="BF189" s="1738"/>
      <c r="BG189" s="2010"/>
    </row>
    <row r="190" spans="1:59" ht="11.25" customHeight="1">
      <c r="A190" s="1084" t="s">
        <v>984</v>
      </c>
      <c r="B190" s="1084"/>
      <c r="C190" s="1084"/>
      <c r="D190" s="1078"/>
      <c r="E190" s="1088"/>
      <c r="F190" s="2791"/>
      <c r="G190" s="2798"/>
      <c r="H190" s="2787" t="s">
        <v>104</v>
      </c>
      <c r="I190" s="2799"/>
      <c r="J190" s="2800"/>
      <c r="K190" s="2801"/>
      <c r="L190" s="2524"/>
      <c r="M190" s="2525"/>
      <c r="N190" s="1093"/>
      <c r="O190" s="1094"/>
      <c r="P190" s="1086" t="s">
        <v>1034</v>
      </c>
      <c r="Q190" s="1094"/>
      <c r="R190" s="1094"/>
      <c r="S190" s="1094"/>
      <c r="T190" s="1094"/>
      <c r="U190" s="1094"/>
      <c r="V190" s="1094"/>
      <c r="W190" s="1094"/>
      <c r="X190" s="1094"/>
      <c r="Y190" s="1094"/>
      <c r="Z190" s="1094"/>
      <c r="AA190" s="1094"/>
      <c r="AB190" s="1094"/>
      <c r="AC190" s="1094"/>
      <c r="AD190" s="1094"/>
      <c r="AE190" s="1101"/>
      <c r="AF190" s="2802"/>
      <c r="AG190" s="2803"/>
      <c r="AH190" s="2803"/>
      <c r="AI190" s="2802"/>
      <c r="AJ190" s="2803"/>
      <c r="AK190" s="2803"/>
      <c r="AL190" s="1900"/>
      <c r="AM190" s="1738"/>
      <c r="AN190" s="1738"/>
      <c r="AO190" s="1738"/>
      <c r="AP190" s="1738"/>
      <c r="AQ190" s="1738"/>
      <c r="AR190" s="1738"/>
      <c r="AS190" s="1738"/>
      <c r="AT190" s="1738"/>
      <c r="AU190" s="1738"/>
      <c r="AV190" s="1738"/>
      <c r="AW190" s="1738"/>
      <c r="AX190" s="1738"/>
      <c r="AY190" s="1738"/>
      <c r="AZ190" s="1738"/>
      <c r="BA190" s="1738"/>
      <c r="BB190" s="1738"/>
      <c r="BC190" s="1738"/>
      <c r="BD190" s="1738"/>
      <c r="BE190" s="1738"/>
      <c r="BF190" s="1738"/>
      <c r="BG190" s="2010"/>
    </row>
    <row r="191" spans="1:59" ht="11.25" customHeight="1">
      <c r="A191" s="1084" t="s">
        <v>984</v>
      </c>
      <c r="B191" s="1084" t="s">
        <v>1018</v>
      </c>
      <c r="C191" s="1084"/>
      <c r="D191" s="1078"/>
      <c r="E191" s="1088"/>
      <c r="F191" s="2791"/>
      <c r="G191" s="2776" t="s">
        <v>680</v>
      </c>
      <c r="H191" s="2787" t="s">
        <v>89</v>
      </c>
      <c r="I191" s="2799" t="s">
        <v>1019</v>
      </c>
      <c r="J191" s="2800" t="s">
        <v>1035</v>
      </c>
      <c r="K191" s="2801" t="s">
        <v>1055</v>
      </c>
      <c r="L191" s="2524" t="s">
        <v>19</v>
      </c>
      <c r="M191" s="2525"/>
      <c r="N191" s="1898"/>
      <c r="O191" s="1095" t="s">
        <v>367</v>
      </c>
      <c r="P191" s="1096"/>
      <c r="Q191" s="1096"/>
      <c r="R191" s="1096"/>
      <c r="S191" s="1096"/>
      <c r="T191" s="1096"/>
      <c r="U191" s="1096"/>
      <c r="V191" s="1096"/>
      <c r="W191" s="1096"/>
      <c r="X191" s="1096"/>
      <c r="Y191" s="1096"/>
      <c r="Z191" s="1096"/>
      <c r="AA191" s="1096"/>
      <c r="AB191" s="1096"/>
      <c r="AC191" s="1096"/>
      <c r="AD191" s="1096"/>
      <c r="AE191" s="1096"/>
      <c r="AF191" s="2802">
        <v>2</v>
      </c>
      <c r="AG191" s="2803" t="s">
        <v>1022</v>
      </c>
      <c r="AH191" s="2803" t="s">
        <v>1040</v>
      </c>
      <c r="AI191" s="2802"/>
      <c r="AJ191" s="2803"/>
      <c r="AK191" s="2803"/>
      <c r="AL191" s="1900"/>
      <c r="AM191" s="1738"/>
      <c r="AN191" s="1738"/>
      <c r="AO191" s="1738"/>
      <c r="AP191" s="1738"/>
      <c r="AQ191" s="1738"/>
      <c r="AR191" s="1738"/>
      <c r="AS191" s="1738"/>
      <c r="AT191" s="1738"/>
      <c r="AU191" s="1738"/>
      <c r="AV191" s="1738"/>
      <c r="AW191" s="1738"/>
      <c r="AX191" s="1738"/>
      <c r="AY191" s="1738"/>
      <c r="AZ191" s="1738"/>
      <c r="BA191" s="1738"/>
      <c r="BB191" s="1738"/>
      <c r="BC191" s="1738"/>
      <c r="BD191" s="1738"/>
      <c r="BE191" s="1738"/>
      <c r="BF191" s="1738"/>
      <c r="BG191" s="2010"/>
    </row>
    <row r="192" spans="1:59" ht="11.25" customHeight="1">
      <c r="A192" s="1084" t="s">
        <v>984</v>
      </c>
      <c r="B192" s="1084"/>
      <c r="C192" s="1084"/>
      <c r="D192" s="1078"/>
      <c r="E192" s="1088"/>
      <c r="F192" s="2791"/>
      <c r="G192" s="2798"/>
      <c r="H192" s="2787" t="s">
        <v>88</v>
      </c>
      <c r="I192" s="2799"/>
      <c r="J192" s="2800"/>
      <c r="K192" s="2801"/>
      <c r="L192" s="2524"/>
      <c r="M192" s="2525"/>
      <c r="N192" s="2804"/>
      <c r="O192" s="2805">
        <v>1</v>
      </c>
      <c r="P192" s="2806" t="s">
        <v>65</v>
      </c>
      <c r="Q192" s="2800" t="s">
        <v>1024</v>
      </c>
      <c r="R192" s="2809" t="s">
        <v>1025</v>
      </c>
      <c r="S192" s="2809" t="s">
        <v>1026</v>
      </c>
      <c r="T192" s="2809" t="s">
        <v>1026</v>
      </c>
      <c r="U192" s="2809" t="s">
        <v>1027</v>
      </c>
      <c r="V192" s="2809" t="s">
        <v>1028</v>
      </c>
      <c r="W192" s="2809" t="s">
        <v>1029</v>
      </c>
      <c r="X192" s="2809" t="s">
        <v>1030</v>
      </c>
      <c r="Y192" s="2809" t="s">
        <v>1031</v>
      </c>
      <c r="Z192" s="1093"/>
      <c r="AA192" s="1094"/>
      <c r="AB192" s="1094"/>
      <c r="AC192" s="1098"/>
      <c r="AD192" s="1098"/>
      <c r="AE192" s="1099"/>
      <c r="AF192" s="2802"/>
      <c r="AG192" s="2803"/>
      <c r="AH192" s="2803"/>
      <c r="AI192" s="2802"/>
      <c r="AJ192" s="2803"/>
      <c r="AK192" s="2803"/>
      <c r="AL192" s="1900"/>
      <c r="AM192" s="1738"/>
      <c r="AN192" s="1738"/>
      <c r="AO192" s="1738"/>
      <c r="AP192" s="1738"/>
      <c r="AQ192" s="1738"/>
      <c r="AR192" s="1738"/>
      <c r="AS192" s="1738"/>
      <c r="AT192" s="1738"/>
      <c r="AU192" s="1738"/>
      <c r="AV192" s="1738"/>
      <c r="AW192" s="1738"/>
      <c r="AX192" s="1738"/>
      <c r="AY192" s="1738"/>
      <c r="AZ192" s="1738"/>
      <c r="BA192" s="1738"/>
      <c r="BB192" s="1738"/>
      <c r="BC192" s="1738"/>
      <c r="BD192" s="1738"/>
      <c r="BE192" s="1738"/>
      <c r="BF192" s="1738"/>
      <c r="BG192" s="2010"/>
    </row>
    <row r="193" spans="1:59" ht="11.25" customHeight="1">
      <c r="A193" s="1084" t="s">
        <v>984</v>
      </c>
      <c r="B193" s="1084"/>
      <c r="C193" s="1084"/>
      <c r="D193" s="1078"/>
      <c r="E193" s="1088"/>
      <c r="F193" s="2791"/>
      <c r="G193" s="2798"/>
      <c r="H193" s="2787" t="s">
        <v>88</v>
      </c>
      <c r="I193" s="2799"/>
      <c r="J193" s="2800"/>
      <c r="K193" s="2801"/>
      <c r="L193" s="2524"/>
      <c r="M193" s="2525"/>
      <c r="N193" s="2804"/>
      <c r="O193" s="2805"/>
      <c r="P193" s="2807"/>
      <c r="Q193" s="2800"/>
      <c r="R193" s="2759"/>
      <c r="S193" s="2809"/>
      <c r="T193" s="2759"/>
      <c r="U193" s="2759"/>
      <c r="V193" s="2759"/>
      <c r="W193" s="2759"/>
      <c r="X193" s="2759"/>
      <c r="Y193" s="2759"/>
      <c r="Z193" s="1743"/>
      <c r="AA193" s="1711">
        <v>1</v>
      </c>
      <c r="AB193" s="1097" t="s">
        <v>1050</v>
      </c>
      <c r="AC193" s="1087">
        <v>9630.1242500000008</v>
      </c>
      <c r="AD193" s="1097" t="str">
        <f>AB193</f>
        <v xml:space="preserve">  Прочие собственные средства</v>
      </c>
      <c r="AE193" s="1087"/>
      <c r="AF193" s="2802"/>
      <c r="AG193" s="2803"/>
      <c r="AH193" s="2803"/>
      <c r="AI193" s="2802"/>
      <c r="AJ193" s="2803"/>
      <c r="AK193" s="2803"/>
      <c r="AL193" s="1900"/>
      <c r="AM193" s="1738"/>
      <c r="AN193" s="1738"/>
      <c r="AO193" s="1738"/>
      <c r="AP193" s="1738"/>
      <c r="AQ193" s="1738"/>
      <c r="AR193" s="1738"/>
      <c r="AS193" s="1738"/>
      <c r="AT193" s="1738"/>
      <c r="AU193" s="1738"/>
      <c r="AV193" s="1738"/>
      <c r="AW193" s="1738"/>
      <c r="AX193" s="1738"/>
      <c r="AY193" s="1738"/>
      <c r="AZ193" s="1738"/>
      <c r="BA193" s="1738"/>
      <c r="BB193" s="1738"/>
      <c r="BC193" s="1738"/>
      <c r="BD193" s="1738"/>
      <c r="BE193" s="1738"/>
      <c r="BF193" s="1738"/>
      <c r="BG193" s="2010"/>
    </row>
    <row r="194" spans="1:59" ht="11.25" customHeight="1">
      <c r="A194" s="1084" t="s">
        <v>984</v>
      </c>
      <c r="B194" s="1084"/>
      <c r="C194" s="1084"/>
      <c r="D194" s="1078"/>
      <c r="E194" s="1088"/>
      <c r="F194" s="2791"/>
      <c r="G194" s="2798"/>
      <c r="H194" s="2787" t="s">
        <v>88</v>
      </c>
      <c r="I194" s="2799"/>
      <c r="J194" s="2800"/>
      <c r="K194" s="2801"/>
      <c r="L194" s="2524"/>
      <c r="M194" s="2525"/>
      <c r="N194" s="2804"/>
      <c r="O194" s="2805"/>
      <c r="P194" s="2808"/>
      <c r="Q194" s="2800"/>
      <c r="R194" s="2759"/>
      <c r="S194" s="2809"/>
      <c r="T194" s="2759"/>
      <c r="U194" s="2759"/>
      <c r="V194" s="2759"/>
      <c r="W194" s="2759"/>
      <c r="X194" s="2759"/>
      <c r="Y194" s="2759"/>
      <c r="Z194" s="1093"/>
      <c r="AA194" s="1094"/>
      <c r="AB194" s="1159" t="s">
        <v>1033</v>
      </c>
      <c r="AC194" s="1098"/>
      <c r="AD194" s="1098"/>
      <c r="AE194" s="1100"/>
      <c r="AF194" s="2802"/>
      <c r="AG194" s="2803"/>
      <c r="AH194" s="2803"/>
      <c r="AI194" s="2802"/>
      <c r="AJ194" s="2803"/>
      <c r="AK194" s="2803"/>
      <c r="AL194" s="1900"/>
      <c r="AM194" s="1738"/>
      <c r="AN194" s="1738"/>
      <c r="AO194" s="1738"/>
      <c r="AP194" s="1738"/>
      <c r="AQ194" s="1738"/>
      <c r="AR194" s="1738"/>
      <c r="AS194" s="1738"/>
      <c r="AT194" s="1738"/>
      <c r="AU194" s="1738"/>
      <c r="AV194" s="1738"/>
      <c r="AW194" s="1738"/>
      <c r="AX194" s="1738"/>
      <c r="AY194" s="1738"/>
      <c r="AZ194" s="1738"/>
      <c r="BA194" s="1738"/>
      <c r="BB194" s="1738"/>
      <c r="BC194" s="1738"/>
      <c r="BD194" s="1738"/>
      <c r="BE194" s="1738"/>
      <c r="BF194" s="1738"/>
      <c r="BG194" s="2010"/>
    </row>
    <row r="195" spans="1:59" ht="11.25" customHeight="1">
      <c r="A195" s="1084" t="s">
        <v>984</v>
      </c>
      <c r="B195" s="1084"/>
      <c r="C195" s="1084"/>
      <c r="D195" s="1078"/>
      <c r="E195" s="1088"/>
      <c r="F195" s="2791"/>
      <c r="G195" s="2798"/>
      <c r="H195" s="2787" t="s">
        <v>88</v>
      </c>
      <c r="I195" s="2799"/>
      <c r="J195" s="2800"/>
      <c r="K195" s="2801"/>
      <c r="L195" s="2524"/>
      <c r="M195" s="2525"/>
      <c r="N195" s="1093"/>
      <c r="O195" s="1094"/>
      <c r="P195" s="1086" t="s">
        <v>1034</v>
      </c>
      <c r="Q195" s="1094"/>
      <c r="R195" s="1094"/>
      <c r="S195" s="1094"/>
      <c r="T195" s="1094"/>
      <c r="U195" s="1094"/>
      <c r="V195" s="1094"/>
      <c r="W195" s="1094"/>
      <c r="X195" s="1094"/>
      <c r="Y195" s="1094"/>
      <c r="Z195" s="1094"/>
      <c r="AA195" s="1094"/>
      <c r="AB195" s="1094"/>
      <c r="AC195" s="1094"/>
      <c r="AD195" s="1094"/>
      <c r="AE195" s="1101"/>
      <c r="AF195" s="2802"/>
      <c r="AG195" s="2803"/>
      <c r="AH195" s="2803"/>
      <c r="AI195" s="2802"/>
      <c r="AJ195" s="2803"/>
      <c r="AK195" s="2803"/>
      <c r="AL195" s="1900"/>
      <c r="AM195" s="1738"/>
      <c r="AN195" s="1738"/>
      <c r="AO195" s="1738"/>
      <c r="AP195" s="1738"/>
      <c r="AQ195" s="1738"/>
      <c r="AR195" s="1738"/>
      <c r="AS195" s="1738"/>
      <c r="AT195" s="1738"/>
      <c r="AU195" s="1738"/>
      <c r="AV195" s="1738"/>
      <c r="AW195" s="1738"/>
      <c r="AX195" s="1738"/>
      <c r="AY195" s="1738"/>
      <c r="AZ195" s="1738"/>
      <c r="BA195" s="1738"/>
      <c r="BB195" s="1738"/>
      <c r="BC195" s="1738"/>
      <c r="BD195" s="1738"/>
      <c r="BE195" s="1738"/>
      <c r="BF195" s="1738"/>
      <c r="BG195" s="2010"/>
    </row>
    <row r="196" spans="1:59" ht="11.25" customHeight="1">
      <c r="A196" s="1084" t="s">
        <v>984</v>
      </c>
      <c r="B196" s="1084" t="s">
        <v>1018</v>
      </c>
      <c r="C196" s="1084"/>
      <c r="D196" s="1078"/>
      <c r="E196" s="1088"/>
      <c r="F196" s="2791"/>
      <c r="G196" s="2776" t="s">
        <v>680</v>
      </c>
      <c r="H196" s="2787" t="s">
        <v>105</v>
      </c>
      <c r="I196" s="2799" t="s">
        <v>1019</v>
      </c>
      <c r="J196" s="2800" t="s">
        <v>1035</v>
      </c>
      <c r="K196" s="2801" t="s">
        <v>1056</v>
      </c>
      <c r="L196" s="2524" t="s">
        <v>19</v>
      </c>
      <c r="M196" s="2525"/>
      <c r="N196" s="1898"/>
      <c r="O196" s="1095" t="s">
        <v>367</v>
      </c>
      <c r="P196" s="1096"/>
      <c r="Q196" s="1096"/>
      <c r="R196" s="1096"/>
      <c r="S196" s="1096"/>
      <c r="T196" s="1096"/>
      <c r="U196" s="1096"/>
      <c r="V196" s="1096"/>
      <c r="W196" s="1096"/>
      <c r="X196" s="1096"/>
      <c r="Y196" s="1096"/>
      <c r="Z196" s="1096"/>
      <c r="AA196" s="1096"/>
      <c r="AB196" s="1096"/>
      <c r="AC196" s="1096"/>
      <c r="AD196" s="1096"/>
      <c r="AE196" s="1096"/>
      <c r="AF196" s="2802">
        <v>2</v>
      </c>
      <c r="AG196" s="2803" t="s">
        <v>1022</v>
      </c>
      <c r="AH196" s="2803" t="s">
        <v>1040</v>
      </c>
      <c r="AI196" s="2802"/>
      <c r="AJ196" s="2803"/>
      <c r="AK196" s="2803"/>
      <c r="AL196" s="1900"/>
      <c r="AM196" s="1738"/>
      <c r="AN196" s="1738"/>
      <c r="AO196" s="1738"/>
      <c r="AP196" s="1738"/>
      <c r="AQ196" s="1738"/>
      <c r="AR196" s="1738"/>
      <c r="AS196" s="1738"/>
      <c r="AT196" s="1738"/>
      <c r="AU196" s="1738"/>
      <c r="AV196" s="1738"/>
      <c r="AW196" s="1738"/>
      <c r="AX196" s="1738"/>
      <c r="AY196" s="1738"/>
      <c r="AZ196" s="1738"/>
      <c r="BA196" s="1738"/>
      <c r="BB196" s="1738"/>
      <c r="BC196" s="1738"/>
      <c r="BD196" s="1738"/>
      <c r="BE196" s="1738"/>
      <c r="BF196" s="1738"/>
      <c r="BG196" s="2010"/>
    </row>
    <row r="197" spans="1:59" ht="11.25" customHeight="1">
      <c r="A197" s="1084" t="s">
        <v>984</v>
      </c>
      <c r="B197" s="1084"/>
      <c r="C197" s="1084"/>
      <c r="D197" s="1078"/>
      <c r="E197" s="1088"/>
      <c r="F197" s="2791"/>
      <c r="G197" s="2798"/>
      <c r="H197" s="2787" t="s">
        <v>89</v>
      </c>
      <c r="I197" s="2799"/>
      <c r="J197" s="2800"/>
      <c r="K197" s="2801"/>
      <c r="L197" s="2524"/>
      <c r="M197" s="2525"/>
      <c r="N197" s="2804"/>
      <c r="O197" s="2805">
        <v>1</v>
      </c>
      <c r="P197" s="2806" t="s">
        <v>65</v>
      </c>
      <c r="Q197" s="2800" t="s">
        <v>1024</v>
      </c>
      <c r="R197" s="2809" t="s">
        <v>1025</v>
      </c>
      <c r="S197" s="2809" t="s">
        <v>1026</v>
      </c>
      <c r="T197" s="2809" t="s">
        <v>1026</v>
      </c>
      <c r="U197" s="2809" t="s">
        <v>1027</v>
      </c>
      <c r="V197" s="2809" t="s">
        <v>1028</v>
      </c>
      <c r="W197" s="2809" t="s">
        <v>1029</v>
      </c>
      <c r="X197" s="2809" t="s">
        <v>1030</v>
      </c>
      <c r="Y197" s="2809" t="s">
        <v>1031</v>
      </c>
      <c r="Z197" s="1093"/>
      <c r="AA197" s="1094"/>
      <c r="AB197" s="1094"/>
      <c r="AC197" s="1098"/>
      <c r="AD197" s="1098"/>
      <c r="AE197" s="1099"/>
      <c r="AF197" s="2802"/>
      <c r="AG197" s="2803"/>
      <c r="AH197" s="2803"/>
      <c r="AI197" s="2802"/>
      <c r="AJ197" s="2803"/>
      <c r="AK197" s="2803"/>
      <c r="AL197" s="1900"/>
      <c r="AM197" s="1738"/>
      <c r="AN197" s="1738"/>
      <c r="AO197" s="1738"/>
      <c r="AP197" s="1738"/>
      <c r="AQ197" s="1738"/>
      <c r="AR197" s="1738"/>
      <c r="AS197" s="1738"/>
      <c r="AT197" s="1738"/>
      <c r="AU197" s="1738"/>
      <c r="AV197" s="1738"/>
      <c r="AW197" s="1738"/>
      <c r="AX197" s="1738"/>
      <c r="AY197" s="1738"/>
      <c r="AZ197" s="1738"/>
      <c r="BA197" s="1738"/>
      <c r="BB197" s="1738"/>
      <c r="BC197" s="1738"/>
      <c r="BD197" s="1738"/>
      <c r="BE197" s="1738"/>
      <c r="BF197" s="1738"/>
      <c r="BG197" s="2010"/>
    </row>
    <row r="198" spans="1:59" ht="11.25" customHeight="1">
      <c r="A198" s="1084" t="s">
        <v>984</v>
      </c>
      <c r="B198" s="1084"/>
      <c r="C198" s="1084"/>
      <c r="D198" s="1078"/>
      <c r="E198" s="1088"/>
      <c r="F198" s="2791"/>
      <c r="G198" s="2798"/>
      <c r="H198" s="2787" t="s">
        <v>89</v>
      </c>
      <c r="I198" s="2799"/>
      <c r="J198" s="2800"/>
      <c r="K198" s="2801"/>
      <c r="L198" s="2524"/>
      <c r="M198" s="2525"/>
      <c r="N198" s="2804"/>
      <c r="O198" s="2805"/>
      <c r="P198" s="2807"/>
      <c r="Q198" s="2800"/>
      <c r="R198" s="2759"/>
      <c r="S198" s="2809"/>
      <c r="T198" s="2759"/>
      <c r="U198" s="2759"/>
      <c r="V198" s="2759"/>
      <c r="W198" s="2759"/>
      <c r="X198" s="2759"/>
      <c r="Y198" s="2759"/>
      <c r="Z198" s="1743"/>
      <c r="AA198" s="1711">
        <v>1</v>
      </c>
      <c r="AB198" s="1097" t="s">
        <v>1032</v>
      </c>
      <c r="AC198" s="1087">
        <v>14445.186379999999</v>
      </c>
      <c r="AD198" s="1097" t="str">
        <f>AB198</f>
        <v xml:space="preserve">      Амортизационные отчисления с выделением результатов переоценки основных средств и нематериальных активов</v>
      </c>
      <c r="AE198" s="1087"/>
      <c r="AF198" s="2802"/>
      <c r="AG198" s="2803"/>
      <c r="AH198" s="2803"/>
      <c r="AI198" s="2802"/>
      <c r="AJ198" s="2803"/>
      <c r="AK198" s="2803"/>
      <c r="AL198" s="1900"/>
      <c r="AM198" s="1738"/>
      <c r="AN198" s="1738"/>
      <c r="AO198" s="1738"/>
      <c r="AP198" s="1738"/>
      <c r="AQ198" s="1738"/>
      <c r="AR198" s="1738"/>
      <c r="AS198" s="1738"/>
      <c r="AT198" s="1738"/>
      <c r="AU198" s="1738"/>
      <c r="AV198" s="1738"/>
      <c r="AW198" s="1738"/>
      <c r="AX198" s="1738"/>
      <c r="AY198" s="1738"/>
      <c r="AZ198" s="1738"/>
      <c r="BA198" s="1738"/>
      <c r="BB198" s="1738"/>
      <c r="BC198" s="1738"/>
      <c r="BD198" s="1738"/>
      <c r="BE198" s="1738"/>
      <c r="BF198" s="1738"/>
      <c r="BG198" s="2010"/>
    </row>
    <row r="199" spans="1:59" ht="11.25" customHeight="1">
      <c r="A199" s="1084" t="s">
        <v>984</v>
      </c>
      <c r="B199" s="1084"/>
      <c r="C199" s="1084"/>
      <c r="D199" s="1078"/>
      <c r="E199" s="1088"/>
      <c r="F199" s="2791"/>
      <c r="G199" s="2798"/>
      <c r="H199" s="2787" t="s">
        <v>89</v>
      </c>
      <c r="I199" s="2799"/>
      <c r="J199" s="2800"/>
      <c r="K199" s="2801"/>
      <c r="L199" s="2524"/>
      <c r="M199" s="2525"/>
      <c r="N199" s="2804"/>
      <c r="O199" s="2805"/>
      <c r="P199" s="2808"/>
      <c r="Q199" s="2800"/>
      <c r="R199" s="2759"/>
      <c r="S199" s="2809"/>
      <c r="T199" s="2759"/>
      <c r="U199" s="2759"/>
      <c r="V199" s="2759"/>
      <c r="W199" s="2759"/>
      <c r="X199" s="2759"/>
      <c r="Y199" s="2759"/>
      <c r="Z199" s="1093"/>
      <c r="AA199" s="1094"/>
      <c r="AB199" s="1159" t="s">
        <v>1033</v>
      </c>
      <c r="AC199" s="1098"/>
      <c r="AD199" s="1098"/>
      <c r="AE199" s="1100"/>
      <c r="AF199" s="2802"/>
      <c r="AG199" s="2803"/>
      <c r="AH199" s="2803"/>
      <c r="AI199" s="2802"/>
      <c r="AJ199" s="2803"/>
      <c r="AK199" s="2803"/>
      <c r="AL199" s="1900"/>
      <c r="AM199" s="1738"/>
      <c r="AN199" s="1738"/>
      <c r="AO199" s="1738"/>
      <c r="AP199" s="1738"/>
      <c r="AQ199" s="1738"/>
      <c r="AR199" s="1738"/>
      <c r="AS199" s="1738"/>
      <c r="AT199" s="1738"/>
      <c r="AU199" s="1738"/>
      <c r="AV199" s="1738"/>
      <c r="AW199" s="1738"/>
      <c r="AX199" s="1738"/>
      <c r="AY199" s="1738"/>
      <c r="AZ199" s="1738"/>
      <c r="BA199" s="1738"/>
      <c r="BB199" s="1738"/>
      <c r="BC199" s="1738"/>
      <c r="BD199" s="1738"/>
      <c r="BE199" s="1738"/>
      <c r="BF199" s="1738"/>
      <c r="BG199" s="2010"/>
    </row>
    <row r="200" spans="1:59" ht="11.25" customHeight="1">
      <c r="A200" s="1084" t="s">
        <v>984</v>
      </c>
      <c r="B200" s="1084"/>
      <c r="C200" s="1084"/>
      <c r="D200" s="1078"/>
      <c r="E200" s="1088"/>
      <c r="F200" s="2791"/>
      <c r="G200" s="2798"/>
      <c r="H200" s="2787" t="s">
        <v>89</v>
      </c>
      <c r="I200" s="2799"/>
      <c r="J200" s="2800"/>
      <c r="K200" s="2801"/>
      <c r="L200" s="2524"/>
      <c r="M200" s="2525"/>
      <c r="N200" s="1093"/>
      <c r="O200" s="1094"/>
      <c r="P200" s="1086" t="s">
        <v>1034</v>
      </c>
      <c r="Q200" s="1094"/>
      <c r="R200" s="1094"/>
      <c r="S200" s="1094"/>
      <c r="T200" s="1094"/>
      <c r="U200" s="1094"/>
      <c r="V200" s="1094"/>
      <c r="W200" s="1094"/>
      <c r="X200" s="1094"/>
      <c r="Y200" s="1094"/>
      <c r="Z200" s="1094"/>
      <c r="AA200" s="1094"/>
      <c r="AB200" s="1094"/>
      <c r="AC200" s="1094"/>
      <c r="AD200" s="1094"/>
      <c r="AE200" s="1101"/>
      <c r="AF200" s="2802"/>
      <c r="AG200" s="2803"/>
      <c r="AH200" s="2803"/>
      <c r="AI200" s="2802"/>
      <c r="AJ200" s="2803"/>
      <c r="AK200" s="2803"/>
      <c r="AL200" s="1900"/>
      <c r="AM200" s="1738"/>
      <c r="AN200" s="1738"/>
      <c r="AO200" s="1738"/>
      <c r="AP200" s="1738"/>
      <c r="AQ200" s="1738"/>
      <c r="AR200" s="1738"/>
      <c r="AS200" s="1738"/>
      <c r="AT200" s="1738"/>
      <c r="AU200" s="1738"/>
      <c r="AV200" s="1738"/>
      <c r="AW200" s="1738"/>
      <c r="AX200" s="1738"/>
      <c r="AY200" s="1738"/>
      <c r="AZ200" s="1738"/>
      <c r="BA200" s="1738"/>
      <c r="BB200" s="1738"/>
      <c r="BC200" s="1738"/>
      <c r="BD200" s="1738"/>
      <c r="BE200" s="1738"/>
      <c r="BF200" s="1738"/>
      <c r="BG200" s="2010"/>
    </row>
    <row r="201" spans="1:59" ht="12" customHeight="1">
      <c r="A201" s="1084" t="s">
        <v>984</v>
      </c>
      <c r="B201" s="1084"/>
      <c r="C201" s="1084"/>
      <c r="D201" s="1078"/>
      <c r="E201" s="1088"/>
      <c r="F201" s="2792"/>
      <c r="G201" s="1108"/>
      <c r="H201" s="1108"/>
      <c r="I201" s="2789" t="s">
        <v>1047</v>
      </c>
      <c r="J201" s="2789"/>
      <c r="K201" s="2789"/>
      <c r="L201" s="1091"/>
      <c r="M201" s="1091"/>
      <c r="N201" s="1092"/>
      <c r="O201" s="1092"/>
      <c r="P201" s="1092"/>
      <c r="Q201" s="1092"/>
      <c r="R201" s="1092"/>
      <c r="S201" s="1092"/>
      <c r="T201" s="1092"/>
      <c r="U201" s="1092"/>
      <c r="V201" s="1092"/>
      <c r="W201" s="1092"/>
      <c r="X201" s="1092"/>
      <c r="Y201" s="1092"/>
      <c r="Z201" s="1092"/>
      <c r="AA201" s="1092"/>
      <c r="AB201" s="1092"/>
      <c r="AC201" s="1092"/>
      <c r="AD201" s="1092"/>
      <c r="AE201" s="1092"/>
      <c r="AF201" s="1092"/>
      <c r="AG201" s="1091"/>
      <c r="AH201" s="1091"/>
      <c r="AI201" s="1092"/>
      <c r="AJ201" s="1091"/>
      <c r="AK201" s="1092"/>
      <c r="AL201" s="1900"/>
      <c r="AM201" s="1738"/>
      <c r="AN201" s="1738"/>
      <c r="AO201" s="1738"/>
      <c r="AP201" s="1738"/>
      <c r="AQ201" s="1738"/>
      <c r="AR201" s="1738"/>
      <c r="AS201" s="1738"/>
      <c r="AT201" s="1738"/>
      <c r="AU201" s="1738"/>
      <c r="AV201" s="1738"/>
      <c r="AW201" s="1738"/>
      <c r="AX201" s="1738"/>
      <c r="AY201" s="1738"/>
      <c r="AZ201" s="1738"/>
      <c r="BA201" s="1738"/>
      <c r="BB201" s="1738"/>
      <c r="BC201" s="1738"/>
      <c r="BD201" s="1738"/>
      <c r="BE201" s="1738"/>
      <c r="BF201" s="1738"/>
      <c r="BG201" s="2010"/>
    </row>
    <row r="202" spans="1:59" ht="0.75" customHeight="1">
      <c r="A202" s="1084" t="s">
        <v>984</v>
      </c>
      <c r="B202" s="1084"/>
      <c r="C202" s="1084"/>
      <c r="D202" s="1078"/>
      <c r="E202" s="1088"/>
      <c r="F202" s="2790">
        <v>2027</v>
      </c>
      <c r="G202" s="2787"/>
      <c r="H202" s="2794" t="s">
        <v>367</v>
      </c>
      <c r="I202" s="2795"/>
      <c r="J202" s="2786"/>
      <c r="K202" s="2786"/>
      <c r="L202" s="2788"/>
      <c r="M202" s="2639"/>
      <c r="N202" s="1948"/>
      <c r="O202" s="1947"/>
      <c r="P202" s="1948"/>
      <c r="Q202" s="1948"/>
      <c r="R202" s="1948"/>
      <c r="S202" s="1948"/>
      <c r="T202" s="1948"/>
      <c r="U202" s="1948"/>
      <c r="V202" s="1948"/>
      <c r="W202" s="1948"/>
      <c r="X202" s="1948"/>
      <c r="Y202" s="1948"/>
      <c r="Z202" s="1948"/>
      <c r="AA202" s="1948"/>
      <c r="AB202" s="1948"/>
      <c r="AC202" s="1948"/>
      <c r="AD202" s="1948"/>
      <c r="AE202" s="1948"/>
      <c r="AF202" s="2793"/>
      <c r="AG202" s="2788"/>
      <c r="AH202" s="2788"/>
      <c r="AI202" s="2793"/>
      <c r="AJ202" s="2788"/>
      <c r="AK202" s="2788"/>
      <c r="AL202" s="1900"/>
      <c r="AM202" s="1738"/>
      <c r="AN202" s="1738"/>
      <c r="AO202" s="1738"/>
      <c r="AP202" s="1738"/>
      <c r="AQ202" s="1738"/>
      <c r="AR202" s="1738"/>
      <c r="AS202" s="1738"/>
      <c r="AT202" s="1738"/>
      <c r="AU202" s="1738"/>
      <c r="AV202" s="1738"/>
      <c r="AW202" s="1738"/>
      <c r="AX202" s="1738"/>
      <c r="AY202" s="1738"/>
      <c r="AZ202" s="1738"/>
      <c r="BA202" s="1738"/>
      <c r="BB202" s="1738"/>
      <c r="BC202" s="1738"/>
      <c r="BD202" s="1738"/>
      <c r="BE202" s="1738"/>
      <c r="BF202" s="1738"/>
      <c r="BG202" s="2010"/>
    </row>
    <row r="203" spans="1:59" ht="0.75" customHeight="1">
      <c r="A203" s="1084" t="s">
        <v>984</v>
      </c>
      <c r="B203" s="1084"/>
      <c r="C203" s="1084"/>
      <c r="D203" s="1078"/>
      <c r="E203" s="1088"/>
      <c r="F203" s="2790"/>
      <c r="G203" s="2787"/>
      <c r="H203" s="2794"/>
      <c r="I203" s="2795"/>
      <c r="J203" s="2786"/>
      <c r="K203" s="2786"/>
      <c r="L203" s="2788"/>
      <c r="M203" s="2639"/>
      <c r="N203" s="2796"/>
      <c r="O203" s="2797"/>
      <c r="P203" s="2783"/>
      <c r="Q203" s="2786"/>
      <c r="R203" s="2786"/>
      <c r="S203" s="2786"/>
      <c r="T203" s="2786"/>
      <c r="U203" s="2786"/>
      <c r="V203" s="2786"/>
      <c r="W203" s="2786"/>
      <c r="X203" s="2786"/>
      <c r="Y203" s="2786"/>
      <c r="Z203" s="1949"/>
      <c r="AA203" s="1950"/>
      <c r="AB203" s="1950"/>
      <c r="AC203" s="1951"/>
      <c r="AD203" s="1951"/>
      <c r="AE203" s="1952"/>
      <c r="AF203" s="2793"/>
      <c r="AG203" s="2788"/>
      <c r="AH203" s="2788"/>
      <c r="AI203" s="2793"/>
      <c r="AJ203" s="2788"/>
      <c r="AK203" s="2788"/>
      <c r="AL203" s="1900"/>
      <c r="AM203" s="1738"/>
      <c r="AN203" s="1738"/>
      <c r="AO203" s="1738"/>
      <c r="AP203" s="1738"/>
      <c r="AQ203" s="1738"/>
      <c r="AR203" s="1738"/>
      <c r="AS203" s="1738"/>
      <c r="AT203" s="1738"/>
      <c r="AU203" s="1738"/>
      <c r="AV203" s="1738"/>
      <c r="AW203" s="1738"/>
      <c r="AX203" s="1738"/>
      <c r="AY203" s="1738"/>
      <c r="AZ203" s="1738"/>
      <c r="BA203" s="1738"/>
      <c r="BB203" s="1738"/>
      <c r="BC203" s="1738"/>
      <c r="BD203" s="1738"/>
      <c r="BE203" s="1738"/>
      <c r="BF203" s="1738"/>
      <c r="BG203" s="2010"/>
    </row>
    <row r="204" spans="1:59" ht="0.75" customHeight="1">
      <c r="A204" s="1084" t="s">
        <v>984</v>
      </c>
      <c r="B204" s="1084"/>
      <c r="C204" s="1084"/>
      <c r="D204" s="1078"/>
      <c r="E204" s="1088"/>
      <c r="F204" s="2790"/>
      <c r="G204" s="2787"/>
      <c r="H204" s="2794"/>
      <c r="I204" s="2795"/>
      <c r="J204" s="2786"/>
      <c r="K204" s="2786"/>
      <c r="L204" s="2788"/>
      <c r="M204" s="2639"/>
      <c r="N204" s="2796"/>
      <c r="O204" s="2797"/>
      <c r="P204" s="2784"/>
      <c r="Q204" s="2786"/>
      <c r="R204" s="2786"/>
      <c r="S204" s="2786"/>
      <c r="T204" s="2786"/>
      <c r="U204" s="2786"/>
      <c r="V204" s="2786"/>
      <c r="W204" s="2786"/>
      <c r="X204" s="2786"/>
      <c r="Y204" s="2786"/>
      <c r="Z204" s="1953"/>
      <c r="AA204" s="1954"/>
      <c r="AB204" s="1955"/>
      <c r="AC204" s="1956"/>
      <c r="AD204" s="1955"/>
      <c r="AE204" s="1956"/>
      <c r="AF204" s="2793"/>
      <c r="AG204" s="2788"/>
      <c r="AH204" s="2788"/>
      <c r="AI204" s="2793"/>
      <c r="AJ204" s="2788"/>
      <c r="AK204" s="2788"/>
      <c r="AL204" s="1900"/>
      <c r="AM204" s="1738"/>
      <c r="AN204" s="1738"/>
      <c r="AO204" s="1738"/>
      <c r="AP204" s="1738"/>
      <c r="AQ204" s="1738"/>
      <c r="AR204" s="1738"/>
      <c r="AS204" s="1738"/>
      <c r="AT204" s="1738"/>
      <c r="AU204" s="1738"/>
      <c r="AV204" s="1738"/>
      <c r="AW204" s="1738"/>
      <c r="AX204" s="1738"/>
      <c r="AY204" s="1738"/>
      <c r="AZ204" s="1738"/>
      <c r="BA204" s="1738"/>
      <c r="BB204" s="1738"/>
      <c r="BC204" s="1738"/>
      <c r="BD204" s="1738"/>
      <c r="BE204" s="1738"/>
      <c r="BF204" s="1738"/>
      <c r="BG204" s="2010"/>
    </row>
    <row r="205" spans="1:59" ht="0.75" customHeight="1">
      <c r="A205" s="1084" t="s">
        <v>984</v>
      </c>
      <c r="B205" s="1084"/>
      <c r="C205" s="1084"/>
      <c r="D205" s="1078"/>
      <c r="E205" s="1088"/>
      <c r="F205" s="2790"/>
      <c r="G205" s="2787"/>
      <c r="H205" s="2794"/>
      <c r="I205" s="2795"/>
      <c r="J205" s="2786"/>
      <c r="K205" s="2786"/>
      <c r="L205" s="2788"/>
      <c r="M205" s="2639"/>
      <c r="N205" s="2796"/>
      <c r="O205" s="2797"/>
      <c r="P205" s="2785"/>
      <c r="Q205" s="2786"/>
      <c r="R205" s="2786"/>
      <c r="S205" s="2786"/>
      <c r="T205" s="2786"/>
      <c r="U205" s="2786"/>
      <c r="V205" s="2786"/>
      <c r="W205" s="2786"/>
      <c r="X205" s="2786"/>
      <c r="Y205" s="2786"/>
      <c r="Z205" s="1949"/>
      <c r="AA205" s="1950"/>
      <c r="AB205" s="1957"/>
      <c r="AC205" s="1951"/>
      <c r="AD205" s="1951"/>
      <c r="AE205" s="1958"/>
      <c r="AF205" s="2793"/>
      <c r="AG205" s="2788"/>
      <c r="AH205" s="2788"/>
      <c r="AI205" s="2793"/>
      <c r="AJ205" s="2788"/>
      <c r="AK205" s="2788"/>
      <c r="AL205" s="1900"/>
      <c r="AM205" s="1738"/>
      <c r="AN205" s="1738"/>
      <c r="AO205" s="1738"/>
      <c r="AP205" s="1738"/>
      <c r="AQ205" s="1738"/>
      <c r="AR205" s="1738"/>
      <c r="AS205" s="1738"/>
      <c r="AT205" s="1738"/>
      <c r="AU205" s="1738"/>
      <c r="AV205" s="1738"/>
      <c r="AW205" s="1738"/>
      <c r="AX205" s="1738"/>
      <c r="AY205" s="1738"/>
      <c r="AZ205" s="1738"/>
      <c r="BA205" s="1738"/>
      <c r="BB205" s="1738"/>
      <c r="BC205" s="1738"/>
      <c r="BD205" s="1738"/>
      <c r="BE205" s="1738"/>
      <c r="BF205" s="1738"/>
      <c r="BG205" s="2010"/>
    </row>
    <row r="206" spans="1:59" ht="0.75" customHeight="1">
      <c r="A206" s="1084" t="s">
        <v>984</v>
      </c>
      <c r="B206" s="1084"/>
      <c r="C206" s="1084"/>
      <c r="D206" s="1078"/>
      <c r="E206" s="1088"/>
      <c r="F206" s="2790"/>
      <c r="G206" s="2787"/>
      <c r="H206" s="2794"/>
      <c r="I206" s="2795"/>
      <c r="J206" s="2786"/>
      <c r="K206" s="2786"/>
      <c r="L206" s="2788"/>
      <c r="M206" s="2639"/>
      <c r="N206" s="1950"/>
      <c r="O206" s="1950"/>
      <c r="P206" s="1957"/>
      <c r="Q206" s="1950"/>
      <c r="R206" s="1950"/>
      <c r="S206" s="1950"/>
      <c r="T206" s="1950"/>
      <c r="U206" s="1950"/>
      <c r="V206" s="1950"/>
      <c r="W206" s="1950"/>
      <c r="X206" s="1950"/>
      <c r="Y206" s="1950"/>
      <c r="Z206" s="1950"/>
      <c r="AA206" s="1950"/>
      <c r="AB206" s="1950"/>
      <c r="AC206" s="1950"/>
      <c r="AD206" s="1950"/>
      <c r="AE206" s="1959"/>
      <c r="AF206" s="2793"/>
      <c r="AG206" s="2788"/>
      <c r="AH206" s="2788"/>
      <c r="AI206" s="2793"/>
      <c r="AJ206" s="2788"/>
      <c r="AK206" s="2788"/>
      <c r="AL206" s="1900"/>
      <c r="AM206" s="1738"/>
      <c r="AN206" s="1738"/>
      <c r="AO206" s="1738"/>
      <c r="AP206" s="1738"/>
      <c r="AQ206" s="1738"/>
      <c r="AR206" s="1738"/>
      <c r="AS206" s="1738"/>
      <c r="AT206" s="1738"/>
      <c r="AU206" s="1738"/>
      <c r="AV206" s="1738"/>
      <c r="AW206" s="1738"/>
      <c r="AX206" s="1738"/>
      <c r="AY206" s="1738"/>
      <c r="AZ206" s="1738"/>
      <c r="BA206" s="1738"/>
      <c r="BB206" s="1738"/>
      <c r="BC206" s="1738"/>
      <c r="BD206" s="1738"/>
      <c r="BE206" s="1738"/>
      <c r="BF206" s="1738"/>
      <c r="BG206" s="2010"/>
    </row>
    <row r="207" spans="1:59" ht="11.25" customHeight="1">
      <c r="A207" s="1084" t="s">
        <v>984</v>
      </c>
      <c r="B207" s="1084" t="s">
        <v>1018</v>
      </c>
      <c r="C207" s="1084"/>
      <c r="D207" s="1078"/>
      <c r="E207" s="1088"/>
      <c r="F207" s="2791"/>
      <c r="G207" s="2776" t="s">
        <v>680</v>
      </c>
      <c r="H207" s="2787" t="s">
        <v>102</v>
      </c>
      <c r="I207" s="2799" t="s">
        <v>1019</v>
      </c>
      <c r="J207" s="2800" t="s">
        <v>1020</v>
      </c>
      <c r="K207" s="2801" t="s">
        <v>1021</v>
      </c>
      <c r="L207" s="2524" t="s">
        <v>19</v>
      </c>
      <c r="M207" s="2525"/>
      <c r="N207" s="1898"/>
      <c r="O207" s="1095" t="s">
        <v>367</v>
      </c>
      <c r="P207" s="1096"/>
      <c r="Q207" s="1096"/>
      <c r="R207" s="1096"/>
      <c r="S207" s="1096"/>
      <c r="T207" s="1096"/>
      <c r="U207" s="1096"/>
      <c r="V207" s="1096"/>
      <c r="W207" s="1096"/>
      <c r="X207" s="1096"/>
      <c r="Y207" s="1096"/>
      <c r="Z207" s="1096"/>
      <c r="AA207" s="1096"/>
      <c r="AB207" s="1096"/>
      <c r="AC207" s="1096"/>
      <c r="AD207" s="1096"/>
      <c r="AE207" s="1096"/>
      <c r="AF207" s="2802">
        <v>5</v>
      </c>
      <c r="AG207" s="2803" t="s">
        <v>1022</v>
      </c>
      <c r="AH207" s="2803" t="s">
        <v>1023</v>
      </c>
      <c r="AI207" s="2802"/>
      <c r="AJ207" s="2803"/>
      <c r="AK207" s="2803"/>
      <c r="AL207" s="1900"/>
      <c r="AM207" s="1738"/>
      <c r="AN207" s="1738"/>
      <c r="AO207" s="1738"/>
      <c r="AP207" s="1738"/>
      <c r="AQ207" s="1738"/>
      <c r="AR207" s="1738"/>
      <c r="AS207" s="1738"/>
      <c r="AT207" s="1738"/>
      <c r="AU207" s="1738"/>
      <c r="AV207" s="1738"/>
      <c r="AW207" s="1738"/>
      <c r="AX207" s="1738"/>
      <c r="AY207" s="1738"/>
      <c r="AZ207" s="1738"/>
      <c r="BA207" s="1738"/>
      <c r="BB207" s="1738"/>
      <c r="BC207" s="1738"/>
      <c r="BD207" s="1738"/>
      <c r="BE207" s="1738"/>
      <c r="BF207" s="1738"/>
      <c r="BG207" s="2010"/>
    </row>
    <row r="208" spans="1:59" ht="11.25" customHeight="1">
      <c r="A208" s="1084" t="s">
        <v>984</v>
      </c>
      <c r="B208" s="1084"/>
      <c r="C208" s="1084"/>
      <c r="D208" s="1078"/>
      <c r="E208" s="1088"/>
      <c r="F208" s="2791"/>
      <c r="G208" s="2798"/>
      <c r="H208" s="2787" t="s">
        <v>367</v>
      </c>
      <c r="I208" s="2799"/>
      <c r="J208" s="2800"/>
      <c r="K208" s="2801"/>
      <c r="L208" s="2524"/>
      <c r="M208" s="2525"/>
      <c r="N208" s="2804"/>
      <c r="O208" s="2805">
        <v>1</v>
      </c>
      <c r="P208" s="2806" t="s">
        <v>65</v>
      </c>
      <c r="Q208" s="2800" t="s">
        <v>1024</v>
      </c>
      <c r="R208" s="2809" t="s">
        <v>1025</v>
      </c>
      <c r="S208" s="2809" t="s">
        <v>1026</v>
      </c>
      <c r="T208" s="2809" t="s">
        <v>1026</v>
      </c>
      <c r="U208" s="2809" t="s">
        <v>1027</v>
      </c>
      <c r="V208" s="2809" t="s">
        <v>1028</v>
      </c>
      <c r="W208" s="2809" t="s">
        <v>1029</v>
      </c>
      <c r="X208" s="2809" t="s">
        <v>1030</v>
      </c>
      <c r="Y208" s="2809" t="s">
        <v>1031</v>
      </c>
      <c r="Z208" s="1093"/>
      <c r="AA208" s="1094"/>
      <c r="AB208" s="1094"/>
      <c r="AC208" s="1098"/>
      <c r="AD208" s="1098"/>
      <c r="AE208" s="1099"/>
      <c r="AF208" s="2802"/>
      <c r="AG208" s="2803"/>
      <c r="AH208" s="2803"/>
      <c r="AI208" s="2802"/>
      <c r="AJ208" s="2803"/>
      <c r="AK208" s="2803"/>
      <c r="AL208" s="1900"/>
      <c r="AM208" s="1738"/>
      <c r="AN208" s="1738"/>
      <c r="AO208" s="1738"/>
      <c r="AP208" s="1738"/>
      <c r="AQ208" s="1738"/>
      <c r="AR208" s="1738"/>
      <c r="AS208" s="1738"/>
      <c r="AT208" s="1738"/>
      <c r="AU208" s="1738"/>
      <c r="AV208" s="1738"/>
      <c r="AW208" s="1738"/>
      <c r="AX208" s="1738"/>
      <c r="AY208" s="1738"/>
      <c r="AZ208" s="1738"/>
      <c r="BA208" s="1738"/>
      <c r="BB208" s="1738"/>
      <c r="BC208" s="1738"/>
      <c r="BD208" s="1738"/>
      <c r="BE208" s="1738"/>
      <c r="BF208" s="1738"/>
      <c r="BG208" s="2010"/>
    </row>
    <row r="209" spans="1:59" ht="11.25" customHeight="1">
      <c r="A209" s="1084" t="s">
        <v>984</v>
      </c>
      <c r="B209" s="1084"/>
      <c r="C209" s="1084"/>
      <c r="D209" s="1078"/>
      <c r="E209" s="1088"/>
      <c r="F209" s="2791"/>
      <c r="G209" s="2798"/>
      <c r="H209" s="2787" t="s">
        <v>367</v>
      </c>
      <c r="I209" s="2799"/>
      <c r="J209" s="2800"/>
      <c r="K209" s="2801"/>
      <c r="L209" s="2524"/>
      <c r="M209" s="2525"/>
      <c r="N209" s="2804"/>
      <c r="O209" s="2805"/>
      <c r="P209" s="2807"/>
      <c r="Q209" s="2800"/>
      <c r="R209" s="2759"/>
      <c r="S209" s="2809"/>
      <c r="T209" s="2759"/>
      <c r="U209" s="2759"/>
      <c r="V209" s="2759"/>
      <c r="W209" s="2759"/>
      <c r="X209" s="2759"/>
      <c r="Y209" s="2759"/>
      <c r="Z209" s="1743"/>
      <c r="AA209" s="1711">
        <v>1</v>
      </c>
      <c r="AB209" s="1097" t="s">
        <v>1032</v>
      </c>
      <c r="AC209" s="1087">
        <v>37229.760000000002</v>
      </c>
      <c r="AD209" s="1097" t="str">
        <f>AB209</f>
        <v xml:space="preserve">      Амортизационные отчисления с выделением результатов переоценки основных средств и нематериальных активов</v>
      </c>
      <c r="AE209" s="1087"/>
      <c r="AF209" s="2802"/>
      <c r="AG209" s="2803"/>
      <c r="AH209" s="2803"/>
      <c r="AI209" s="2802"/>
      <c r="AJ209" s="2803"/>
      <c r="AK209" s="2803"/>
      <c r="AL209" s="1900"/>
      <c r="AM209" s="1738"/>
      <c r="AN209" s="1738"/>
      <c r="AO209" s="1738"/>
      <c r="AP209" s="1738"/>
      <c r="AQ209" s="1738"/>
      <c r="AR209" s="1738"/>
      <c r="AS209" s="1738"/>
      <c r="AT209" s="1738"/>
      <c r="AU209" s="1738"/>
      <c r="AV209" s="1738"/>
      <c r="AW209" s="1738"/>
      <c r="AX209" s="1738"/>
      <c r="AY209" s="1738"/>
      <c r="AZ209" s="1738"/>
      <c r="BA209" s="1738"/>
      <c r="BB209" s="1738"/>
      <c r="BC209" s="1738"/>
      <c r="BD209" s="1738"/>
      <c r="BE209" s="1738"/>
      <c r="BF209" s="1738"/>
      <c r="BG209" s="2010"/>
    </row>
    <row r="210" spans="1:59" ht="11.25" customHeight="1">
      <c r="A210" s="1084" t="s">
        <v>984</v>
      </c>
      <c r="B210" s="1084"/>
      <c r="C210" s="1084"/>
      <c r="D210" s="1078"/>
      <c r="E210" s="1088"/>
      <c r="F210" s="2791"/>
      <c r="G210" s="2798"/>
      <c r="H210" s="2787" t="s">
        <v>367</v>
      </c>
      <c r="I210" s="2799"/>
      <c r="J210" s="2800"/>
      <c r="K210" s="2801"/>
      <c r="L210" s="2524"/>
      <c r="M210" s="2525"/>
      <c r="N210" s="2804"/>
      <c r="O210" s="2805"/>
      <c r="P210" s="2808"/>
      <c r="Q210" s="2800"/>
      <c r="R210" s="2759"/>
      <c r="S210" s="2809"/>
      <c r="T210" s="2759"/>
      <c r="U210" s="2759"/>
      <c r="V210" s="2759"/>
      <c r="W210" s="2759"/>
      <c r="X210" s="2759"/>
      <c r="Y210" s="2759"/>
      <c r="Z210" s="1093"/>
      <c r="AA210" s="1094"/>
      <c r="AB210" s="1159" t="s">
        <v>1033</v>
      </c>
      <c r="AC210" s="1098"/>
      <c r="AD210" s="1098"/>
      <c r="AE210" s="1100"/>
      <c r="AF210" s="2802"/>
      <c r="AG210" s="2803"/>
      <c r="AH210" s="2803"/>
      <c r="AI210" s="2802"/>
      <c r="AJ210" s="2803"/>
      <c r="AK210" s="2803"/>
      <c r="AL210" s="1900"/>
      <c r="AM210" s="1738"/>
      <c r="AN210" s="1738"/>
      <c r="AO210" s="1738"/>
      <c r="AP210" s="1738"/>
      <c r="AQ210" s="1738"/>
      <c r="AR210" s="1738"/>
      <c r="AS210" s="1738"/>
      <c r="AT210" s="1738"/>
      <c r="AU210" s="1738"/>
      <c r="AV210" s="1738"/>
      <c r="AW210" s="1738"/>
      <c r="AX210" s="1738"/>
      <c r="AY210" s="1738"/>
      <c r="AZ210" s="1738"/>
      <c r="BA210" s="1738"/>
      <c r="BB210" s="1738"/>
      <c r="BC210" s="1738"/>
      <c r="BD210" s="1738"/>
      <c r="BE210" s="1738"/>
      <c r="BF210" s="1738"/>
      <c r="BG210" s="2010"/>
    </row>
    <row r="211" spans="1:59" ht="11.25" customHeight="1">
      <c r="A211" s="1084" t="s">
        <v>984</v>
      </c>
      <c r="B211" s="1084"/>
      <c r="C211" s="1084"/>
      <c r="D211" s="1078"/>
      <c r="E211" s="1088"/>
      <c r="F211" s="2791"/>
      <c r="G211" s="2798"/>
      <c r="H211" s="2787" t="s">
        <v>367</v>
      </c>
      <c r="I211" s="2799"/>
      <c r="J211" s="2800"/>
      <c r="K211" s="2801"/>
      <c r="L211" s="2524"/>
      <c r="M211" s="2525"/>
      <c r="N211" s="1093"/>
      <c r="O211" s="1094"/>
      <c r="P211" s="1086" t="s">
        <v>1034</v>
      </c>
      <c r="Q211" s="1094"/>
      <c r="R211" s="1094"/>
      <c r="S211" s="1094"/>
      <c r="T211" s="1094"/>
      <c r="U211" s="1094"/>
      <c r="V211" s="1094"/>
      <c r="W211" s="1094"/>
      <c r="X211" s="1094"/>
      <c r="Y211" s="1094"/>
      <c r="Z211" s="1094"/>
      <c r="AA211" s="1094"/>
      <c r="AB211" s="1094"/>
      <c r="AC211" s="1094"/>
      <c r="AD211" s="1094"/>
      <c r="AE211" s="1101"/>
      <c r="AF211" s="2802"/>
      <c r="AG211" s="2803"/>
      <c r="AH211" s="2803"/>
      <c r="AI211" s="2802"/>
      <c r="AJ211" s="2803"/>
      <c r="AK211" s="2803"/>
      <c r="AL211" s="1900"/>
      <c r="AM211" s="1738"/>
      <c r="AN211" s="1738"/>
      <c r="AO211" s="1738"/>
      <c r="AP211" s="1738"/>
      <c r="AQ211" s="1738"/>
      <c r="AR211" s="1738"/>
      <c r="AS211" s="1738"/>
      <c r="AT211" s="1738"/>
      <c r="AU211" s="1738"/>
      <c r="AV211" s="1738"/>
      <c r="AW211" s="1738"/>
      <c r="AX211" s="1738"/>
      <c r="AY211" s="1738"/>
      <c r="AZ211" s="1738"/>
      <c r="BA211" s="1738"/>
      <c r="BB211" s="1738"/>
      <c r="BC211" s="1738"/>
      <c r="BD211" s="1738"/>
      <c r="BE211" s="1738"/>
      <c r="BF211" s="1738"/>
      <c r="BG211" s="2010"/>
    </row>
    <row r="212" spans="1:59" ht="11.25" customHeight="1">
      <c r="A212" s="1084" t="s">
        <v>984</v>
      </c>
      <c r="B212" s="1084" t="s">
        <v>1018</v>
      </c>
      <c r="C212" s="1084"/>
      <c r="D212" s="1078"/>
      <c r="E212" s="1088"/>
      <c r="F212" s="2791"/>
      <c r="G212" s="2776" t="s">
        <v>680</v>
      </c>
      <c r="H212" s="2787" t="s">
        <v>103</v>
      </c>
      <c r="I212" s="2799" t="s">
        <v>1019</v>
      </c>
      <c r="J212" s="2800" t="s">
        <v>1035</v>
      </c>
      <c r="K212" s="2801" t="s">
        <v>1059</v>
      </c>
      <c r="L212" s="2524" t="s">
        <v>19</v>
      </c>
      <c r="M212" s="2525"/>
      <c r="N212" s="1898"/>
      <c r="O212" s="1095" t="s">
        <v>367</v>
      </c>
      <c r="P212" s="1096"/>
      <c r="Q212" s="1096"/>
      <c r="R212" s="1096"/>
      <c r="S212" s="1096"/>
      <c r="T212" s="1096"/>
      <c r="U212" s="1096"/>
      <c r="V212" s="1096"/>
      <c r="W212" s="1096"/>
      <c r="X212" s="1096"/>
      <c r="Y212" s="1096"/>
      <c r="Z212" s="1096"/>
      <c r="AA212" s="1096"/>
      <c r="AB212" s="1096"/>
      <c r="AC212" s="1096"/>
      <c r="AD212" s="1096"/>
      <c r="AE212" s="1096"/>
      <c r="AF212" s="2802">
        <v>1</v>
      </c>
      <c r="AG212" s="2803" t="s">
        <v>1022</v>
      </c>
      <c r="AH212" s="2803" t="s">
        <v>1060</v>
      </c>
      <c r="AI212" s="2802"/>
      <c r="AJ212" s="2803"/>
      <c r="AK212" s="2803"/>
      <c r="AL212" s="1900"/>
      <c r="AM212" s="1738"/>
      <c r="AN212" s="1738"/>
      <c r="AO212" s="1738"/>
      <c r="AP212" s="1738"/>
      <c r="AQ212" s="1738"/>
      <c r="AR212" s="1738"/>
      <c r="AS212" s="1738"/>
      <c r="AT212" s="1738"/>
      <c r="AU212" s="1738"/>
      <c r="AV212" s="1738"/>
      <c r="AW212" s="1738"/>
      <c r="AX212" s="1738"/>
      <c r="AY212" s="1738"/>
      <c r="AZ212" s="1738"/>
      <c r="BA212" s="1738"/>
      <c r="BB212" s="1738"/>
      <c r="BC212" s="1738"/>
      <c r="BD212" s="1738"/>
      <c r="BE212" s="1738"/>
      <c r="BF212" s="1738"/>
      <c r="BG212" s="2010"/>
    </row>
    <row r="213" spans="1:59" ht="11.25" customHeight="1">
      <c r="A213" s="1084" t="s">
        <v>984</v>
      </c>
      <c r="B213" s="1084"/>
      <c r="C213" s="1084"/>
      <c r="D213" s="1078"/>
      <c r="E213" s="1088"/>
      <c r="F213" s="2791"/>
      <c r="G213" s="2798"/>
      <c r="H213" s="2787" t="s">
        <v>102</v>
      </c>
      <c r="I213" s="2799"/>
      <c r="J213" s="2800"/>
      <c r="K213" s="2801"/>
      <c r="L213" s="2524"/>
      <c r="M213" s="2525"/>
      <c r="N213" s="2804"/>
      <c r="O213" s="2805">
        <v>1</v>
      </c>
      <c r="P213" s="2806" t="s">
        <v>65</v>
      </c>
      <c r="Q213" s="2800" t="s">
        <v>1024</v>
      </c>
      <c r="R213" s="2809" t="s">
        <v>1061</v>
      </c>
      <c r="S213" s="2809" t="s">
        <v>1062</v>
      </c>
      <c r="T213" s="2809" t="s">
        <v>1062</v>
      </c>
      <c r="U213" s="2809" t="s">
        <v>1063</v>
      </c>
      <c r="V213" s="2809" t="s">
        <v>1064</v>
      </c>
      <c r="W213" s="2809" t="s">
        <v>1065</v>
      </c>
      <c r="X213" s="2809" t="s">
        <v>1030</v>
      </c>
      <c r="Y213" s="2809" t="s">
        <v>1031</v>
      </c>
      <c r="Z213" s="1093"/>
      <c r="AA213" s="1094"/>
      <c r="AB213" s="1094"/>
      <c r="AC213" s="1098"/>
      <c r="AD213" s="1098"/>
      <c r="AE213" s="1099"/>
      <c r="AF213" s="2802"/>
      <c r="AG213" s="2803"/>
      <c r="AH213" s="2803"/>
      <c r="AI213" s="2802"/>
      <c r="AJ213" s="2803"/>
      <c r="AK213" s="2803"/>
      <c r="AL213" s="1900"/>
      <c r="AM213" s="1738"/>
      <c r="AN213" s="1738"/>
      <c r="AO213" s="1738"/>
      <c r="AP213" s="1738"/>
      <c r="AQ213" s="1738"/>
      <c r="AR213" s="1738"/>
      <c r="AS213" s="1738"/>
      <c r="AT213" s="1738"/>
      <c r="AU213" s="1738"/>
      <c r="AV213" s="1738"/>
      <c r="AW213" s="1738"/>
      <c r="AX213" s="1738"/>
      <c r="AY213" s="1738"/>
      <c r="AZ213" s="1738"/>
      <c r="BA213" s="1738"/>
      <c r="BB213" s="1738"/>
      <c r="BC213" s="1738"/>
      <c r="BD213" s="1738"/>
      <c r="BE213" s="1738"/>
      <c r="BF213" s="1738"/>
      <c r="BG213" s="2010"/>
    </row>
    <row r="214" spans="1:59" ht="11.25" customHeight="1">
      <c r="A214" s="1084" t="s">
        <v>984</v>
      </c>
      <c r="B214" s="1084"/>
      <c r="C214" s="1084"/>
      <c r="D214" s="1078"/>
      <c r="E214" s="1088"/>
      <c r="F214" s="2791"/>
      <c r="G214" s="2798"/>
      <c r="H214" s="2787" t="s">
        <v>102</v>
      </c>
      <c r="I214" s="2799"/>
      <c r="J214" s="2800"/>
      <c r="K214" s="2801"/>
      <c r="L214" s="2524"/>
      <c r="M214" s="2525"/>
      <c r="N214" s="2804"/>
      <c r="O214" s="2805"/>
      <c r="P214" s="2807"/>
      <c r="Q214" s="2800"/>
      <c r="R214" s="2759"/>
      <c r="S214" s="2809"/>
      <c r="T214" s="2759"/>
      <c r="U214" s="2759"/>
      <c r="V214" s="2759"/>
      <c r="W214" s="2759"/>
      <c r="X214" s="2759"/>
      <c r="Y214" s="2759"/>
      <c r="Z214" s="1743"/>
      <c r="AA214" s="1711">
        <v>1</v>
      </c>
      <c r="AB214" s="1097" t="s">
        <v>1032</v>
      </c>
      <c r="AC214" s="1087">
        <v>12104.228569999999</v>
      </c>
      <c r="AD214" s="1097" t="str">
        <f>AB214</f>
        <v xml:space="preserve">      Амортизационные отчисления с выделением результатов переоценки основных средств и нематериальных активов</v>
      </c>
      <c r="AE214" s="1087"/>
      <c r="AF214" s="2802"/>
      <c r="AG214" s="2803"/>
      <c r="AH214" s="2803"/>
      <c r="AI214" s="2802"/>
      <c r="AJ214" s="2803"/>
      <c r="AK214" s="2803"/>
      <c r="AL214" s="1900"/>
      <c r="AM214" s="1738"/>
      <c r="AN214" s="1738"/>
      <c r="AO214" s="1738"/>
      <c r="AP214" s="1738"/>
      <c r="AQ214" s="1738"/>
      <c r="AR214" s="1738"/>
      <c r="AS214" s="1738"/>
      <c r="AT214" s="1738"/>
      <c r="AU214" s="1738"/>
      <c r="AV214" s="1738"/>
      <c r="AW214" s="1738"/>
      <c r="AX214" s="1738"/>
      <c r="AY214" s="1738"/>
      <c r="AZ214" s="1738"/>
      <c r="BA214" s="1738"/>
      <c r="BB214" s="1738"/>
      <c r="BC214" s="1738"/>
      <c r="BD214" s="1738"/>
      <c r="BE214" s="1738"/>
      <c r="BF214" s="1738"/>
      <c r="BG214" s="2010"/>
    </row>
    <row r="215" spans="1:59" ht="11.25" customHeight="1">
      <c r="A215" s="1084" t="s">
        <v>984</v>
      </c>
      <c r="B215" s="1084"/>
      <c r="C215" s="1084"/>
      <c r="D215" s="1078"/>
      <c r="E215" s="1088"/>
      <c r="F215" s="2791"/>
      <c r="G215" s="2798"/>
      <c r="H215" s="2787" t="s">
        <v>102</v>
      </c>
      <c r="I215" s="2799"/>
      <c r="J215" s="2800"/>
      <c r="K215" s="2801"/>
      <c r="L215" s="2524"/>
      <c r="M215" s="2525"/>
      <c r="N215" s="2804"/>
      <c r="O215" s="2805"/>
      <c r="P215" s="2808"/>
      <c r="Q215" s="2800"/>
      <c r="R215" s="2759"/>
      <c r="S215" s="2809"/>
      <c r="T215" s="2759"/>
      <c r="U215" s="2759"/>
      <c r="V215" s="2759"/>
      <c r="W215" s="2759"/>
      <c r="X215" s="2759"/>
      <c r="Y215" s="2759"/>
      <c r="Z215" s="1093"/>
      <c r="AA215" s="1094"/>
      <c r="AB215" s="1159" t="s">
        <v>1033</v>
      </c>
      <c r="AC215" s="1098"/>
      <c r="AD215" s="1098"/>
      <c r="AE215" s="1100"/>
      <c r="AF215" s="2802"/>
      <c r="AG215" s="2803"/>
      <c r="AH215" s="2803"/>
      <c r="AI215" s="2802"/>
      <c r="AJ215" s="2803"/>
      <c r="AK215" s="2803"/>
      <c r="AL215" s="1900"/>
      <c r="AM215" s="1738"/>
      <c r="AN215" s="1738"/>
      <c r="AO215" s="1738"/>
      <c r="AP215" s="1738"/>
      <c r="AQ215" s="1738"/>
      <c r="AR215" s="1738"/>
      <c r="AS215" s="1738"/>
      <c r="AT215" s="1738"/>
      <c r="AU215" s="1738"/>
      <c r="AV215" s="1738"/>
      <c r="AW215" s="1738"/>
      <c r="AX215" s="1738"/>
      <c r="AY215" s="1738"/>
      <c r="AZ215" s="1738"/>
      <c r="BA215" s="1738"/>
      <c r="BB215" s="1738"/>
      <c r="BC215" s="1738"/>
      <c r="BD215" s="1738"/>
      <c r="BE215" s="1738"/>
      <c r="BF215" s="1738"/>
      <c r="BG215" s="2010"/>
    </row>
    <row r="216" spans="1:59" ht="11.25" customHeight="1">
      <c r="A216" s="1084" t="s">
        <v>984</v>
      </c>
      <c r="B216" s="1084"/>
      <c r="C216" s="1084"/>
      <c r="D216" s="1078"/>
      <c r="E216" s="1088"/>
      <c r="F216" s="2791"/>
      <c r="G216" s="2798"/>
      <c r="H216" s="2787" t="s">
        <v>102</v>
      </c>
      <c r="I216" s="2799"/>
      <c r="J216" s="2800"/>
      <c r="K216" s="2801"/>
      <c r="L216" s="2524"/>
      <c r="M216" s="2525"/>
      <c r="N216" s="1093"/>
      <c r="O216" s="1094"/>
      <c r="P216" s="1086" t="s">
        <v>1034</v>
      </c>
      <c r="Q216" s="1094"/>
      <c r="R216" s="1094"/>
      <c r="S216" s="1094"/>
      <c r="T216" s="1094"/>
      <c r="U216" s="1094"/>
      <c r="V216" s="1094"/>
      <c r="W216" s="1094"/>
      <c r="X216" s="1094"/>
      <c r="Y216" s="1094"/>
      <c r="Z216" s="1094"/>
      <c r="AA216" s="1094"/>
      <c r="AB216" s="1094"/>
      <c r="AC216" s="1094"/>
      <c r="AD216" s="1094"/>
      <c r="AE216" s="1101"/>
      <c r="AF216" s="2802"/>
      <c r="AG216" s="2803"/>
      <c r="AH216" s="2803"/>
      <c r="AI216" s="2802"/>
      <c r="AJ216" s="2803"/>
      <c r="AK216" s="2803"/>
      <c r="AL216" s="1900"/>
      <c r="AM216" s="1738"/>
      <c r="AN216" s="1738"/>
      <c r="AO216" s="1738"/>
      <c r="AP216" s="1738"/>
      <c r="AQ216" s="1738"/>
      <c r="AR216" s="1738"/>
      <c r="AS216" s="1738"/>
      <c r="AT216" s="1738"/>
      <c r="AU216" s="1738"/>
      <c r="AV216" s="1738"/>
      <c r="AW216" s="1738"/>
      <c r="AX216" s="1738"/>
      <c r="AY216" s="1738"/>
      <c r="AZ216" s="1738"/>
      <c r="BA216" s="1738"/>
      <c r="BB216" s="1738"/>
      <c r="BC216" s="1738"/>
      <c r="BD216" s="1738"/>
      <c r="BE216" s="1738"/>
      <c r="BF216" s="1738"/>
      <c r="BG216" s="2010"/>
    </row>
    <row r="217" spans="1:59" ht="11.25" customHeight="1">
      <c r="A217" s="1084" t="s">
        <v>984</v>
      </c>
      <c r="B217" s="1084" t="s">
        <v>1018</v>
      </c>
      <c r="C217" s="1084"/>
      <c r="D217" s="1078"/>
      <c r="E217" s="1088"/>
      <c r="F217" s="2791"/>
      <c r="G217" s="2776" t="s">
        <v>680</v>
      </c>
      <c r="H217" s="2787" t="s">
        <v>86</v>
      </c>
      <c r="I217" s="2799" t="s">
        <v>1019</v>
      </c>
      <c r="J217" s="2800" t="s">
        <v>1035</v>
      </c>
      <c r="K217" s="2801" t="s">
        <v>1048</v>
      </c>
      <c r="L217" s="2524" t="s">
        <v>19</v>
      </c>
      <c r="M217" s="2525"/>
      <c r="N217" s="1898"/>
      <c r="O217" s="1095" t="s">
        <v>367</v>
      </c>
      <c r="P217" s="1096"/>
      <c r="Q217" s="1096"/>
      <c r="R217" s="1096"/>
      <c r="S217" s="1096"/>
      <c r="T217" s="1096"/>
      <c r="U217" s="1096"/>
      <c r="V217" s="1096"/>
      <c r="W217" s="1096"/>
      <c r="X217" s="1096"/>
      <c r="Y217" s="1096"/>
      <c r="Z217" s="1096"/>
      <c r="AA217" s="1096"/>
      <c r="AB217" s="1096"/>
      <c r="AC217" s="1096"/>
      <c r="AD217" s="1096"/>
      <c r="AE217" s="1096"/>
      <c r="AF217" s="2802">
        <v>4</v>
      </c>
      <c r="AG217" s="2803" t="s">
        <v>1022</v>
      </c>
      <c r="AH217" s="2803" t="s">
        <v>1023</v>
      </c>
      <c r="AI217" s="2802"/>
      <c r="AJ217" s="2803"/>
      <c r="AK217" s="2803"/>
      <c r="AL217" s="1900"/>
      <c r="AM217" s="1738"/>
      <c r="AN217" s="1738"/>
      <c r="AO217" s="1738"/>
      <c r="AP217" s="1738"/>
      <c r="AQ217" s="1738"/>
      <c r="AR217" s="1738"/>
      <c r="AS217" s="1738"/>
      <c r="AT217" s="1738"/>
      <c r="AU217" s="1738"/>
      <c r="AV217" s="1738"/>
      <c r="AW217" s="1738"/>
      <c r="AX217" s="1738"/>
      <c r="AY217" s="1738"/>
      <c r="AZ217" s="1738"/>
      <c r="BA217" s="1738"/>
      <c r="BB217" s="1738"/>
      <c r="BC217" s="1738"/>
      <c r="BD217" s="1738"/>
      <c r="BE217" s="1738"/>
      <c r="BF217" s="1738"/>
      <c r="BG217" s="2010"/>
    </row>
    <row r="218" spans="1:59" ht="11.25" customHeight="1">
      <c r="A218" s="1084" t="s">
        <v>984</v>
      </c>
      <c r="B218" s="1084"/>
      <c r="C218" s="1084"/>
      <c r="D218" s="1078"/>
      <c r="E218" s="1088"/>
      <c r="F218" s="2791"/>
      <c r="G218" s="2798"/>
      <c r="H218" s="2787" t="s">
        <v>103</v>
      </c>
      <c r="I218" s="2799"/>
      <c r="J218" s="2800"/>
      <c r="K218" s="2801"/>
      <c r="L218" s="2524"/>
      <c r="M218" s="2525"/>
      <c r="N218" s="2804"/>
      <c r="O218" s="2805">
        <v>1</v>
      </c>
      <c r="P218" s="2806" t="s">
        <v>65</v>
      </c>
      <c r="Q218" s="2800" t="s">
        <v>1024</v>
      </c>
      <c r="R218" s="2809" t="s">
        <v>1061</v>
      </c>
      <c r="S218" s="2809" t="s">
        <v>1062</v>
      </c>
      <c r="T218" s="2809" t="s">
        <v>1062</v>
      </c>
      <c r="U218" s="2809" t="s">
        <v>1063</v>
      </c>
      <c r="V218" s="2809" t="s">
        <v>1064</v>
      </c>
      <c r="W218" s="2809" t="s">
        <v>1065</v>
      </c>
      <c r="X218" s="2809" t="s">
        <v>1030</v>
      </c>
      <c r="Y218" s="2809" t="s">
        <v>1031</v>
      </c>
      <c r="Z218" s="1093"/>
      <c r="AA218" s="1094"/>
      <c r="AB218" s="1094"/>
      <c r="AC218" s="1098"/>
      <c r="AD218" s="1098"/>
      <c r="AE218" s="1099"/>
      <c r="AF218" s="2802"/>
      <c r="AG218" s="2803"/>
      <c r="AH218" s="2803"/>
      <c r="AI218" s="2802"/>
      <c r="AJ218" s="2803"/>
      <c r="AK218" s="2803"/>
      <c r="AL218" s="1900"/>
      <c r="AM218" s="1738"/>
      <c r="AN218" s="1738"/>
      <c r="AO218" s="1738"/>
      <c r="AP218" s="1738"/>
      <c r="AQ218" s="1738"/>
      <c r="AR218" s="1738"/>
      <c r="AS218" s="1738"/>
      <c r="AT218" s="1738"/>
      <c r="AU218" s="1738"/>
      <c r="AV218" s="1738"/>
      <c r="AW218" s="1738"/>
      <c r="AX218" s="1738"/>
      <c r="AY218" s="1738"/>
      <c r="AZ218" s="1738"/>
      <c r="BA218" s="1738"/>
      <c r="BB218" s="1738"/>
      <c r="BC218" s="1738"/>
      <c r="BD218" s="1738"/>
      <c r="BE218" s="1738"/>
      <c r="BF218" s="1738"/>
      <c r="BG218" s="2010"/>
    </row>
    <row r="219" spans="1:59" ht="11.25" customHeight="1">
      <c r="A219" s="1084" t="s">
        <v>984</v>
      </c>
      <c r="B219" s="1084"/>
      <c r="C219" s="1084"/>
      <c r="D219" s="1078"/>
      <c r="E219" s="1088"/>
      <c r="F219" s="2791"/>
      <c r="G219" s="2798"/>
      <c r="H219" s="2787" t="s">
        <v>103</v>
      </c>
      <c r="I219" s="2799"/>
      <c r="J219" s="2800"/>
      <c r="K219" s="2801"/>
      <c r="L219" s="2524"/>
      <c r="M219" s="2525"/>
      <c r="N219" s="2804"/>
      <c r="O219" s="2805"/>
      <c r="P219" s="2807"/>
      <c r="Q219" s="2800"/>
      <c r="R219" s="2759"/>
      <c r="S219" s="2809"/>
      <c r="T219" s="2759"/>
      <c r="U219" s="2759"/>
      <c r="V219" s="2759"/>
      <c r="W219" s="2759"/>
      <c r="X219" s="2759"/>
      <c r="Y219" s="2759"/>
      <c r="Z219" s="1743"/>
      <c r="AA219" s="1711">
        <v>1</v>
      </c>
      <c r="AB219" s="1097" t="s">
        <v>1032</v>
      </c>
      <c r="AC219" s="1087">
        <v>10593.13668</v>
      </c>
      <c r="AD219" s="1097" t="str">
        <f>AB219</f>
        <v xml:space="preserve">      Амортизационные отчисления с выделением результатов переоценки основных средств и нематериальных активов</v>
      </c>
      <c r="AE219" s="1087"/>
      <c r="AF219" s="2802"/>
      <c r="AG219" s="2803"/>
      <c r="AH219" s="2803"/>
      <c r="AI219" s="2802"/>
      <c r="AJ219" s="2803"/>
      <c r="AK219" s="2803"/>
      <c r="AL219" s="1900"/>
      <c r="AM219" s="1738"/>
      <c r="AN219" s="1738"/>
      <c r="AO219" s="1738"/>
      <c r="AP219" s="1738"/>
      <c r="AQ219" s="1738"/>
      <c r="AR219" s="1738"/>
      <c r="AS219" s="1738"/>
      <c r="AT219" s="1738"/>
      <c r="AU219" s="1738"/>
      <c r="AV219" s="1738"/>
      <c r="AW219" s="1738"/>
      <c r="AX219" s="1738"/>
      <c r="AY219" s="1738"/>
      <c r="AZ219" s="1738"/>
      <c r="BA219" s="1738"/>
      <c r="BB219" s="1738"/>
      <c r="BC219" s="1738"/>
      <c r="BD219" s="1738"/>
      <c r="BE219" s="1738"/>
      <c r="BF219" s="1738"/>
      <c r="BG219" s="2010"/>
    </row>
    <row r="220" spans="1:59" ht="11.25" customHeight="1">
      <c r="A220" s="1084" t="s">
        <v>984</v>
      </c>
      <c r="B220" s="1084"/>
      <c r="C220" s="1084"/>
      <c r="D220" s="1078"/>
      <c r="E220" s="1088"/>
      <c r="F220" s="2791"/>
      <c r="G220" s="2798"/>
      <c r="H220" s="2787" t="s">
        <v>103</v>
      </c>
      <c r="I220" s="2799"/>
      <c r="J220" s="2800"/>
      <c r="K220" s="2801"/>
      <c r="L220" s="2524"/>
      <c r="M220" s="2525"/>
      <c r="N220" s="2804"/>
      <c r="O220" s="2805"/>
      <c r="P220" s="2808"/>
      <c r="Q220" s="2800"/>
      <c r="R220" s="2759"/>
      <c r="S220" s="2809"/>
      <c r="T220" s="2759"/>
      <c r="U220" s="2759"/>
      <c r="V220" s="2759"/>
      <c r="W220" s="2759"/>
      <c r="X220" s="2759"/>
      <c r="Y220" s="2759"/>
      <c r="Z220" s="1093"/>
      <c r="AA220" s="1094"/>
      <c r="AB220" s="1159" t="s">
        <v>1033</v>
      </c>
      <c r="AC220" s="1098"/>
      <c r="AD220" s="1098"/>
      <c r="AE220" s="1100"/>
      <c r="AF220" s="2802"/>
      <c r="AG220" s="2803"/>
      <c r="AH220" s="2803"/>
      <c r="AI220" s="2802"/>
      <c r="AJ220" s="2803"/>
      <c r="AK220" s="2803"/>
      <c r="AL220" s="1900"/>
      <c r="AM220" s="1738"/>
      <c r="AN220" s="1738"/>
      <c r="AO220" s="1738"/>
      <c r="AP220" s="1738"/>
      <c r="AQ220" s="1738"/>
      <c r="AR220" s="1738"/>
      <c r="AS220" s="1738"/>
      <c r="AT220" s="1738"/>
      <c r="AU220" s="1738"/>
      <c r="AV220" s="1738"/>
      <c r="AW220" s="1738"/>
      <c r="AX220" s="1738"/>
      <c r="AY220" s="1738"/>
      <c r="AZ220" s="1738"/>
      <c r="BA220" s="1738"/>
      <c r="BB220" s="1738"/>
      <c r="BC220" s="1738"/>
      <c r="BD220" s="1738"/>
      <c r="BE220" s="1738"/>
      <c r="BF220" s="1738"/>
      <c r="BG220" s="2010"/>
    </row>
    <row r="221" spans="1:59" ht="11.25" customHeight="1">
      <c r="A221" s="1084" t="s">
        <v>984</v>
      </c>
      <c r="B221" s="1084"/>
      <c r="C221" s="1084"/>
      <c r="D221" s="1078"/>
      <c r="E221" s="1088"/>
      <c r="F221" s="2791"/>
      <c r="G221" s="2798"/>
      <c r="H221" s="2787" t="s">
        <v>103</v>
      </c>
      <c r="I221" s="2799"/>
      <c r="J221" s="2800"/>
      <c r="K221" s="2801"/>
      <c r="L221" s="2524"/>
      <c r="M221" s="2525"/>
      <c r="N221" s="1093"/>
      <c r="O221" s="1094"/>
      <c r="P221" s="1086" t="s">
        <v>1034</v>
      </c>
      <c r="Q221" s="1094"/>
      <c r="R221" s="1094"/>
      <c r="S221" s="1094"/>
      <c r="T221" s="1094"/>
      <c r="U221" s="1094"/>
      <c r="V221" s="1094"/>
      <c r="W221" s="1094"/>
      <c r="X221" s="1094"/>
      <c r="Y221" s="1094"/>
      <c r="Z221" s="1094"/>
      <c r="AA221" s="1094"/>
      <c r="AB221" s="1094"/>
      <c r="AC221" s="1094"/>
      <c r="AD221" s="1094"/>
      <c r="AE221" s="1101"/>
      <c r="AF221" s="2802"/>
      <c r="AG221" s="2803"/>
      <c r="AH221" s="2803"/>
      <c r="AI221" s="2802"/>
      <c r="AJ221" s="2803"/>
      <c r="AK221" s="2803"/>
      <c r="AL221" s="1900"/>
      <c r="AM221" s="1738"/>
      <c r="AN221" s="1738"/>
      <c r="AO221" s="1738"/>
      <c r="AP221" s="1738"/>
      <c r="AQ221" s="1738"/>
      <c r="AR221" s="1738"/>
      <c r="AS221" s="1738"/>
      <c r="AT221" s="1738"/>
      <c r="AU221" s="1738"/>
      <c r="AV221" s="1738"/>
      <c r="AW221" s="1738"/>
      <c r="AX221" s="1738"/>
      <c r="AY221" s="1738"/>
      <c r="AZ221" s="1738"/>
      <c r="BA221" s="1738"/>
      <c r="BB221" s="1738"/>
      <c r="BC221" s="1738"/>
      <c r="BD221" s="1738"/>
      <c r="BE221" s="1738"/>
      <c r="BF221" s="1738"/>
      <c r="BG221" s="2010"/>
    </row>
    <row r="222" spans="1:59" ht="11.25" customHeight="1">
      <c r="A222" s="1084" t="s">
        <v>984</v>
      </c>
      <c r="B222" s="1084" t="s">
        <v>1018</v>
      </c>
      <c r="C222" s="1084"/>
      <c r="D222" s="1078"/>
      <c r="E222" s="1088"/>
      <c r="F222" s="2791"/>
      <c r="G222" s="2776" t="s">
        <v>680</v>
      </c>
      <c r="H222" s="2787" t="s">
        <v>87</v>
      </c>
      <c r="I222" s="2799" t="s">
        <v>1019</v>
      </c>
      <c r="J222" s="2800" t="s">
        <v>1035</v>
      </c>
      <c r="K222" s="2801" t="s">
        <v>1052</v>
      </c>
      <c r="L222" s="2524" t="s">
        <v>19</v>
      </c>
      <c r="M222" s="2525"/>
      <c r="N222" s="1898"/>
      <c r="O222" s="1095" t="s">
        <v>367</v>
      </c>
      <c r="P222" s="1096"/>
      <c r="Q222" s="1096"/>
      <c r="R222" s="1096"/>
      <c r="S222" s="1096"/>
      <c r="T222" s="1096"/>
      <c r="U222" s="1096"/>
      <c r="V222" s="1096"/>
      <c r="W222" s="1096"/>
      <c r="X222" s="1096"/>
      <c r="Y222" s="1096"/>
      <c r="Z222" s="1096"/>
      <c r="AA222" s="1096"/>
      <c r="AB222" s="1096"/>
      <c r="AC222" s="1096"/>
      <c r="AD222" s="1096"/>
      <c r="AE222" s="1096"/>
      <c r="AF222" s="2802">
        <v>5</v>
      </c>
      <c r="AG222" s="2803" t="s">
        <v>1022</v>
      </c>
      <c r="AH222" s="2803" t="s">
        <v>1045</v>
      </c>
      <c r="AI222" s="2802"/>
      <c r="AJ222" s="2803"/>
      <c r="AK222" s="2803"/>
      <c r="AL222" s="1900"/>
      <c r="AM222" s="1738"/>
      <c r="AN222" s="1738"/>
      <c r="AO222" s="1738"/>
      <c r="AP222" s="1738"/>
      <c r="AQ222" s="1738"/>
      <c r="AR222" s="1738"/>
      <c r="AS222" s="1738"/>
      <c r="AT222" s="1738"/>
      <c r="AU222" s="1738"/>
      <c r="AV222" s="1738"/>
      <c r="AW222" s="1738"/>
      <c r="AX222" s="1738"/>
      <c r="AY222" s="1738"/>
      <c r="AZ222" s="1738"/>
      <c r="BA222" s="1738"/>
      <c r="BB222" s="1738"/>
      <c r="BC222" s="1738"/>
      <c r="BD222" s="1738"/>
      <c r="BE222" s="1738"/>
      <c r="BF222" s="1738"/>
      <c r="BG222" s="2010"/>
    </row>
    <row r="223" spans="1:59" ht="11.25" customHeight="1">
      <c r="A223" s="1084" t="s">
        <v>984</v>
      </c>
      <c r="B223" s="1084"/>
      <c r="C223" s="1084"/>
      <c r="D223" s="1078"/>
      <c r="E223" s="1088"/>
      <c r="F223" s="2791"/>
      <c r="G223" s="2798"/>
      <c r="H223" s="2787" t="s">
        <v>86</v>
      </c>
      <c r="I223" s="2799"/>
      <c r="J223" s="2800"/>
      <c r="K223" s="2801"/>
      <c r="L223" s="2524"/>
      <c r="M223" s="2525"/>
      <c r="N223" s="2804"/>
      <c r="O223" s="2805">
        <v>1</v>
      </c>
      <c r="P223" s="2806" t="s">
        <v>65</v>
      </c>
      <c r="Q223" s="2800" t="s">
        <v>1024</v>
      </c>
      <c r="R223" s="2809" t="s">
        <v>1061</v>
      </c>
      <c r="S223" s="2809" t="s">
        <v>1062</v>
      </c>
      <c r="T223" s="2809" t="s">
        <v>1062</v>
      </c>
      <c r="U223" s="2809" t="s">
        <v>1063</v>
      </c>
      <c r="V223" s="2809" t="s">
        <v>1064</v>
      </c>
      <c r="W223" s="2809" t="s">
        <v>1065</v>
      </c>
      <c r="X223" s="2809" t="s">
        <v>1030</v>
      </c>
      <c r="Y223" s="2809" t="s">
        <v>1031</v>
      </c>
      <c r="Z223" s="1093"/>
      <c r="AA223" s="1094"/>
      <c r="AB223" s="1094"/>
      <c r="AC223" s="1098"/>
      <c r="AD223" s="1098"/>
      <c r="AE223" s="1099"/>
      <c r="AF223" s="2802"/>
      <c r="AG223" s="2803"/>
      <c r="AH223" s="2803"/>
      <c r="AI223" s="2802"/>
      <c r="AJ223" s="2803"/>
      <c r="AK223" s="2803"/>
      <c r="AL223" s="1900"/>
      <c r="AM223" s="1738"/>
      <c r="AN223" s="1738"/>
      <c r="AO223" s="1738"/>
      <c r="AP223" s="1738"/>
      <c r="AQ223" s="1738"/>
      <c r="AR223" s="1738"/>
      <c r="AS223" s="1738"/>
      <c r="AT223" s="1738"/>
      <c r="AU223" s="1738"/>
      <c r="AV223" s="1738"/>
      <c r="AW223" s="1738"/>
      <c r="AX223" s="1738"/>
      <c r="AY223" s="1738"/>
      <c r="AZ223" s="1738"/>
      <c r="BA223" s="1738"/>
      <c r="BB223" s="1738"/>
      <c r="BC223" s="1738"/>
      <c r="BD223" s="1738"/>
      <c r="BE223" s="1738"/>
      <c r="BF223" s="1738"/>
      <c r="BG223" s="2010"/>
    </row>
    <row r="224" spans="1:59" ht="11.25" customHeight="1">
      <c r="A224" s="1084" t="s">
        <v>984</v>
      </c>
      <c r="B224" s="1084"/>
      <c r="C224" s="1084"/>
      <c r="D224" s="1078"/>
      <c r="E224" s="1088"/>
      <c r="F224" s="2791"/>
      <c r="G224" s="2798"/>
      <c r="H224" s="2787" t="s">
        <v>86</v>
      </c>
      <c r="I224" s="2799"/>
      <c r="J224" s="2800"/>
      <c r="K224" s="2801"/>
      <c r="L224" s="2524"/>
      <c r="M224" s="2525"/>
      <c r="N224" s="2804"/>
      <c r="O224" s="2805"/>
      <c r="P224" s="2807"/>
      <c r="Q224" s="2800"/>
      <c r="R224" s="2759"/>
      <c r="S224" s="2809"/>
      <c r="T224" s="2759"/>
      <c r="U224" s="2759"/>
      <c r="V224" s="2759"/>
      <c r="W224" s="2759"/>
      <c r="X224" s="2759"/>
      <c r="Y224" s="2759"/>
      <c r="Z224" s="1743"/>
      <c r="AA224" s="1711">
        <v>1</v>
      </c>
      <c r="AB224" s="1097" t="s">
        <v>1032</v>
      </c>
      <c r="AC224" s="1087">
        <v>14445.186379999999</v>
      </c>
      <c r="AD224" s="1097" t="str">
        <f>AB224</f>
        <v xml:space="preserve">      Амортизационные отчисления с выделением результатов переоценки основных средств и нематериальных активов</v>
      </c>
      <c r="AE224" s="1087"/>
      <c r="AF224" s="2802"/>
      <c r="AG224" s="2803"/>
      <c r="AH224" s="2803"/>
      <c r="AI224" s="2802"/>
      <c r="AJ224" s="2803"/>
      <c r="AK224" s="2803"/>
      <c r="AL224" s="1900"/>
      <c r="AM224" s="1738"/>
      <c r="AN224" s="1738"/>
      <c r="AO224" s="1738"/>
      <c r="AP224" s="1738"/>
      <c r="AQ224" s="1738"/>
      <c r="AR224" s="1738"/>
      <c r="AS224" s="1738"/>
      <c r="AT224" s="1738"/>
      <c r="AU224" s="1738"/>
      <c r="AV224" s="1738"/>
      <c r="AW224" s="1738"/>
      <c r="AX224" s="1738"/>
      <c r="AY224" s="1738"/>
      <c r="AZ224" s="1738"/>
      <c r="BA224" s="1738"/>
      <c r="BB224" s="1738"/>
      <c r="BC224" s="1738"/>
      <c r="BD224" s="1738"/>
      <c r="BE224" s="1738"/>
      <c r="BF224" s="1738"/>
      <c r="BG224" s="2010"/>
    </row>
    <row r="225" spans="1:59" ht="11.25" customHeight="1">
      <c r="A225" s="1084" t="s">
        <v>984</v>
      </c>
      <c r="B225" s="1084"/>
      <c r="C225" s="1084"/>
      <c r="D225" s="1078"/>
      <c r="E225" s="1088"/>
      <c r="F225" s="2791"/>
      <c r="G225" s="2798"/>
      <c r="H225" s="2787" t="s">
        <v>86</v>
      </c>
      <c r="I225" s="2799"/>
      <c r="J225" s="2800"/>
      <c r="K225" s="2801"/>
      <c r="L225" s="2524"/>
      <c r="M225" s="2525"/>
      <c r="N225" s="2804"/>
      <c r="O225" s="2805"/>
      <c r="P225" s="2808"/>
      <c r="Q225" s="2800"/>
      <c r="R225" s="2759"/>
      <c r="S225" s="2809"/>
      <c r="T225" s="2759"/>
      <c r="U225" s="2759"/>
      <c r="V225" s="2759"/>
      <c r="W225" s="2759"/>
      <c r="X225" s="2759"/>
      <c r="Y225" s="2759"/>
      <c r="Z225" s="1093"/>
      <c r="AA225" s="1094"/>
      <c r="AB225" s="1159" t="s">
        <v>1033</v>
      </c>
      <c r="AC225" s="1098"/>
      <c r="AD225" s="1098"/>
      <c r="AE225" s="1100"/>
      <c r="AF225" s="2802"/>
      <c r="AG225" s="2803"/>
      <c r="AH225" s="2803"/>
      <c r="AI225" s="2802"/>
      <c r="AJ225" s="2803"/>
      <c r="AK225" s="2803"/>
      <c r="AL225" s="1900"/>
      <c r="AM225" s="1738"/>
      <c r="AN225" s="1738"/>
      <c r="AO225" s="1738"/>
      <c r="AP225" s="1738"/>
      <c r="AQ225" s="1738"/>
      <c r="AR225" s="1738"/>
      <c r="AS225" s="1738"/>
      <c r="AT225" s="1738"/>
      <c r="AU225" s="1738"/>
      <c r="AV225" s="1738"/>
      <c r="AW225" s="1738"/>
      <c r="AX225" s="1738"/>
      <c r="AY225" s="1738"/>
      <c r="AZ225" s="1738"/>
      <c r="BA225" s="1738"/>
      <c r="BB225" s="1738"/>
      <c r="BC225" s="1738"/>
      <c r="BD225" s="1738"/>
      <c r="BE225" s="1738"/>
      <c r="BF225" s="1738"/>
      <c r="BG225" s="2010"/>
    </row>
    <row r="226" spans="1:59" ht="11.25" customHeight="1">
      <c r="A226" s="1084" t="s">
        <v>984</v>
      </c>
      <c r="B226" s="1084"/>
      <c r="C226" s="1084"/>
      <c r="D226" s="1078"/>
      <c r="E226" s="1088"/>
      <c r="F226" s="2791"/>
      <c r="G226" s="2798"/>
      <c r="H226" s="2787" t="s">
        <v>86</v>
      </c>
      <c r="I226" s="2799"/>
      <c r="J226" s="2800"/>
      <c r="K226" s="2801"/>
      <c r="L226" s="2524"/>
      <c r="M226" s="2525"/>
      <c r="N226" s="1093"/>
      <c r="O226" s="1094"/>
      <c r="P226" s="1086" t="s">
        <v>1034</v>
      </c>
      <c r="Q226" s="1094"/>
      <c r="R226" s="1094"/>
      <c r="S226" s="1094"/>
      <c r="T226" s="1094"/>
      <c r="U226" s="1094"/>
      <c r="V226" s="1094"/>
      <c r="W226" s="1094"/>
      <c r="X226" s="1094"/>
      <c r="Y226" s="1094"/>
      <c r="Z226" s="1094"/>
      <c r="AA226" s="1094"/>
      <c r="AB226" s="1094"/>
      <c r="AC226" s="1094"/>
      <c r="AD226" s="1094"/>
      <c r="AE226" s="1101"/>
      <c r="AF226" s="2802"/>
      <c r="AG226" s="2803"/>
      <c r="AH226" s="2803"/>
      <c r="AI226" s="2802"/>
      <c r="AJ226" s="2803"/>
      <c r="AK226" s="2803"/>
      <c r="AL226" s="1900"/>
      <c r="AM226" s="1738"/>
      <c r="AN226" s="1738"/>
      <c r="AO226" s="1738"/>
      <c r="AP226" s="1738"/>
      <c r="AQ226" s="1738"/>
      <c r="AR226" s="1738"/>
      <c r="AS226" s="1738"/>
      <c r="AT226" s="1738"/>
      <c r="AU226" s="1738"/>
      <c r="AV226" s="1738"/>
      <c r="AW226" s="1738"/>
      <c r="AX226" s="1738"/>
      <c r="AY226" s="1738"/>
      <c r="AZ226" s="1738"/>
      <c r="BA226" s="1738"/>
      <c r="BB226" s="1738"/>
      <c r="BC226" s="1738"/>
      <c r="BD226" s="1738"/>
      <c r="BE226" s="1738"/>
      <c r="BF226" s="1738"/>
      <c r="BG226" s="2010"/>
    </row>
    <row r="227" spans="1:59" ht="11.25" customHeight="1">
      <c r="A227" s="1084" t="s">
        <v>984</v>
      </c>
      <c r="B227" s="1084" t="s">
        <v>1018</v>
      </c>
      <c r="C227" s="1084"/>
      <c r="D227" s="1078"/>
      <c r="E227" s="1088"/>
      <c r="F227" s="2791"/>
      <c r="G227" s="2776" t="s">
        <v>680</v>
      </c>
      <c r="H227" s="2787" t="s">
        <v>104</v>
      </c>
      <c r="I227" s="2799" t="s">
        <v>1019</v>
      </c>
      <c r="J227" s="2800" t="s">
        <v>1035</v>
      </c>
      <c r="K227" s="2801" t="s">
        <v>1054</v>
      </c>
      <c r="L227" s="2524" t="s">
        <v>19</v>
      </c>
      <c r="M227" s="2525"/>
      <c r="N227" s="1898"/>
      <c r="O227" s="1095" t="s">
        <v>367</v>
      </c>
      <c r="P227" s="1096"/>
      <c r="Q227" s="1096"/>
      <c r="R227" s="1096"/>
      <c r="S227" s="1096"/>
      <c r="T227" s="1096"/>
      <c r="U227" s="1096"/>
      <c r="V227" s="1096"/>
      <c r="W227" s="1096"/>
      <c r="X227" s="1096"/>
      <c r="Y227" s="1096"/>
      <c r="Z227" s="1096"/>
      <c r="AA227" s="1096"/>
      <c r="AB227" s="1096"/>
      <c r="AC227" s="1096"/>
      <c r="AD227" s="1096"/>
      <c r="AE227" s="1096"/>
      <c r="AF227" s="2802">
        <v>3</v>
      </c>
      <c r="AG227" s="2803" t="s">
        <v>1022</v>
      </c>
      <c r="AH227" s="2803" t="s">
        <v>1023</v>
      </c>
      <c r="AI227" s="2802"/>
      <c r="AJ227" s="2803"/>
      <c r="AK227" s="2803"/>
      <c r="AL227" s="1900"/>
      <c r="AM227" s="1738"/>
      <c r="AN227" s="1738"/>
      <c r="AO227" s="1738"/>
      <c r="AP227" s="1738"/>
      <c r="AQ227" s="1738"/>
      <c r="AR227" s="1738"/>
      <c r="AS227" s="1738"/>
      <c r="AT227" s="1738"/>
      <c r="AU227" s="1738"/>
      <c r="AV227" s="1738"/>
      <c r="AW227" s="1738"/>
      <c r="AX227" s="1738"/>
      <c r="AY227" s="1738"/>
      <c r="AZ227" s="1738"/>
      <c r="BA227" s="1738"/>
      <c r="BB227" s="1738"/>
      <c r="BC227" s="1738"/>
      <c r="BD227" s="1738"/>
      <c r="BE227" s="1738"/>
      <c r="BF227" s="1738"/>
      <c r="BG227" s="2010"/>
    </row>
    <row r="228" spans="1:59" ht="11.25" customHeight="1">
      <c r="A228" s="1084" t="s">
        <v>984</v>
      </c>
      <c r="B228" s="1084"/>
      <c r="C228" s="1084"/>
      <c r="D228" s="1078"/>
      <c r="E228" s="1088"/>
      <c r="F228" s="2791"/>
      <c r="G228" s="2798"/>
      <c r="H228" s="2787" t="s">
        <v>87</v>
      </c>
      <c r="I228" s="2799"/>
      <c r="J228" s="2800"/>
      <c r="K228" s="2801"/>
      <c r="L228" s="2524"/>
      <c r="M228" s="2525"/>
      <c r="N228" s="2804"/>
      <c r="O228" s="2805">
        <v>1</v>
      </c>
      <c r="P228" s="2806" t="s">
        <v>65</v>
      </c>
      <c r="Q228" s="2800" t="s">
        <v>1024</v>
      </c>
      <c r="R228" s="2809" t="s">
        <v>1061</v>
      </c>
      <c r="S228" s="2809" t="s">
        <v>1062</v>
      </c>
      <c r="T228" s="2809" t="s">
        <v>1062</v>
      </c>
      <c r="U228" s="2809" t="s">
        <v>1063</v>
      </c>
      <c r="V228" s="2809" t="s">
        <v>1064</v>
      </c>
      <c r="W228" s="2809" t="s">
        <v>1065</v>
      </c>
      <c r="X228" s="2809" t="s">
        <v>1030</v>
      </c>
      <c r="Y228" s="2809" t="s">
        <v>1031</v>
      </c>
      <c r="Z228" s="1093"/>
      <c r="AA228" s="1094"/>
      <c r="AB228" s="1094"/>
      <c r="AC228" s="1098"/>
      <c r="AD228" s="1098"/>
      <c r="AE228" s="1099"/>
      <c r="AF228" s="2802"/>
      <c r="AG228" s="2803"/>
      <c r="AH228" s="2803"/>
      <c r="AI228" s="2802"/>
      <c r="AJ228" s="2803"/>
      <c r="AK228" s="2803"/>
      <c r="AL228" s="1900"/>
      <c r="AM228" s="1738"/>
      <c r="AN228" s="1738"/>
      <c r="AO228" s="1738"/>
      <c r="AP228" s="1738"/>
      <c r="AQ228" s="1738"/>
      <c r="AR228" s="1738"/>
      <c r="AS228" s="1738"/>
      <c r="AT228" s="1738"/>
      <c r="AU228" s="1738"/>
      <c r="AV228" s="1738"/>
      <c r="AW228" s="1738"/>
      <c r="AX228" s="1738"/>
      <c r="AY228" s="1738"/>
      <c r="AZ228" s="1738"/>
      <c r="BA228" s="1738"/>
      <c r="BB228" s="1738"/>
      <c r="BC228" s="1738"/>
      <c r="BD228" s="1738"/>
      <c r="BE228" s="1738"/>
      <c r="BF228" s="1738"/>
      <c r="BG228" s="2010"/>
    </row>
    <row r="229" spans="1:59" ht="11.25" customHeight="1">
      <c r="A229" s="1084" t="s">
        <v>984</v>
      </c>
      <c r="B229" s="1084"/>
      <c r="C229" s="1084"/>
      <c r="D229" s="1078"/>
      <c r="E229" s="1088"/>
      <c r="F229" s="2791"/>
      <c r="G229" s="2798"/>
      <c r="H229" s="2787" t="s">
        <v>87</v>
      </c>
      <c r="I229" s="2799"/>
      <c r="J229" s="2800"/>
      <c r="K229" s="2801"/>
      <c r="L229" s="2524"/>
      <c r="M229" s="2525"/>
      <c r="N229" s="2804"/>
      <c r="O229" s="2805"/>
      <c r="P229" s="2807"/>
      <c r="Q229" s="2800"/>
      <c r="R229" s="2759"/>
      <c r="S229" s="2809"/>
      <c r="T229" s="2759"/>
      <c r="U229" s="2759"/>
      <c r="V229" s="2759"/>
      <c r="W229" s="2759"/>
      <c r="X229" s="2759"/>
      <c r="Y229" s="2759"/>
      <c r="Z229" s="1743"/>
      <c r="AA229" s="1711">
        <v>1</v>
      </c>
      <c r="AB229" s="1097" t="s">
        <v>1032</v>
      </c>
      <c r="AC229" s="1087">
        <v>7222.5931899999996</v>
      </c>
      <c r="AD229" s="1097" t="str">
        <f>AB229</f>
        <v xml:space="preserve">      Амортизационные отчисления с выделением результатов переоценки основных средств и нематериальных активов</v>
      </c>
      <c r="AE229" s="1087"/>
      <c r="AF229" s="2802"/>
      <c r="AG229" s="2803"/>
      <c r="AH229" s="2803"/>
      <c r="AI229" s="2802"/>
      <c r="AJ229" s="2803"/>
      <c r="AK229" s="2803"/>
      <c r="AL229" s="1900"/>
      <c r="AM229" s="1738"/>
      <c r="AN229" s="1738"/>
      <c r="AO229" s="1738"/>
      <c r="AP229" s="1738"/>
      <c r="AQ229" s="1738"/>
      <c r="AR229" s="1738"/>
      <c r="AS229" s="1738"/>
      <c r="AT229" s="1738"/>
      <c r="AU229" s="1738"/>
      <c r="AV229" s="1738"/>
      <c r="AW229" s="1738"/>
      <c r="AX229" s="1738"/>
      <c r="AY229" s="1738"/>
      <c r="AZ229" s="1738"/>
      <c r="BA229" s="1738"/>
      <c r="BB229" s="1738"/>
      <c r="BC229" s="1738"/>
      <c r="BD229" s="1738"/>
      <c r="BE229" s="1738"/>
      <c r="BF229" s="1738"/>
      <c r="BG229" s="2010"/>
    </row>
    <row r="230" spans="1:59" ht="11.25" customHeight="1">
      <c r="A230" s="1084" t="s">
        <v>984</v>
      </c>
      <c r="B230" s="1084"/>
      <c r="C230" s="1084"/>
      <c r="D230" s="1078"/>
      <c r="E230" s="1088"/>
      <c r="F230" s="2791"/>
      <c r="G230" s="2798"/>
      <c r="H230" s="2787" t="s">
        <v>87</v>
      </c>
      <c r="I230" s="2799"/>
      <c r="J230" s="2800"/>
      <c r="K230" s="2801"/>
      <c r="L230" s="2524"/>
      <c r="M230" s="2525"/>
      <c r="N230" s="2804"/>
      <c r="O230" s="2805"/>
      <c r="P230" s="2808"/>
      <c r="Q230" s="2800"/>
      <c r="R230" s="2759"/>
      <c r="S230" s="2809"/>
      <c r="T230" s="2759"/>
      <c r="U230" s="2759"/>
      <c r="V230" s="2759"/>
      <c r="W230" s="2759"/>
      <c r="X230" s="2759"/>
      <c r="Y230" s="2759"/>
      <c r="Z230" s="1093"/>
      <c r="AA230" s="1094"/>
      <c r="AB230" s="1159" t="s">
        <v>1033</v>
      </c>
      <c r="AC230" s="1098"/>
      <c r="AD230" s="1098"/>
      <c r="AE230" s="1100"/>
      <c r="AF230" s="2802"/>
      <c r="AG230" s="2803"/>
      <c r="AH230" s="2803"/>
      <c r="AI230" s="2802"/>
      <c r="AJ230" s="2803"/>
      <c r="AK230" s="2803"/>
      <c r="AL230" s="1900"/>
      <c r="AM230" s="1738"/>
      <c r="AN230" s="1738"/>
      <c r="AO230" s="1738"/>
      <c r="AP230" s="1738"/>
      <c r="AQ230" s="1738"/>
      <c r="AR230" s="1738"/>
      <c r="AS230" s="1738"/>
      <c r="AT230" s="1738"/>
      <c r="AU230" s="1738"/>
      <c r="AV230" s="1738"/>
      <c r="AW230" s="1738"/>
      <c r="AX230" s="1738"/>
      <c r="AY230" s="1738"/>
      <c r="AZ230" s="1738"/>
      <c r="BA230" s="1738"/>
      <c r="BB230" s="1738"/>
      <c r="BC230" s="1738"/>
      <c r="BD230" s="1738"/>
      <c r="BE230" s="1738"/>
      <c r="BF230" s="1738"/>
      <c r="BG230" s="2010"/>
    </row>
    <row r="231" spans="1:59" ht="11.25" customHeight="1">
      <c r="A231" s="1084" t="s">
        <v>984</v>
      </c>
      <c r="B231" s="1084"/>
      <c r="C231" s="1084"/>
      <c r="D231" s="1078"/>
      <c r="E231" s="1088"/>
      <c r="F231" s="2791"/>
      <c r="G231" s="2798"/>
      <c r="H231" s="2787" t="s">
        <v>87</v>
      </c>
      <c r="I231" s="2799"/>
      <c r="J231" s="2800"/>
      <c r="K231" s="2801"/>
      <c r="L231" s="2524"/>
      <c r="M231" s="2525"/>
      <c r="N231" s="1093"/>
      <c r="O231" s="1094"/>
      <c r="P231" s="1086" t="s">
        <v>1034</v>
      </c>
      <c r="Q231" s="1094"/>
      <c r="R231" s="1094"/>
      <c r="S231" s="1094"/>
      <c r="T231" s="1094"/>
      <c r="U231" s="1094"/>
      <c r="V231" s="1094"/>
      <c r="W231" s="1094"/>
      <c r="X231" s="1094"/>
      <c r="Y231" s="1094"/>
      <c r="Z231" s="1094"/>
      <c r="AA231" s="1094"/>
      <c r="AB231" s="1094"/>
      <c r="AC231" s="1094"/>
      <c r="AD231" s="1094"/>
      <c r="AE231" s="1101"/>
      <c r="AF231" s="2802"/>
      <c r="AG231" s="2803"/>
      <c r="AH231" s="2803"/>
      <c r="AI231" s="2802"/>
      <c r="AJ231" s="2803"/>
      <c r="AK231" s="2803"/>
      <c r="AL231" s="1900"/>
      <c r="AM231" s="1738"/>
      <c r="AN231" s="1738"/>
      <c r="AO231" s="1738"/>
      <c r="AP231" s="1738"/>
      <c r="AQ231" s="1738"/>
      <c r="AR231" s="1738"/>
      <c r="AS231" s="1738"/>
      <c r="AT231" s="1738"/>
      <c r="AU231" s="1738"/>
      <c r="AV231" s="1738"/>
      <c r="AW231" s="1738"/>
      <c r="AX231" s="1738"/>
      <c r="AY231" s="1738"/>
      <c r="AZ231" s="1738"/>
      <c r="BA231" s="1738"/>
      <c r="BB231" s="1738"/>
      <c r="BC231" s="1738"/>
      <c r="BD231" s="1738"/>
      <c r="BE231" s="1738"/>
      <c r="BF231" s="1738"/>
      <c r="BG231" s="2010"/>
    </row>
    <row r="232" spans="1:59" ht="12" customHeight="1">
      <c r="A232" s="1084" t="s">
        <v>984</v>
      </c>
      <c r="B232" s="1084"/>
      <c r="C232" s="1084"/>
      <c r="D232" s="1078"/>
      <c r="E232" s="1088"/>
      <c r="F232" s="2792"/>
      <c r="G232" s="1108"/>
      <c r="H232" s="1108"/>
      <c r="I232" s="2789" t="s">
        <v>1047</v>
      </c>
      <c r="J232" s="2789"/>
      <c r="K232" s="2789"/>
      <c r="L232" s="1091"/>
      <c r="M232" s="1091"/>
      <c r="N232" s="1092"/>
      <c r="O232" s="1092"/>
      <c r="P232" s="1092"/>
      <c r="Q232" s="1092"/>
      <c r="R232" s="1092"/>
      <c r="S232" s="1092"/>
      <c r="T232" s="1092"/>
      <c r="U232" s="1092"/>
      <c r="V232" s="1092"/>
      <c r="W232" s="1092"/>
      <c r="X232" s="1092"/>
      <c r="Y232" s="1092"/>
      <c r="Z232" s="1092"/>
      <c r="AA232" s="1092"/>
      <c r="AB232" s="1092"/>
      <c r="AC232" s="1092"/>
      <c r="AD232" s="1092"/>
      <c r="AE232" s="1092"/>
      <c r="AF232" s="1092"/>
      <c r="AG232" s="1091"/>
      <c r="AH232" s="1091"/>
      <c r="AI232" s="1092"/>
      <c r="AJ232" s="1091"/>
      <c r="AK232" s="1092"/>
      <c r="AL232" s="1900"/>
      <c r="AM232" s="1738"/>
      <c r="AN232" s="1738"/>
      <c r="AO232" s="1738"/>
      <c r="AP232" s="1738"/>
      <c r="AQ232" s="1738"/>
      <c r="AR232" s="1738"/>
      <c r="AS232" s="1738"/>
      <c r="AT232" s="1738"/>
      <c r="AU232" s="1738"/>
      <c r="AV232" s="1738"/>
      <c r="AW232" s="1738"/>
      <c r="AX232" s="1738"/>
      <c r="AY232" s="1738"/>
      <c r="AZ232" s="1738"/>
      <c r="BA232" s="1738"/>
      <c r="BB232" s="1738"/>
      <c r="BC232" s="1738"/>
      <c r="BD232" s="1738"/>
      <c r="BE232" s="1738"/>
      <c r="BF232" s="1738"/>
      <c r="BG232" s="2010"/>
    </row>
    <row r="233" spans="1:59" ht="21" customHeight="1">
      <c r="A233" s="1085" t="s">
        <v>987</v>
      </c>
      <c r="B233" s="1084"/>
      <c r="C233" s="1084"/>
      <c r="D233" s="1078"/>
      <c r="E233" s="1088" t="s">
        <v>22</v>
      </c>
      <c r="F233" s="1041" t="str">
        <f>INDEX(IP_MAIN_LIST_NAME_IP,MATCH(A233,IP_MAIN_LIST_IP_ID,0))&amp;" ("&amp;INDEX(IP_MAIN_START_DATE,MATCH(A233,IP_MAIN_LIST_IP_ID,0))&amp;"-"&amp;INDEX(IP_MAIN_END_DATE,MATCH(A233,IP_MAIN_LIST_IP_ID,0))&amp;")"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G233" s="1042"/>
      <c r="H233" s="1042"/>
      <c r="I233" s="1103"/>
      <c r="J233" s="1103"/>
      <c r="K233" s="1104"/>
      <c r="L233" s="1104"/>
      <c r="M233" s="1104"/>
      <c r="N233" s="1105"/>
      <c r="O233" s="1105"/>
      <c r="P233" s="1105"/>
      <c r="Q233" s="1105"/>
      <c r="R233" s="1105"/>
      <c r="S233" s="1105"/>
      <c r="T233" s="1105"/>
      <c r="U233" s="1105"/>
      <c r="V233" s="1105"/>
      <c r="W233" s="1105"/>
      <c r="X233" s="1105"/>
      <c r="Y233" s="1105"/>
      <c r="Z233" s="1105"/>
      <c r="AA233" s="1105"/>
      <c r="AB233" s="1105"/>
      <c r="AC233" s="1105"/>
      <c r="AD233" s="1105"/>
      <c r="AE233" s="1106"/>
      <c r="AF233" s="1104"/>
      <c r="AG233" s="1104"/>
      <c r="AH233" s="1104"/>
      <c r="AI233" s="1104"/>
      <c r="AJ233" s="1104"/>
      <c r="AK233" s="1104"/>
      <c r="AL233" s="1900"/>
      <c r="AM233" s="1738"/>
      <c r="AN233" s="1738"/>
      <c r="AO233" s="1738"/>
      <c r="AP233" s="1738"/>
      <c r="AQ233" s="1738"/>
      <c r="AR233" s="1738"/>
      <c r="AS233" s="1738"/>
      <c r="AT233" s="1738"/>
      <c r="AU233" s="1738"/>
      <c r="AV233" s="1738"/>
      <c r="AW233" s="1738"/>
      <c r="AX233" s="1738"/>
      <c r="AY233" s="1738"/>
      <c r="AZ233" s="1738"/>
      <c r="BA233" s="1738"/>
      <c r="BB233" s="1738"/>
      <c r="BC233" s="1738"/>
      <c r="BD233" s="1738"/>
      <c r="BE233" s="1738"/>
      <c r="BF233" s="1738"/>
      <c r="BG233" s="2010"/>
    </row>
    <row r="234" spans="1:59" ht="0.75" customHeight="1">
      <c r="A234" s="1084" t="s">
        <v>987</v>
      </c>
      <c r="B234" s="1084"/>
      <c r="C234" s="1084"/>
      <c r="D234" s="1078"/>
      <c r="E234" s="1088"/>
      <c r="F234" s="2790">
        <v>2023</v>
      </c>
      <c r="G234" s="2787"/>
      <c r="H234" s="2794" t="s">
        <v>367</v>
      </c>
      <c r="I234" s="2795"/>
      <c r="J234" s="2786"/>
      <c r="K234" s="2786"/>
      <c r="L234" s="2788"/>
      <c r="M234" s="2639"/>
      <c r="N234" s="1948"/>
      <c r="O234" s="1947"/>
      <c r="P234" s="1948"/>
      <c r="Q234" s="1948"/>
      <c r="R234" s="1948"/>
      <c r="S234" s="1948"/>
      <c r="T234" s="1948"/>
      <c r="U234" s="1948"/>
      <c r="V234" s="1948"/>
      <c r="W234" s="1948"/>
      <c r="X234" s="1948"/>
      <c r="Y234" s="1948"/>
      <c r="Z234" s="1948"/>
      <c r="AA234" s="1948"/>
      <c r="AB234" s="1948"/>
      <c r="AC234" s="1948"/>
      <c r="AD234" s="1948"/>
      <c r="AE234" s="1948"/>
      <c r="AF234" s="2793"/>
      <c r="AG234" s="2788"/>
      <c r="AH234" s="2788"/>
      <c r="AI234" s="2793"/>
      <c r="AJ234" s="2788"/>
      <c r="AK234" s="2788"/>
      <c r="AL234" s="1900"/>
      <c r="AM234" s="1738"/>
      <c r="AN234" s="1738"/>
      <c r="AO234" s="1738"/>
      <c r="AP234" s="1738"/>
      <c r="AQ234" s="1738"/>
      <c r="AR234" s="1738"/>
      <c r="AS234" s="1738"/>
      <c r="AT234" s="1738"/>
      <c r="AU234" s="1738"/>
      <c r="AV234" s="1738"/>
      <c r="AW234" s="1738"/>
      <c r="AX234" s="1738"/>
      <c r="AY234" s="1738"/>
      <c r="AZ234" s="1738"/>
      <c r="BA234" s="1738"/>
      <c r="BB234" s="1738"/>
      <c r="BC234" s="1738"/>
      <c r="BD234" s="1738"/>
      <c r="BE234" s="1738"/>
      <c r="BF234" s="1738"/>
      <c r="BG234" s="2010"/>
    </row>
    <row r="235" spans="1:59" ht="0.75" customHeight="1">
      <c r="A235" s="1084" t="s">
        <v>987</v>
      </c>
      <c r="B235" s="1084"/>
      <c r="C235" s="1084"/>
      <c r="D235" s="1078"/>
      <c r="E235" s="1088"/>
      <c r="F235" s="2790"/>
      <c r="G235" s="2787"/>
      <c r="H235" s="2794"/>
      <c r="I235" s="2795"/>
      <c r="J235" s="2786"/>
      <c r="K235" s="2786"/>
      <c r="L235" s="2788"/>
      <c r="M235" s="2639"/>
      <c r="N235" s="2796"/>
      <c r="O235" s="2797"/>
      <c r="P235" s="2783"/>
      <c r="Q235" s="2786"/>
      <c r="R235" s="2786"/>
      <c r="S235" s="2786"/>
      <c r="T235" s="2786"/>
      <c r="U235" s="2786"/>
      <c r="V235" s="2786"/>
      <c r="W235" s="2786"/>
      <c r="X235" s="2786"/>
      <c r="Y235" s="2786"/>
      <c r="Z235" s="1949"/>
      <c r="AA235" s="1950"/>
      <c r="AB235" s="1950"/>
      <c r="AC235" s="1951"/>
      <c r="AD235" s="1951"/>
      <c r="AE235" s="1952"/>
      <c r="AF235" s="2793"/>
      <c r="AG235" s="2788"/>
      <c r="AH235" s="2788"/>
      <c r="AI235" s="2793"/>
      <c r="AJ235" s="2788"/>
      <c r="AK235" s="2788"/>
      <c r="AL235" s="1900"/>
      <c r="AM235" s="1738"/>
      <c r="AN235" s="1738"/>
      <c r="AO235" s="1738"/>
      <c r="AP235" s="1738"/>
      <c r="AQ235" s="1738"/>
      <c r="AR235" s="1738"/>
      <c r="AS235" s="1738"/>
      <c r="AT235" s="1738"/>
      <c r="AU235" s="1738"/>
      <c r="AV235" s="1738"/>
      <c r="AW235" s="1738"/>
      <c r="AX235" s="1738"/>
      <c r="AY235" s="1738"/>
      <c r="AZ235" s="1738"/>
      <c r="BA235" s="1738"/>
      <c r="BB235" s="1738"/>
      <c r="BC235" s="1738"/>
      <c r="BD235" s="1738"/>
      <c r="BE235" s="1738"/>
      <c r="BF235" s="1738"/>
      <c r="BG235" s="2010"/>
    </row>
    <row r="236" spans="1:59" ht="0.75" customHeight="1">
      <c r="A236" s="1084" t="s">
        <v>987</v>
      </c>
      <c r="B236" s="1084"/>
      <c r="C236" s="1084"/>
      <c r="D236" s="1078"/>
      <c r="E236" s="1088"/>
      <c r="F236" s="2790"/>
      <c r="G236" s="2787"/>
      <c r="H236" s="2794"/>
      <c r="I236" s="2795"/>
      <c r="J236" s="2786"/>
      <c r="K236" s="2786"/>
      <c r="L236" s="2788"/>
      <c r="M236" s="2639"/>
      <c r="N236" s="2796"/>
      <c r="O236" s="2797"/>
      <c r="P236" s="2784"/>
      <c r="Q236" s="2786"/>
      <c r="R236" s="2786"/>
      <c r="S236" s="2786"/>
      <c r="T236" s="2786"/>
      <c r="U236" s="2786"/>
      <c r="V236" s="2786"/>
      <c r="W236" s="2786"/>
      <c r="X236" s="2786"/>
      <c r="Y236" s="2786"/>
      <c r="Z236" s="1953"/>
      <c r="AA236" s="1954"/>
      <c r="AB236" s="1955"/>
      <c r="AC236" s="1956"/>
      <c r="AD236" s="1955"/>
      <c r="AE236" s="1956"/>
      <c r="AF236" s="2793"/>
      <c r="AG236" s="2788"/>
      <c r="AH236" s="2788"/>
      <c r="AI236" s="2793"/>
      <c r="AJ236" s="2788"/>
      <c r="AK236" s="2788"/>
      <c r="AL236" s="1900"/>
      <c r="AM236" s="1738"/>
      <c r="AN236" s="1738"/>
      <c r="AO236" s="1738"/>
      <c r="AP236" s="1738"/>
      <c r="AQ236" s="1738"/>
      <c r="AR236" s="1738"/>
      <c r="AS236" s="1738"/>
      <c r="AT236" s="1738"/>
      <c r="AU236" s="1738"/>
      <c r="AV236" s="1738"/>
      <c r="AW236" s="1738"/>
      <c r="AX236" s="1738"/>
      <c r="AY236" s="1738"/>
      <c r="AZ236" s="1738"/>
      <c r="BA236" s="1738"/>
      <c r="BB236" s="1738"/>
      <c r="BC236" s="1738"/>
      <c r="BD236" s="1738"/>
      <c r="BE236" s="1738"/>
      <c r="BF236" s="1738"/>
      <c r="BG236" s="2010"/>
    </row>
    <row r="237" spans="1:59" ht="0.75" customHeight="1">
      <c r="A237" s="1084" t="s">
        <v>987</v>
      </c>
      <c r="B237" s="1084"/>
      <c r="C237" s="1084"/>
      <c r="D237" s="1078"/>
      <c r="E237" s="1088"/>
      <c r="F237" s="2790"/>
      <c r="G237" s="2787"/>
      <c r="H237" s="2794"/>
      <c r="I237" s="2795"/>
      <c r="J237" s="2786"/>
      <c r="K237" s="2786"/>
      <c r="L237" s="2788"/>
      <c r="M237" s="2639"/>
      <c r="N237" s="2796"/>
      <c r="O237" s="2797"/>
      <c r="P237" s="2785"/>
      <c r="Q237" s="2786"/>
      <c r="R237" s="2786"/>
      <c r="S237" s="2786"/>
      <c r="T237" s="2786"/>
      <c r="U237" s="2786"/>
      <c r="V237" s="2786"/>
      <c r="W237" s="2786"/>
      <c r="X237" s="2786"/>
      <c r="Y237" s="2786"/>
      <c r="Z237" s="1949"/>
      <c r="AA237" s="1950"/>
      <c r="AB237" s="1957"/>
      <c r="AC237" s="1951"/>
      <c r="AD237" s="1951"/>
      <c r="AE237" s="1958"/>
      <c r="AF237" s="2793"/>
      <c r="AG237" s="2788"/>
      <c r="AH237" s="2788"/>
      <c r="AI237" s="2793"/>
      <c r="AJ237" s="2788"/>
      <c r="AK237" s="2788"/>
      <c r="AL237" s="1900"/>
      <c r="AM237" s="1738"/>
      <c r="AN237" s="1738"/>
      <c r="AO237" s="1738"/>
      <c r="AP237" s="1738"/>
      <c r="AQ237" s="1738"/>
      <c r="AR237" s="1738"/>
      <c r="AS237" s="1738"/>
      <c r="AT237" s="1738"/>
      <c r="AU237" s="1738"/>
      <c r="AV237" s="1738"/>
      <c r="AW237" s="1738"/>
      <c r="AX237" s="1738"/>
      <c r="AY237" s="1738"/>
      <c r="AZ237" s="1738"/>
      <c r="BA237" s="1738"/>
      <c r="BB237" s="1738"/>
      <c r="BC237" s="1738"/>
      <c r="BD237" s="1738"/>
      <c r="BE237" s="1738"/>
      <c r="BF237" s="1738"/>
      <c r="BG237" s="2010"/>
    </row>
    <row r="238" spans="1:59" ht="0.75" customHeight="1">
      <c r="A238" s="1084" t="s">
        <v>987</v>
      </c>
      <c r="B238" s="1084"/>
      <c r="C238" s="1084"/>
      <c r="D238" s="1078"/>
      <c r="E238" s="1088"/>
      <c r="F238" s="2790"/>
      <c r="G238" s="2787"/>
      <c r="H238" s="2794"/>
      <c r="I238" s="2795"/>
      <c r="J238" s="2786"/>
      <c r="K238" s="2786"/>
      <c r="L238" s="2788"/>
      <c r="M238" s="2639"/>
      <c r="N238" s="1950"/>
      <c r="O238" s="1950"/>
      <c r="P238" s="1957"/>
      <c r="Q238" s="1950"/>
      <c r="R238" s="1950"/>
      <c r="S238" s="1950"/>
      <c r="T238" s="1950"/>
      <c r="U238" s="1950"/>
      <c r="V238" s="1950"/>
      <c r="W238" s="1950"/>
      <c r="X238" s="1950"/>
      <c r="Y238" s="1950"/>
      <c r="Z238" s="1950"/>
      <c r="AA238" s="1950"/>
      <c r="AB238" s="1950"/>
      <c r="AC238" s="1950"/>
      <c r="AD238" s="1950"/>
      <c r="AE238" s="1959"/>
      <c r="AF238" s="2793"/>
      <c r="AG238" s="2788"/>
      <c r="AH238" s="2788"/>
      <c r="AI238" s="2793"/>
      <c r="AJ238" s="2788"/>
      <c r="AK238" s="2788"/>
      <c r="AL238" s="1900"/>
      <c r="AM238" s="1738"/>
      <c r="AN238" s="1738"/>
      <c r="AO238" s="1738"/>
      <c r="AP238" s="1738"/>
      <c r="AQ238" s="1738"/>
      <c r="AR238" s="1738"/>
      <c r="AS238" s="1738"/>
      <c r="AT238" s="1738"/>
      <c r="AU238" s="1738"/>
      <c r="AV238" s="1738"/>
      <c r="AW238" s="1738"/>
      <c r="AX238" s="1738"/>
      <c r="AY238" s="1738"/>
      <c r="AZ238" s="1738"/>
      <c r="BA238" s="1738"/>
      <c r="BB238" s="1738"/>
      <c r="BC238" s="1738"/>
      <c r="BD238" s="1738"/>
      <c r="BE238" s="1738"/>
      <c r="BF238" s="1738"/>
      <c r="BG238" s="2010"/>
    </row>
    <row r="239" spans="1:59" ht="11.25" customHeight="1">
      <c r="A239" s="1084" t="s">
        <v>987</v>
      </c>
      <c r="B239" s="1084" t="s">
        <v>1018</v>
      </c>
      <c r="C239" s="1084"/>
      <c r="D239" s="1078"/>
      <c r="E239" s="1088"/>
      <c r="F239" s="2791"/>
      <c r="G239" s="2776" t="s">
        <v>680</v>
      </c>
      <c r="H239" s="2787" t="s">
        <v>102</v>
      </c>
      <c r="I239" s="2799" t="s">
        <v>1019</v>
      </c>
      <c r="J239" s="2800" t="s">
        <v>1035</v>
      </c>
      <c r="K239" s="2801" t="s">
        <v>1036</v>
      </c>
      <c r="L239" s="2524" t="s">
        <v>19</v>
      </c>
      <c r="M239" s="2525"/>
      <c r="N239" s="1898"/>
      <c r="O239" s="1095" t="s">
        <v>367</v>
      </c>
      <c r="P239" s="1096"/>
      <c r="Q239" s="1096"/>
      <c r="R239" s="1096"/>
      <c r="S239" s="1096"/>
      <c r="T239" s="1096"/>
      <c r="U239" s="1096"/>
      <c r="V239" s="1096"/>
      <c r="W239" s="1096"/>
      <c r="X239" s="1096"/>
      <c r="Y239" s="1096"/>
      <c r="Z239" s="1096"/>
      <c r="AA239" s="1096"/>
      <c r="AB239" s="1096"/>
      <c r="AC239" s="1096"/>
      <c r="AD239" s="1096"/>
      <c r="AE239" s="1096"/>
      <c r="AF239" s="2802">
        <v>2</v>
      </c>
      <c r="AG239" s="2803" t="s">
        <v>1037</v>
      </c>
      <c r="AH239" s="2803" t="s">
        <v>1038</v>
      </c>
      <c r="AI239" s="2802"/>
      <c r="AJ239" s="2803"/>
      <c r="AK239" s="2803"/>
      <c r="AL239" s="1900"/>
      <c r="AM239" s="1738"/>
      <c r="AN239" s="1738"/>
      <c r="AO239" s="1738"/>
      <c r="AP239" s="1738"/>
      <c r="AQ239" s="1738"/>
      <c r="AR239" s="1738"/>
      <c r="AS239" s="1738"/>
      <c r="AT239" s="1738"/>
      <c r="AU239" s="1738"/>
      <c r="AV239" s="1738"/>
      <c r="AW239" s="1738"/>
      <c r="AX239" s="1738"/>
      <c r="AY239" s="1738"/>
      <c r="AZ239" s="1738"/>
      <c r="BA239" s="1738"/>
      <c r="BB239" s="1738"/>
      <c r="BC239" s="1738"/>
      <c r="BD239" s="1738"/>
      <c r="BE239" s="1738"/>
      <c r="BF239" s="1738"/>
      <c r="BG239" s="2010"/>
    </row>
    <row r="240" spans="1:59" ht="11.25" customHeight="1">
      <c r="A240" s="1084" t="s">
        <v>987</v>
      </c>
      <c r="B240" s="1084"/>
      <c r="C240" s="1084"/>
      <c r="D240" s="1078"/>
      <c r="E240" s="1088"/>
      <c r="F240" s="2791"/>
      <c r="G240" s="2798"/>
      <c r="H240" s="2787" t="s">
        <v>367</v>
      </c>
      <c r="I240" s="2799"/>
      <c r="J240" s="2800"/>
      <c r="K240" s="2801"/>
      <c r="L240" s="2524"/>
      <c r="M240" s="2525"/>
      <c r="N240" s="2804"/>
      <c r="O240" s="2805">
        <v>1</v>
      </c>
      <c r="P240" s="2806" t="s">
        <v>65</v>
      </c>
      <c r="Q240" s="2800" t="s">
        <v>1024</v>
      </c>
      <c r="R240" s="2809" t="s">
        <v>1061</v>
      </c>
      <c r="S240" s="2809" t="s">
        <v>1062</v>
      </c>
      <c r="T240" s="2809" t="s">
        <v>1062</v>
      </c>
      <c r="U240" s="2809" t="s">
        <v>1063</v>
      </c>
      <c r="V240" s="2809" t="s">
        <v>1064</v>
      </c>
      <c r="W240" s="2809" t="s">
        <v>1065</v>
      </c>
      <c r="X240" s="2809" t="s">
        <v>1030</v>
      </c>
      <c r="Y240" s="2809" t="s">
        <v>1031</v>
      </c>
      <c r="Z240" s="1093"/>
      <c r="AA240" s="1094"/>
      <c r="AB240" s="1094"/>
      <c r="AC240" s="1098"/>
      <c r="AD240" s="1098"/>
      <c r="AE240" s="1099"/>
      <c r="AF240" s="2802"/>
      <c r="AG240" s="2803"/>
      <c r="AH240" s="2803"/>
      <c r="AI240" s="2802"/>
      <c r="AJ240" s="2803"/>
      <c r="AK240" s="2803"/>
      <c r="AL240" s="1900"/>
      <c r="AM240" s="1738"/>
      <c r="AN240" s="1738"/>
      <c r="AO240" s="1738"/>
      <c r="AP240" s="1738"/>
      <c r="AQ240" s="1738"/>
      <c r="AR240" s="1738"/>
      <c r="AS240" s="1738"/>
      <c r="AT240" s="1738"/>
      <c r="AU240" s="1738"/>
      <c r="AV240" s="1738"/>
      <c r="AW240" s="1738"/>
      <c r="AX240" s="1738"/>
      <c r="AY240" s="1738"/>
      <c r="AZ240" s="1738"/>
      <c r="BA240" s="1738"/>
      <c r="BB240" s="1738"/>
      <c r="BC240" s="1738"/>
      <c r="BD240" s="1738"/>
      <c r="BE240" s="1738"/>
      <c r="BF240" s="1738"/>
      <c r="BG240" s="2010"/>
    </row>
    <row r="241" spans="1:59" ht="11.25" customHeight="1">
      <c r="A241" s="1084" t="s">
        <v>987</v>
      </c>
      <c r="B241" s="1084"/>
      <c r="C241" s="1084"/>
      <c r="D241" s="1078"/>
      <c r="E241" s="1088"/>
      <c r="F241" s="2791"/>
      <c r="G241" s="2798"/>
      <c r="H241" s="2787" t="s">
        <v>367</v>
      </c>
      <c r="I241" s="2799"/>
      <c r="J241" s="2800"/>
      <c r="K241" s="2801"/>
      <c r="L241" s="2524"/>
      <c r="M241" s="2525"/>
      <c r="N241" s="2804"/>
      <c r="O241" s="2805"/>
      <c r="P241" s="2807"/>
      <c r="Q241" s="2800"/>
      <c r="R241" s="2759"/>
      <c r="S241" s="2809"/>
      <c r="T241" s="2759"/>
      <c r="U241" s="2759"/>
      <c r="V241" s="2759"/>
      <c r="W241" s="2759"/>
      <c r="X241" s="2759"/>
      <c r="Y241" s="2759"/>
      <c r="Z241" s="1743"/>
      <c r="AA241" s="1711">
        <v>1</v>
      </c>
      <c r="AB241" s="1097" t="s">
        <v>1032</v>
      </c>
      <c r="AC241" s="1087">
        <v>3305.05213</v>
      </c>
      <c r="AD241" s="1097" t="str">
        <f>AB241</f>
        <v xml:space="preserve">      Амортизационные отчисления с выделением результатов переоценки основных средств и нематериальных активов</v>
      </c>
      <c r="AE241" s="1087"/>
      <c r="AF241" s="2802"/>
      <c r="AG241" s="2803"/>
      <c r="AH241" s="2803"/>
      <c r="AI241" s="2802"/>
      <c r="AJ241" s="2803"/>
      <c r="AK241" s="2803"/>
      <c r="AL241" s="1900"/>
      <c r="AM241" s="1738"/>
      <c r="AN241" s="1738"/>
      <c r="AO241" s="1738"/>
      <c r="AP241" s="1738"/>
      <c r="AQ241" s="1738"/>
      <c r="AR241" s="1738"/>
      <c r="AS241" s="1738"/>
      <c r="AT241" s="1738"/>
      <c r="AU241" s="1738"/>
      <c r="AV241" s="1738"/>
      <c r="AW241" s="1738"/>
      <c r="AX241" s="1738"/>
      <c r="AY241" s="1738"/>
      <c r="AZ241" s="1738"/>
      <c r="BA241" s="1738"/>
      <c r="BB241" s="1738"/>
      <c r="BC241" s="1738"/>
      <c r="BD241" s="1738"/>
      <c r="BE241" s="1738"/>
      <c r="BF241" s="1738"/>
      <c r="BG241" s="2010"/>
    </row>
    <row r="242" spans="1:59" ht="11.25" customHeight="1">
      <c r="A242" s="1084" t="s">
        <v>987</v>
      </c>
      <c r="B242" s="1084"/>
      <c r="C242" s="1084"/>
      <c r="D242" s="1078"/>
      <c r="E242" s="1088"/>
      <c r="F242" s="2791"/>
      <c r="G242" s="2798"/>
      <c r="H242" s="2787" t="s">
        <v>367</v>
      </c>
      <c r="I242" s="2799"/>
      <c r="J242" s="2800"/>
      <c r="K242" s="2801"/>
      <c r="L242" s="2524"/>
      <c r="M242" s="2525"/>
      <c r="N242" s="2804"/>
      <c r="O242" s="2805"/>
      <c r="P242" s="2808"/>
      <c r="Q242" s="2800"/>
      <c r="R242" s="2759"/>
      <c r="S242" s="2809"/>
      <c r="T242" s="2759"/>
      <c r="U242" s="2759"/>
      <c r="V242" s="2759"/>
      <c r="W242" s="2759"/>
      <c r="X242" s="2759"/>
      <c r="Y242" s="2759"/>
      <c r="Z242" s="1093"/>
      <c r="AA242" s="1094"/>
      <c r="AB242" s="1159" t="s">
        <v>1033</v>
      </c>
      <c r="AC242" s="1098"/>
      <c r="AD242" s="1098"/>
      <c r="AE242" s="1100"/>
      <c r="AF242" s="2802"/>
      <c r="AG242" s="2803"/>
      <c r="AH242" s="2803"/>
      <c r="AI242" s="2802"/>
      <c r="AJ242" s="2803"/>
      <c r="AK242" s="2803"/>
      <c r="AL242" s="1900"/>
      <c r="AM242" s="1738"/>
      <c r="AN242" s="1738"/>
      <c r="AO242" s="1738"/>
      <c r="AP242" s="1738"/>
      <c r="AQ242" s="1738"/>
      <c r="AR242" s="1738"/>
      <c r="AS242" s="1738"/>
      <c r="AT242" s="1738"/>
      <c r="AU242" s="1738"/>
      <c r="AV242" s="1738"/>
      <c r="AW242" s="1738"/>
      <c r="AX242" s="1738"/>
      <c r="AY242" s="1738"/>
      <c r="AZ242" s="1738"/>
      <c r="BA242" s="1738"/>
      <c r="BB242" s="1738"/>
      <c r="BC242" s="1738"/>
      <c r="BD242" s="1738"/>
      <c r="BE242" s="1738"/>
      <c r="BF242" s="1738"/>
      <c r="BG242" s="2010"/>
    </row>
    <row r="243" spans="1:59" ht="11.25" customHeight="1">
      <c r="A243" s="1084" t="s">
        <v>987</v>
      </c>
      <c r="B243" s="1084"/>
      <c r="C243" s="1084"/>
      <c r="D243" s="1078"/>
      <c r="E243" s="1088"/>
      <c r="F243" s="2791"/>
      <c r="G243" s="2798"/>
      <c r="H243" s="2787" t="s">
        <v>367</v>
      </c>
      <c r="I243" s="2799"/>
      <c r="J243" s="2800"/>
      <c r="K243" s="2801"/>
      <c r="L243" s="2524"/>
      <c r="M243" s="2525"/>
      <c r="N243" s="1093"/>
      <c r="O243" s="1094"/>
      <c r="P243" s="1086" t="s">
        <v>1034</v>
      </c>
      <c r="Q243" s="1094"/>
      <c r="R243" s="1094"/>
      <c r="S243" s="1094"/>
      <c r="T243" s="1094"/>
      <c r="U243" s="1094"/>
      <c r="V243" s="1094"/>
      <c r="W243" s="1094"/>
      <c r="X243" s="1094"/>
      <c r="Y243" s="1094"/>
      <c r="Z243" s="1094"/>
      <c r="AA243" s="1094"/>
      <c r="AB243" s="1094"/>
      <c r="AC243" s="1094"/>
      <c r="AD243" s="1094"/>
      <c r="AE243" s="1101"/>
      <c r="AF243" s="2802"/>
      <c r="AG243" s="2803"/>
      <c r="AH243" s="2803"/>
      <c r="AI243" s="2802"/>
      <c r="AJ243" s="2803"/>
      <c r="AK243" s="2803"/>
      <c r="AL243" s="1900"/>
      <c r="AM243" s="1738"/>
      <c r="AN243" s="1738"/>
      <c r="AO243" s="1738"/>
      <c r="AP243" s="1738"/>
      <c r="AQ243" s="1738"/>
      <c r="AR243" s="1738"/>
      <c r="AS243" s="1738"/>
      <c r="AT243" s="1738"/>
      <c r="AU243" s="1738"/>
      <c r="AV243" s="1738"/>
      <c r="AW243" s="1738"/>
      <c r="AX243" s="1738"/>
      <c r="AY243" s="1738"/>
      <c r="AZ243" s="1738"/>
      <c r="BA243" s="1738"/>
      <c r="BB243" s="1738"/>
      <c r="BC243" s="1738"/>
      <c r="BD243" s="1738"/>
      <c r="BE243" s="1738"/>
      <c r="BF243" s="1738"/>
      <c r="BG243" s="2010"/>
    </row>
    <row r="244" spans="1:59" ht="11.25" customHeight="1">
      <c r="A244" s="1084" t="s">
        <v>987</v>
      </c>
      <c r="B244" s="1084" t="s">
        <v>1018</v>
      </c>
      <c r="C244" s="1084"/>
      <c r="D244" s="1078"/>
      <c r="E244" s="1088"/>
      <c r="F244" s="2791"/>
      <c r="G244" s="2776" t="s">
        <v>680</v>
      </c>
      <c r="H244" s="2787" t="s">
        <v>103</v>
      </c>
      <c r="I244" s="2799" t="s">
        <v>1019</v>
      </c>
      <c r="J244" s="2800" t="s">
        <v>1035</v>
      </c>
      <c r="K244" s="2801" t="s">
        <v>1039</v>
      </c>
      <c r="L244" s="2524" t="s">
        <v>19</v>
      </c>
      <c r="M244" s="2525"/>
      <c r="N244" s="1898"/>
      <c r="O244" s="1095" t="s">
        <v>367</v>
      </c>
      <c r="P244" s="1096"/>
      <c r="Q244" s="1096"/>
      <c r="R244" s="1096"/>
      <c r="S244" s="1096"/>
      <c r="T244" s="1096"/>
      <c r="U244" s="1096"/>
      <c r="V244" s="1096"/>
      <c r="W244" s="1096"/>
      <c r="X244" s="1096"/>
      <c r="Y244" s="1096"/>
      <c r="Z244" s="1096"/>
      <c r="AA244" s="1096"/>
      <c r="AB244" s="1096"/>
      <c r="AC244" s="1096"/>
      <c r="AD244" s="1096"/>
      <c r="AE244" s="1096"/>
      <c r="AF244" s="2802">
        <v>4</v>
      </c>
      <c r="AG244" s="2803" t="s">
        <v>1022</v>
      </c>
      <c r="AH244" s="2803" t="s">
        <v>1040</v>
      </c>
      <c r="AI244" s="2802"/>
      <c r="AJ244" s="2803"/>
      <c r="AK244" s="2803"/>
      <c r="AL244" s="1900"/>
      <c r="AM244" s="1738"/>
      <c r="AN244" s="1738"/>
      <c r="AO244" s="1738"/>
      <c r="AP244" s="1738"/>
      <c r="AQ244" s="1738"/>
      <c r="AR244" s="1738"/>
      <c r="AS244" s="1738"/>
      <c r="AT244" s="1738"/>
      <c r="AU244" s="1738"/>
      <c r="AV244" s="1738"/>
      <c r="AW244" s="1738"/>
      <c r="AX244" s="1738"/>
      <c r="AY244" s="1738"/>
      <c r="AZ244" s="1738"/>
      <c r="BA244" s="1738"/>
      <c r="BB244" s="1738"/>
      <c r="BC244" s="1738"/>
      <c r="BD244" s="1738"/>
      <c r="BE244" s="1738"/>
      <c r="BF244" s="1738"/>
      <c r="BG244" s="2010"/>
    </row>
    <row r="245" spans="1:59" ht="11.25" customHeight="1">
      <c r="A245" s="1084" t="s">
        <v>987</v>
      </c>
      <c r="B245" s="1084"/>
      <c r="C245" s="1084"/>
      <c r="D245" s="1078"/>
      <c r="E245" s="1088"/>
      <c r="F245" s="2791"/>
      <c r="G245" s="2798"/>
      <c r="H245" s="2787" t="s">
        <v>102</v>
      </c>
      <c r="I245" s="2799"/>
      <c r="J245" s="2800"/>
      <c r="K245" s="2801"/>
      <c r="L245" s="2524"/>
      <c r="M245" s="2525"/>
      <c r="N245" s="2804"/>
      <c r="O245" s="2805">
        <v>1</v>
      </c>
      <c r="P245" s="2806" t="s">
        <v>65</v>
      </c>
      <c r="Q245" s="2800" t="s">
        <v>1024</v>
      </c>
      <c r="R245" s="2809" t="s">
        <v>1061</v>
      </c>
      <c r="S245" s="2809" t="s">
        <v>1062</v>
      </c>
      <c r="T245" s="2809" t="s">
        <v>1062</v>
      </c>
      <c r="U245" s="2809" t="s">
        <v>1063</v>
      </c>
      <c r="V245" s="2809" t="s">
        <v>1064</v>
      </c>
      <c r="W245" s="2809" t="s">
        <v>1065</v>
      </c>
      <c r="X245" s="2809" t="s">
        <v>1030</v>
      </c>
      <c r="Y245" s="2809" t="s">
        <v>1031</v>
      </c>
      <c r="Z245" s="1093"/>
      <c r="AA245" s="1094"/>
      <c r="AB245" s="1094"/>
      <c r="AC245" s="1098"/>
      <c r="AD245" s="1098"/>
      <c r="AE245" s="1099"/>
      <c r="AF245" s="2802"/>
      <c r="AG245" s="2803"/>
      <c r="AH245" s="2803"/>
      <c r="AI245" s="2802"/>
      <c r="AJ245" s="2803"/>
      <c r="AK245" s="2803"/>
      <c r="AL245" s="1900"/>
      <c r="AM245" s="1738"/>
      <c r="AN245" s="1738"/>
      <c r="AO245" s="1738"/>
      <c r="AP245" s="1738"/>
      <c r="AQ245" s="1738"/>
      <c r="AR245" s="1738"/>
      <c r="AS245" s="1738"/>
      <c r="AT245" s="1738"/>
      <c r="AU245" s="1738"/>
      <c r="AV245" s="1738"/>
      <c r="AW245" s="1738"/>
      <c r="AX245" s="1738"/>
      <c r="AY245" s="1738"/>
      <c r="AZ245" s="1738"/>
      <c r="BA245" s="1738"/>
      <c r="BB245" s="1738"/>
      <c r="BC245" s="1738"/>
      <c r="BD245" s="1738"/>
      <c r="BE245" s="1738"/>
      <c r="BF245" s="1738"/>
      <c r="BG245" s="2010"/>
    </row>
    <row r="246" spans="1:59" ht="11.25" customHeight="1">
      <c r="A246" s="1084" t="s">
        <v>987</v>
      </c>
      <c r="B246" s="1084"/>
      <c r="C246" s="1084"/>
      <c r="D246" s="1078"/>
      <c r="E246" s="1088"/>
      <c r="F246" s="2791"/>
      <c r="G246" s="2798"/>
      <c r="H246" s="2787" t="s">
        <v>102</v>
      </c>
      <c r="I246" s="2799"/>
      <c r="J246" s="2800"/>
      <c r="K246" s="2801"/>
      <c r="L246" s="2524"/>
      <c r="M246" s="2525"/>
      <c r="N246" s="2804"/>
      <c r="O246" s="2805"/>
      <c r="P246" s="2807"/>
      <c r="Q246" s="2800"/>
      <c r="R246" s="2759"/>
      <c r="S246" s="2809"/>
      <c r="T246" s="2759"/>
      <c r="U246" s="2759"/>
      <c r="V246" s="2759"/>
      <c r="W246" s="2759"/>
      <c r="X246" s="2759"/>
      <c r="Y246" s="2759"/>
      <c r="Z246" s="1743"/>
      <c r="AA246" s="1711">
        <v>1</v>
      </c>
      <c r="AB246" s="1097" t="s">
        <v>1032</v>
      </c>
      <c r="AC246" s="1087">
        <v>1625.432</v>
      </c>
      <c r="AD246" s="1097" t="str">
        <f>AB246</f>
        <v xml:space="preserve">      Амортизационные отчисления с выделением результатов переоценки основных средств и нематериальных активов</v>
      </c>
      <c r="AE246" s="1087"/>
      <c r="AF246" s="2802"/>
      <c r="AG246" s="2803"/>
      <c r="AH246" s="2803"/>
      <c r="AI246" s="2802"/>
      <c r="AJ246" s="2803"/>
      <c r="AK246" s="2803"/>
      <c r="AL246" s="1900"/>
      <c r="AM246" s="1738"/>
      <c r="AN246" s="1738"/>
      <c r="AO246" s="1738"/>
      <c r="AP246" s="1738"/>
      <c r="AQ246" s="1738"/>
      <c r="AR246" s="1738"/>
      <c r="AS246" s="1738"/>
      <c r="AT246" s="1738"/>
      <c r="AU246" s="1738"/>
      <c r="AV246" s="1738"/>
      <c r="AW246" s="1738"/>
      <c r="AX246" s="1738"/>
      <c r="AY246" s="1738"/>
      <c r="AZ246" s="1738"/>
      <c r="BA246" s="1738"/>
      <c r="BB246" s="1738"/>
      <c r="BC246" s="1738"/>
      <c r="BD246" s="1738"/>
      <c r="BE246" s="1738"/>
      <c r="BF246" s="1738"/>
      <c r="BG246" s="2010"/>
    </row>
    <row r="247" spans="1:59" ht="11.25" customHeight="1">
      <c r="A247" s="1084" t="s">
        <v>987</v>
      </c>
      <c r="B247" s="1084"/>
      <c r="C247" s="1084"/>
      <c r="D247" s="1078"/>
      <c r="E247" s="1088"/>
      <c r="F247" s="2791"/>
      <c r="G247" s="2798"/>
      <c r="H247" s="2787" t="s">
        <v>102</v>
      </c>
      <c r="I247" s="2799"/>
      <c r="J247" s="2800"/>
      <c r="K247" s="2801"/>
      <c r="L247" s="2524"/>
      <c r="M247" s="2525"/>
      <c r="N247" s="2804"/>
      <c r="O247" s="2805"/>
      <c r="P247" s="2808"/>
      <c r="Q247" s="2800"/>
      <c r="R247" s="2759"/>
      <c r="S247" s="2809"/>
      <c r="T247" s="2759"/>
      <c r="U247" s="2759"/>
      <c r="V247" s="2759"/>
      <c r="W247" s="2759"/>
      <c r="X247" s="2759"/>
      <c r="Y247" s="2759"/>
      <c r="Z247" s="1093"/>
      <c r="AA247" s="1094"/>
      <c r="AB247" s="1159" t="s">
        <v>1033</v>
      </c>
      <c r="AC247" s="1098"/>
      <c r="AD247" s="1098"/>
      <c r="AE247" s="1100"/>
      <c r="AF247" s="2802"/>
      <c r="AG247" s="2803"/>
      <c r="AH247" s="2803"/>
      <c r="AI247" s="2802"/>
      <c r="AJ247" s="2803"/>
      <c r="AK247" s="2803"/>
      <c r="AL247" s="1900"/>
      <c r="AM247" s="1738"/>
      <c r="AN247" s="1738"/>
      <c r="AO247" s="1738"/>
      <c r="AP247" s="1738"/>
      <c r="AQ247" s="1738"/>
      <c r="AR247" s="1738"/>
      <c r="AS247" s="1738"/>
      <c r="AT247" s="1738"/>
      <c r="AU247" s="1738"/>
      <c r="AV247" s="1738"/>
      <c r="AW247" s="1738"/>
      <c r="AX247" s="1738"/>
      <c r="AY247" s="1738"/>
      <c r="AZ247" s="1738"/>
      <c r="BA247" s="1738"/>
      <c r="BB247" s="1738"/>
      <c r="BC247" s="1738"/>
      <c r="BD247" s="1738"/>
      <c r="BE247" s="1738"/>
      <c r="BF247" s="1738"/>
      <c r="BG247" s="2010"/>
    </row>
    <row r="248" spans="1:59" ht="11.25" customHeight="1">
      <c r="A248" s="1084" t="s">
        <v>987</v>
      </c>
      <c r="B248" s="1084"/>
      <c r="C248" s="1084"/>
      <c r="D248" s="1078"/>
      <c r="E248" s="1088"/>
      <c r="F248" s="2791"/>
      <c r="G248" s="2798"/>
      <c r="H248" s="2787" t="s">
        <v>102</v>
      </c>
      <c r="I248" s="2799"/>
      <c r="J248" s="2800"/>
      <c r="K248" s="2801"/>
      <c r="L248" s="2524"/>
      <c r="M248" s="2525"/>
      <c r="N248" s="1093"/>
      <c r="O248" s="1094"/>
      <c r="P248" s="1086" t="s">
        <v>1034</v>
      </c>
      <c r="Q248" s="1094"/>
      <c r="R248" s="1094"/>
      <c r="S248" s="1094"/>
      <c r="T248" s="1094"/>
      <c r="U248" s="1094"/>
      <c r="V248" s="1094"/>
      <c r="W248" s="1094"/>
      <c r="X248" s="1094"/>
      <c r="Y248" s="1094"/>
      <c r="Z248" s="1094"/>
      <c r="AA248" s="1094"/>
      <c r="AB248" s="1094"/>
      <c r="AC248" s="1094"/>
      <c r="AD248" s="1094"/>
      <c r="AE248" s="1101"/>
      <c r="AF248" s="2802"/>
      <c r="AG248" s="2803"/>
      <c r="AH248" s="2803"/>
      <c r="AI248" s="2802"/>
      <c r="AJ248" s="2803"/>
      <c r="AK248" s="2803"/>
      <c r="AL248" s="1900"/>
      <c r="AM248" s="1738"/>
      <c r="AN248" s="1738"/>
      <c r="AO248" s="1738"/>
      <c r="AP248" s="1738"/>
      <c r="AQ248" s="1738"/>
      <c r="AR248" s="1738"/>
      <c r="AS248" s="1738"/>
      <c r="AT248" s="1738"/>
      <c r="AU248" s="1738"/>
      <c r="AV248" s="1738"/>
      <c r="AW248" s="1738"/>
      <c r="AX248" s="1738"/>
      <c r="AY248" s="1738"/>
      <c r="AZ248" s="1738"/>
      <c r="BA248" s="1738"/>
      <c r="BB248" s="1738"/>
      <c r="BC248" s="1738"/>
      <c r="BD248" s="1738"/>
      <c r="BE248" s="1738"/>
      <c r="BF248" s="1738"/>
      <c r="BG248" s="2010"/>
    </row>
    <row r="249" spans="1:59" ht="11.25" customHeight="1">
      <c r="A249" s="1084" t="s">
        <v>987</v>
      </c>
      <c r="B249" s="1084" t="s">
        <v>1018</v>
      </c>
      <c r="C249" s="1084"/>
      <c r="D249" s="1078"/>
      <c r="E249" s="1088"/>
      <c r="F249" s="2791"/>
      <c r="G249" s="2776" t="s">
        <v>680</v>
      </c>
      <c r="H249" s="2787" t="s">
        <v>86</v>
      </c>
      <c r="I249" s="2799" t="s">
        <v>1019</v>
      </c>
      <c r="J249" s="2800" t="s">
        <v>1035</v>
      </c>
      <c r="K249" s="2801" t="s">
        <v>1041</v>
      </c>
      <c r="L249" s="2524" t="s">
        <v>19</v>
      </c>
      <c r="M249" s="2525"/>
      <c r="N249" s="1898"/>
      <c r="O249" s="1095" t="s">
        <v>367</v>
      </c>
      <c r="P249" s="1096"/>
      <c r="Q249" s="1096"/>
      <c r="R249" s="1096"/>
      <c r="S249" s="1096"/>
      <c r="T249" s="1096"/>
      <c r="U249" s="1096"/>
      <c r="V249" s="1096"/>
      <c r="W249" s="1096"/>
      <c r="X249" s="1096"/>
      <c r="Y249" s="1096"/>
      <c r="Z249" s="1096"/>
      <c r="AA249" s="1096"/>
      <c r="AB249" s="1096"/>
      <c r="AC249" s="1096"/>
      <c r="AD249" s="1096"/>
      <c r="AE249" s="1096"/>
      <c r="AF249" s="2802">
        <v>1</v>
      </c>
      <c r="AG249" s="2803" t="s">
        <v>1022</v>
      </c>
      <c r="AH249" s="2803" t="s">
        <v>1042</v>
      </c>
      <c r="AI249" s="2802"/>
      <c r="AJ249" s="2803"/>
      <c r="AK249" s="2803"/>
      <c r="AL249" s="1900"/>
      <c r="AM249" s="1738"/>
      <c r="AN249" s="1738"/>
      <c r="AO249" s="1738"/>
      <c r="AP249" s="1738"/>
      <c r="AQ249" s="1738"/>
      <c r="AR249" s="1738"/>
      <c r="AS249" s="1738"/>
      <c r="AT249" s="1738"/>
      <c r="AU249" s="1738"/>
      <c r="AV249" s="1738"/>
      <c r="AW249" s="1738"/>
      <c r="AX249" s="1738"/>
      <c r="AY249" s="1738"/>
      <c r="AZ249" s="1738"/>
      <c r="BA249" s="1738"/>
      <c r="BB249" s="1738"/>
      <c r="BC249" s="1738"/>
      <c r="BD249" s="1738"/>
      <c r="BE249" s="1738"/>
      <c r="BF249" s="1738"/>
      <c r="BG249" s="2010"/>
    </row>
    <row r="250" spans="1:59" ht="11.25" customHeight="1">
      <c r="A250" s="1084" t="s">
        <v>987</v>
      </c>
      <c r="B250" s="1084"/>
      <c r="C250" s="1084"/>
      <c r="D250" s="1078"/>
      <c r="E250" s="1088"/>
      <c r="F250" s="2791"/>
      <c r="G250" s="2798"/>
      <c r="H250" s="2787" t="s">
        <v>103</v>
      </c>
      <c r="I250" s="2799"/>
      <c r="J250" s="2800"/>
      <c r="K250" s="2801"/>
      <c r="L250" s="2524"/>
      <c r="M250" s="2525"/>
      <c r="N250" s="2804"/>
      <c r="O250" s="2805">
        <v>1</v>
      </c>
      <c r="P250" s="2806" t="s">
        <v>65</v>
      </c>
      <c r="Q250" s="2800" t="s">
        <v>1024</v>
      </c>
      <c r="R250" s="2809" t="s">
        <v>1061</v>
      </c>
      <c r="S250" s="2809" t="s">
        <v>1062</v>
      </c>
      <c r="T250" s="2809" t="s">
        <v>1062</v>
      </c>
      <c r="U250" s="2809" t="s">
        <v>1063</v>
      </c>
      <c r="V250" s="2809" t="s">
        <v>1064</v>
      </c>
      <c r="W250" s="2809" t="s">
        <v>1065</v>
      </c>
      <c r="X250" s="2809" t="s">
        <v>1030</v>
      </c>
      <c r="Y250" s="2809" t="s">
        <v>1031</v>
      </c>
      <c r="Z250" s="1093"/>
      <c r="AA250" s="1094"/>
      <c r="AB250" s="1094"/>
      <c r="AC250" s="1098"/>
      <c r="AD250" s="1098"/>
      <c r="AE250" s="1099"/>
      <c r="AF250" s="2802"/>
      <c r="AG250" s="2803"/>
      <c r="AH250" s="2803"/>
      <c r="AI250" s="2802"/>
      <c r="AJ250" s="2803"/>
      <c r="AK250" s="2803"/>
      <c r="AL250" s="1900"/>
      <c r="AM250" s="1738"/>
      <c r="AN250" s="1738"/>
      <c r="AO250" s="1738"/>
      <c r="AP250" s="1738"/>
      <c r="AQ250" s="1738"/>
      <c r="AR250" s="1738"/>
      <c r="AS250" s="1738"/>
      <c r="AT250" s="1738"/>
      <c r="AU250" s="1738"/>
      <c r="AV250" s="1738"/>
      <c r="AW250" s="1738"/>
      <c r="AX250" s="1738"/>
      <c r="AY250" s="1738"/>
      <c r="AZ250" s="1738"/>
      <c r="BA250" s="1738"/>
      <c r="BB250" s="1738"/>
      <c r="BC250" s="1738"/>
      <c r="BD250" s="1738"/>
      <c r="BE250" s="1738"/>
      <c r="BF250" s="1738"/>
      <c r="BG250" s="2010"/>
    </row>
    <row r="251" spans="1:59" ht="11.25" customHeight="1">
      <c r="A251" s="1084" t="s">
        <v>987</v>
      </c>
      <c r="B251" s="1084"/>
      <c r="C251" s="1084"/>
      <c r="D251" s="1078"/>
      <c r="E251" s="1088"/>
      <c r="F251" s="2791"/>
      <c r="G251" s="2798"/>
      <c r="H251" s="2787" t="s">
        <v>103</v>
      </c>
      <c r="I251" s="2799"/>
      <c r="J251" s="2800"/>
      <c r="K251" s="2801"/>
      <c r="L251" s="2524"/>
      <c r="M251" s="2525"/>
      <c r="N251" s="2804"/>
      <c r="O251" s="2805"/>
      <c r="P251" s="2807"/>
      <c r="Q251" s="2800"/>
      <c r="R251" s="2759"/>
      <c r="S251" s="2809"/>
      <c r="T251" s="2759"/>
      <c r="U251" s="2759"/>
      <c r="V251" s="2759"/>
      <c r="W251" s="2759"/>
      <c r="X251" s="2759"/>
      <c r="Y251" s="2759"/>
      <c r="Z251" s="1743"/>
      <c r="AA251" s="1711">
        <v>1</v>
      </c>
      <c r="AB251" s="1097" t="s">
        <v>1032</v>
      </c>
      <c r="AC251" s="1087">
        <v>2265.2833099999998</v>
      </c>
      <c r="AD251" s="1097" t="str">
        <f>AB251</f>
        <v xml:space="preserve">      Амортизационные отчисления с выделением результатов переоценки основных средств и нематериальных активов</v>
      </c>
      <c r="AE251" s="1087"/>
      <c r="AF251" s="2802"/>
      <c r="AG251" s="2803"/>
      <c r="AH251" s="2803"/>
      <c r="AI251" s="2802"/>
      <c r="AJ251" s="2803"/>
      <c r="AK251" s="2803"/>
      <c r="AL251" s="1900"/>
      <c r="AM251" s="1738"/>
      <c r="AN251" s="1738"/>
      <c r="AO251" s="1738"/>
      <c r="AP251" s="1738"/>
      <c r="AQ251" s="1738"/>
      <c r="AR251" s="1738"/>
      <c r="AS251" s="1738"/>
      <c r="AT251" s="1738"/>
      <c r="AU251" s="1738"/>
      <c r="AV251" s="1738"/>
      <c r="AW251" s="1738"/>
      <c r="AX251" s="1738"/>
      <c r="AY251" s="1738"/>
      <c r="AZ251" s="1738"/>
      <c r="BA251" s="1738"/>
      <c r="BB251" s="1738"/>
      <c r="BC251" s="1738"/>
      <c r="BD251" s="1738"/>
      <c r="BE251" s="1738"/>
      <c r="BF251" s="1738"/>
      <c r="BG251" s="2010"/>
    </row>
    <row r="252" spans="1:59" ht="11.25" customHeight="1">
      <c r="A252" s="1084" t="s">
        <v>987</v>
      </c>
      <c r="B252" s="1084"/>
      <c r="C252" s="1084"/>
      <c r="D252" s="1078"/>
      <c r="E252" s="1088"/>
      <c r="F252" s="2791"/>
      <c r="G252" s="2798"/>
      <c r="H252" s="2787" t="s">
        <v>103</v>
      </c>
      <c r="I252" s="2799"/>
      <c r="J252" s="2800"/>
      <c r="K252" s="2801"/>
      <c r="L252" s="2524"/>
      <c r="M252" s="2525"/>
      <c r="N252" s="2804"/>
      <c r="O252" s="2805"/>
      <c r="P252" s="2808"/>
      <c r="Q252" s="2800"/>
      <c r="R252" s="2759"/>
      <c r="S252" s="2809"/>
      <c r="T252" s="2759"/>
      <c r="U252" s="2759"/>
      <c r="V252" s="2759"/>
      <c r="W252" s="2759"/>
      <c r="X252" s="2759"/>
      <c r="Y252" s="2759"/>
      <c r="Z252" s="1093"/>
      <c r="AA252" s="1094"/>
      <c r="AB252" s="1159" t="s">
        <v>1033</v>
      </c>
      <c r="AC252" s="1098"/>
      <c r="AD252" s="1098"/>
      <c r="AE252" s="1100"/>
      <c r="AF252" s="2802"/>
      <c r="AG252" s="2803"/>
      <c r="AH252" s="2803"/>
      <c r="AI252" s="2802"/>
      <c r="AJ252" s="2803"/>
      <c r="AK252" s="2803"/>
      <c r="AL252" s="1900"/>
      <c r="AM252" s="1738"/>
      <c r="AN252" s="1738"/>
      <c r="AO252" s="1738"/>
      <c r="AP252" s="1738"/>
      <c r="AQ252" s="1738"/>
      <c r="AR252" s="1738"/>
      <c r="AS252" s="1738"/>
      <c r="AT252" s="1738"/>
      <c r="AU252" s="1738"/>
      <c r="AV252" s="1738"/>
      <c r="AW252" s="1738"/>
      <c r="AX252" s="1738"/>
      <c r="AY252" s="1738"/>
      <c r="AZ252" s="1738"/>
      <c r="BA252" s="1738"/>
      <c r="BB252" s="1738"/>
      <c r="BC252" s="1738"/>
      <c r="BD252" s="1738"/>
      <c r="BE252" s="1738"/>
      <c r="BF252" s="1738"/>
      <c r="BG252" s="2010"/>
    </row>
    <row r="253" spans="1:59" ht="11.25" customHeight="1">
      <c r="A253" s="1084" t="s">
        <v>987</v>
      </c>
      <c r="B253" s="1084"/>
      <c r="C253" s="1084"/>
      <c r="D253" s="1078"/>
      <c r="E253" s="1088"/>
      <c r="F253" s="2791"/>
      <c r="G253" s="2798"/>
      <c r="H253" s="2787" t="s">
        <v>103</v>
      </c>
      <c r="I253" s="2799"/>
      <c r="J253" s="2800"/>
      <c r="K253" s="2801"/>
      <c r="L253" s="2524"/>
      <c r="M253" s="2525"/>
      <c r="N253" s="1093"/>
      <c r="O253" s="1094"/>
      <c r="P253" s="1086" t="s">
        <v>1034</v>
      </c>
      <c r="Q253" s="1094"/>
      <c r="R253" s="1094"/>
      <c r="S253" s="1094"/>
      <c r="T253" s="1094"/>
      <c r="U253" s="1094"/>
      <c r="V253" s="1094"/>
      <c r="W253" s="1094"/>
      <c r="X253" s="1094"/>
      <c r="Y253" s="1094"/>
      <c r="Z253" s="1094"/>
      <c r="AA253" s="1094"/>
      <c r="AB253" s="1094"/>
      <c r="AC253" s="1094"/>
      <c r="AD253" s="1094"/>
      <c r="AE253" s="1101"/>
      <c r="AF253" s="2802"/>
      <c r="AG253" s="2803"/>
      <c r="AH253" s="2803"/>
      <c r="AI253" s="2802"/>
      <c r="AJ253" s="2803"/>
      <c r="AK253" s="2803"/>
      <c r="AL253" s="1900"/>
      <c r="AM253" s="1738"/>
      <c r="AN253" s="1738"/>
      <c r="AO253" s="1738"/>
      <c r="AP253" s="1738"/>
      <c r="AQ253" s="1738"/>
      <c r="AR253" s="1738"/>
      <c r="AS253" s="1738"/>
      <c r="AT253" s="1738"/>
      <c r="AU253" s="1738"/>
      <c r="AV253" s="1738"/>
      <c r="AW253" s="1738"/>
      <c r="AX253" s="1738"/>
      <c r="AY253" s="1738"/>
      <c r="AZ253" s="1738"/>
      <c r="BA253" s="1738"/>
      <c r="BB253" s="1738"/>
      <c r="BC253" s="1738"/>
      <c r="BD253" s="1738"/>
      <c r="BE253" s="1738"/>
      <c r="BF253" s="1738"/>
      <c r="BG253" s="2010"/>
    </row>
    <row r="254" spans="1:59" ht="11.25" customHeight="1">
      <c r="A254" s="1084" t="s">
        <v>987</v>
      </c>
      <c r="B254" s="1084" t="s">
        <v>1018</v>
      </c>
      <c r="C254" s="1084"/>
      <c r="D254" s="1078"/>
      <c r="E254" s="1088"/>
      <c r="F254" s="2791"/>
      <c r="G254" s="2776" t="s">
        <v>680</v>
      </c>
      <c r="H254" s="2787" t="s">
        <v>87</v>
      </c>
      <c r="I254" s="2799" t="s">
        <v>1019</v>
      </c>
      <c r="J254" s="2800" t="s">
        <v>1035</v>
      </c>
      <c r="K254" s="2801" t="s">
        <v>1043</v>
      </c>
      <c r="L254" s="2524" t="s">
        <v>19</v>
      </c>
      <c r="M254" s="2525"/>
      <c r="N254" s="1898"/>
      <c r="O254" s="1095" t="s">
        <v>367</v>
      </c>
      <c r="P254" s="1096"/>
      <c r="Q254" s="1096"/>
      <c r="R254" s="1096"/>
      <c r="S254" s="1096"/>
      <c r="T254" s="1096"/>
      <c r="U254" s="1096"/>
      <c r="V254" s="1096"/>
      <c r="W254" s="1096"/>
      <c r="X254" s="1096"/>
      <c r="Y254" s="1096"/>
      <c r="Z254" s="1096"/>
      <c r="AA254" s="1096"/>
      <c r="AB254" s="1096"/>
      <c r="AC254" s="1096"/>
      <c r="AD254" s="1096"/>
      <c r="AE254" s="1096"/>
      <c r="AF254" s="2802">
        <v>4</v>
      </c>
      <c r="AG254" s="2803" t="s">
        <v>1022</v>
      </c>
      <c r="AH254" s="2803" t="s">
        <v>1040</v>
      </c>
      <c r="AI254" s="2802"/>
      <c r="AJ254" s="2803"/>
      <c r="AK254" s="2803"/>
      <c r="AL254" s="1900"/>
      <c r="AM254" s="1738"/>
      <c r="AN254" s="1738"/>
      <c r="AO254" s="1738"/>
      <c r="AP254" s="1738"/>
      <c r="AQ254" s="1738"/>
      <c r="AR254" s="1738"/>
      <c r="AS254" s="1738"/>
      <c r="AT254" s="1738"/>
      <c r="AU254" s="1738"/>
      <c r="AV254" s="1738"/>
      <c r="AW254" s="1738"/>
      <c r="AX254" s="1738"/>
      <c r="AY254" s="1738"/>
      <c r="AZ254" s="1738"/>
      <c r="BA254" s="1738"/>
      <c r="BB254" s="1738"/>
      <c r="BC254" s="1738"/>
      <c r="BD254" s="1738"/>
      <c r="BE254" s="1738"/>
      <c r="BF254" s="1738"/>
      <c r="BG254" s="2010"/>
    </row>
    <row r="255" spans="1:59" ht="11.25" customHeight="1">
      <c r="A255" s="1084" t="s">
        <v>987</v>
      </c>
      <c r="B255" s="1084"/>
      <c r="C255" s="1084"/>
      <c r="D255" s="1078"/>
      <c r="E255" s="1088"/>
      <c r="F255" s="2791"/>
      <c r="G255" s="2798"/>
      <c r="H255" s="2787" t="s">
        <v>86</v>
      </c>
      <c r="I255" s="2799"/>
      <c r="J255" s="2800"/>
      <c r="K255" s="2801"/>
      <c r="L255" s="2524"/>
      <c r="M255" s="2525"/>
      <c r="N255" s="2804"/>
      <c r="O255" s="2805">
        <v>1</v>
      </c>
      <c r="P255" s="2806" t="s">
        <v>65</v>
      </c>
      <c r="Q255" s="2800" t="s">
        <v>1024</v>
      </c>
      <c r="R255" s="2809" t="s">
        <v>1061</v>
      </c>
      <c r="S255" s="2809" t="s">
        <v>1062</v>
      </c>
      <c r="T255" s="2809" t="s">
        <v>1062</v>
      </c>
      <c r="U255" s="2809" t="s">
        <v>1063</v>
      </c>
      <c r="V255" s="2809" t="s">
        <v>1064</v>
      </c>
      <c r="W255" s="2809" t="s">
        <v>1065</v>
      </c>
      <c r="X255" s="2809" t="s">
        <v>1030</v>
      </c>
      <c r="Y255" s="2809" t="s">
        <v>1031</v>
      </c>
      <c r="Z255" s="1093"/>
      <c r="AA255" s="1094"/>
      <c r="AB255" s="1094"/>
      <c r="AC255" s="1098"/>
      <c r="AD255" s="1098"/>
      <c r="AE255" s="1099"/>
      <c r="AF255" s="2802"/>
      <c r="AG255" s="2803"/>
      <c r="AH255" s="2803"/>
      <c r="AI255" s="2802"/>
      <c r="AJ255" s="2803"/>
      <c r="AK255" s="2803"/>
      <c r="AL255" s="1900"/>
      <c r="AM255" s="1738"/>
      <c r="AN255" s="1738"/>
      <c r="AO255" s="1738"/>
      <c r="AP255" s="1738"/>
      <c r="AQ255" s="1738"/>
      <c r="AR255" s="1738"/>
      <c r="AS255" s="1738"/>
      <c r="AT255" s="1738"/>
      <c r="AU255" s="1738"/>
      <c r="AV255" s="1738"/>
      <c r="AW255" s="1738"/>
      <c r="AX255" s="1738"/>
      <c r="AY255" s="1738"/>
      <c r="AZ255" s="1738"/>
      <c r="BA255" s="1738"/>
      <c r="BB255" s="1738"/>
      <c r="BC255" s="1738"/>
      <c r="BD255" s="1738"/>
      <c r="BE255" s="1738"/>
      <c r="BF255" s="1738"/>
      <c r="BG255" s="2010"/>
    </row>
    <row r="256" spans="1:59" ht="11.25" customHeight="1">
      <c r="A256" s="1084" t="s">
        <v>987</v>
      </c>
      <c r="B256" s="1084"/>
      <c r="C256" s="1084"/>
      <c r="D256" s="1078"/>
      <c r="E256" s="1088"/>
      <c r="F256" s="2791"/>
      <c r="G256" s="2798"/>
      <c r="H256" s="2787" t="s">
        <v>86</v>
      </c>
      <c r="I256" s="2799"/>
      <c r="J256" s="2800"/>
      <c r="K256" s="2801"/>
      <c r="L256" s="2524"/>
      <c r="M256" s="2525"/>
      <c r="N256" s="2804"/>
      <c r="O256" s="2805"/>
      <c r="P256" s="2807"/>
      <c r="Q256" s="2800"/>
      <c r="R256" s="2759"/>
      <c r="S256" s="2809"/>
      <c r="T256" s="2759"/>
      <c r="U256" s="2759"/>
      <c r="V256" s="2759"/>
      <c r="W256" s="2759"/>
      <c r="X256" s="2759"/>
      <c r="Y256" s="2759"/>
      <c r="Z256" s="1743"/>
      <c r="AA256" s="1711">
        <v>1</v>
      </c>
      <c r="AB256" s="1097" t="s">
        <v>1032</v>
      </c>
      <c r="AC256" s="1087">
        <v>341.34071999999998</v>
      </c>
      <c r="AD256" s="1097" t="str">
        <f>AB256</f>
        <v xml:space="preserve">      Амортизационные отчисления с выделением результатов переоценки основных средств и нематериальных активов</v>
      </c>
      <c r="AE256" s="1087"/>
      <c r="AF256" s="2802"/>
      <c r="AG256" s="2803"/>
      <c r="AH256" s="2803"/>
      <c r="AI256" s="2802"/>
      <c r="AJ256" s="2803"/>
      <c r="AK256" s="2803"/>
      <c r="AL256" s="1900"/>
      <c r="AM256" s="1738"/>
      <c r="AN256" s="1738"/>
      <c r="AO256" s="1738"/>
      <c r="AP256" s="1738"/>
      <c r="AQ256" s="1738"/>
      <c r="AR256" s="1738"/>
      <c r="AS256" s="1738"/>
      <c r="AT256" s="1738"/>
      <c r="AU256" s="1738"/>
      <c r="AV256" s="1738"/>
      <c r="AW256" s="1738"/>
      <c r="AX256" s="1738"/>
      <c r="AY256" s="1738"/>
      <c r="AZ256" s="1738"/>
      <c r="BA256" s="1738"/>
      <c r="BB256" s="1738"/>
      <c r="BC256" s="1738"/>
      <c r="BD256" s="1738"/>
      <c r="BE256" s="1738"/>
      <c r="BF256" s="1738"/>
      <c r="BG256" s="2010"/>
    </row>
    <row r="257" spans="1:59" ht="11.25" customHeight="1">
      <c r="A257" s="1084" t="s">
        <v>987</v>
      </c>
      <c r="B257" s="1084"/>
      <c r="C257" s="1084"/>
      <c r="D257" s="1078"/>
      <c r="E257" s="1088"/>
      <c r="F257" s="2791"/>
      <c r="G257" s="2798"/>
      <c r="H257" s="2787" t="s">
        <v>86</v>
      </c>
      <c r="I257" s="2799"/>
      <c r="J257" s="2800"/>
      <c r="K257" s="2801"/>
      <c r="L257" s="2524"/>
      <c r="M257" s="2525"/>
      <c r="N257" s="2804"/>
      <c r="O257" s="2805"/>
      <c r="P257" s="2808"/>
      <c r="Q257" s="2800"/>
      <c r="R257" s="2759"/>
      <c r="S257" s="2809"/>
      <c r="T257" s="2759"/>
      <c r="U257" s="2759"/>
      <c r="V257" s="2759"/>
      <c r="W257" s="2759"/>
      <c r="X257" s="2759"/>
      <c r="Y257" s="2759"/>
      <c r="Z257" s="1093"/>
      <c r="AA257" s="1094"/>
      <c r="AB257" s="1159" t="s">
        <v>1033</v>
      </c>
      <c r="AC257" s="1098"/>
      <c r="AD257" s="1098"/>
      <c r="AE257" s="1100"/>
      <c r="AF257" s="2802"/>
      <c r="AG257" s="2803"/>
      <c r="AH257" s="2803"/>
      <c r="AI257" s="2802"/>
      <c r="AJ257" s="2803"/>
      <c r="AK257" s="2803"/>
      <c r="AL257" s="1900"/>
      <c r="AM257" s="1738"/>
      <c r="AN257" s="1738"/>
      <c r="AO257" s="1738"/>
      <c r="AP257" s="1738"/>
      <c r="AQ257" s="1738"/>
      <c r="AR257" s="1738"/>
      <c r="AS257" s="1738"/>
      <c r="AT257" s="1738"/>
      <c r="AU257" s="1738"/>
      <c r="AV257" s="1738"/>
      <c r="AW257" s="1738"/>
      <c r="AX257" s="1738"/>
      <c r="AY257" s="1738"/>
      <c r="AZ257" s="1738"/>
      <c r="BA257" s="1738"/>
      <c r="BB257" s="1738"/>
      <c r="BC257" s="1738"/>
      <c r="BD257" s="1738"/>
      <c r="BE257" s="1738"/>
      <c r="BF257" s="1738"/>
      <c r="BG257" s="2010"/>
    </row>
    <row r="258" spans="1:59" ht="11.25" customHeight="1">
      <c r="A258" s="1084" t="s">
        <v>987</v>
      </c>
      <c r="B258" s="1084"/>
      <c r="C258" s="1084"/>
      <c r="D258" s="1078"/>
      <c r="E258" s="1088"/>
      <c r="F258" s="2791"/>
      <c r="G258" s="2798"/>
      <c r="H258" s="2787" t="s">
        <v>86</v>
      </c>
      <c r="I258" s="2799"/>
      <c r="J258" s="2800"/>
      <c r="K258" s="2801"/>
      <c r="L258" s="2524"/>
      <c r="M258" s="2525"/>
      <c r="N258" s="1093"/>
      <c r="O258" s="1094"/>
      <c r="P258" s="1086" t="s">
        <v>1034</v>
      </c>
      <c r="Q258" s="1094"/>
      <c r="R258" s="1094"/>
      <c r="S258" s="1094"/>
      <c r="T258" s="1094"/>
      <c r="U258" s="1094"/>
      <c r="V258" s="1094"/>
      <c r="W258" s="1094"/>
      <c r="X258" s="1094"/>
      <c r="Y258" s="1094"/>
      <c r="Z258" s="1094"/>
      <c r="AA258" s="1094"/>
      <c r="AB258" s="1094"/>
      <c r="AC258" s="1094"/>
      <c r="AD258" s="1094"/>
      <c r="AE258" s="1101"/>
      <c r="AF258" s="2802"/>
      <c r="AG258" s="2803"/>
      <c r="AH258" s="2803"/>
      <c r="AI258" s="2802"/>
      <c r="AJ258" s="2803"/>
      <c r="AK258" s="2803"/>
      <c r="AL258" s="1900"/>
      <c r="AM258" s="1738"/>
      <c r="AN258" s="1738"/>
      <c r="AO258" s="1738"/>
      <c r="AP258" s="1738"/>
      <c r="AQ258" s="1738"/>
      <c r="AR258" s="1738"/>
      <c r="AS258" s="1738"/>
      <c r="AT258" s="1738"/>
      <c r="AU258" s="1738"/>
      <c r="AV258" s="1738"/>
      <c r="AW258" s="1738"/>
      <c r="AX258" s="1738"/>
      <c r="AY258" s="1738"/>
      <c r="AZ258" s="1738"/>
      <c r="BA258" s="1738"/>
      <c r="BB258" s="1738"/>
      <c r="BC258" s="1738"/>
      <c r="BD258" s="1738"/>
      <c r="BE258" s="1738"/>
      <c r="BF258" s="1738"/>
      <c r="BG258" s="2010"/>
    </row>
    <row r="259" spans="1:59" ht="11.25" customHeight="1">
      <c r="A259" s="1084" t="s">
        <v>987</v>
      </c>
      <c r="B259" s="1084" t="s">
        <v>1018</v>
      </c>
      <c r="C259" s="1084"/>
      <c r="D259" s="1078"/>
      <c r="E259" s="1088"/>
      <c r="F259" s="2791"/>
      <c r="G259" s="2776" t="s">
        <v>680</v>
      </c>
      <c r="H259" s="2787" t="s">
        <v>104</v>
      </c>
      <c r="I259" s="2799" t="s">
        <v>1019</v>
      </c>
      <c r="J259" s="2800" t="s">
        <v>1035</v>
      </c>
      <c r="K259" s="2801" t="s">
        <v>1044</v>
      </c>
      <c r="L259" s="2524" t="s">
        <v>19</v>
      </c>
      <c r="M259" s="2525"/>
      <c r="N259" s="1898"/>
      <c r="O259" s="1095" t="s">
        <v>367</v>
      </c>
      <c r="P259" s="1096"/>
      <c r="Q259" s="1096"/>
      <c r="R259" s="1096"/>
      <c r="S259" s="1096"/>
      <c r="T259" s="1096"/>
      <c r="U259" s="1096"/>
      <c r="V259" s="1096"/>
      <c r="W259" s="1096"/>
      <c r="X259" s="1096"/>
      <c r="Y259" s="1096"/>
      <c r="Z259" s="1096"/>
      <c r="AA259" s="1096"/>
      <c r="AB259" s="1096"/>
      <c r="AC259" s="1096"/>
      <c r="AD259" s="1096"/>
      <c r="AE259" s="1096"/>
      <c r="AF259" s="2802">
        <v>5</v>
      </c>
      <c r="AG259" s="2803" t="s">
        <v>1022</v>
      </c>
      <c r="AH259" s="2803" t="s">
        <v>1045</v>
      </c>
      <c r="AI259" s="2802"/>
      <c r="AJ259" s="2803"/>
      <c r="AK259" s="2803"/>
      <c r="AL259" s="1900"/>
      <c r="AM259" s="1738"/>
      <c r="AN259" s="1738"/>
      <c r="AO259" s="1738"/>
      <c r="AP259" s="1738"/>
      <c r="AQ259" s="1738"/>
      <c r="AR259" s="1738"/>
      <c r="AS259" s="1738"/>
      <c r="AT259" s="1738"/>
      <c r="AU259" s="1738"/>
      <c r="AV259" s="1738"/>
      <c r="AW259" s="1738"/>
      <c r="AX259" s="1738"/>
      <c r="AY259" s="1738"/>
      <c r="AZ259" s="1738"/>
      <c r="BA259" s="1738"/>
      <c r="BB259" s="1738"/>
      <c r="BC259" s="1738"/>
      <c r="BD259" s="1738"/>
      <c r="BE259" s="1738"/>
      <c r="BF259" s="1738"/>
      <c r="BG259" s="2010"/>
    </row>
    <row r="260" spans="1:59" ht="11.25" customHeight="1">
      <c r="A260" s="1084" t="s">
        <v>987</v>
      </c>
      <c r="B260" s="1084"/>
      <c r="C260" s="1084"/>
      <c r="D260" s="1078"/>
      <c r="E260" s="1088"/>
      <c r="F260" s="2791"/>
      <c r="G260" s="2798"/>
      <c r="H260" s="2787" t="s">
        <v>87</v>
      </c>
      <c r="I260" s="2799"/>
      <c r="J260" s="2800"/>
      <c r="K260" s="2801"/>
      <c r="L260" s="2524"/>
      <c r="M260" s="2525"/>
      <c r="N260" s="2804"/>
      <c r="O260" s="2805">
        <v>1</v>
      </c>
      <c r="P260" s="2806" t="s">
        <v>65</v>
      </c>
      <c r="Q260" s="2800" t="s">
        <v>1024</v>
      </c>
      <c r="R260" s="2809" t="s">
        <v>1061</v>
      </c>
      <c r="S260" s="2809" t="s">
        <v>1062</v>
      </c>
      <c r="T260" s="2809" t="s">
        <v>1062</v>
      </c>
      <c r="U260" s="2809" t="s">
        <v>1063</v>
      </c>
      <c r="V260" s="2809" t="s">
        <v>1064</v>
      </c>
      <c r="W260" s="2809" t="s">
        <v>1065</v>
      </c>
      <c r="X260" s="2809" t="s">
        <v>1030</v>
      </c>
      <c r="Y260" s="2809" t="s">
        <v>1031</v>
      </c>
      <c r="Z260" s="1093"/>
      <c r="AA260" s="1094"/>
      <c r="AB260" s="1094"/>
      <c r="AC260" s="1098"/>
      <c r="AD260" s="1098"/>
      <c r="AE260" s="1099"/>
      <c r="AF260" s="2802"/>
      <c r="AG260" s="2803"/>
      <c r="AH260" s="2803"/>
      <c r="AI260" s="2802"/>
      <c r="AJ260" s="2803"/>
      <c r="AK260" s="2803"/>
      <c r="AL260" s="1900"/>
      <c r="AM260" s="1738"/>
      <c r="AN260" s="1738"/>
      <c r="AO260" s="1738"/>
      <c r="AP260" s="1738"/>
      <c r="AQ260" s="1738"/>
      <c r="AR260" s="1738"/>
      <c r="AS260" s="1738"/>
      <c r="AT260" s="1738"/>
      <c r="AU260" s="1738"/>
      <c r="AV260" s="1738"/>
      <c r="AW260" s="1738"/>
      <c r="AX260" s="1738"/>
      <c r="AY260" s="1738"/>
      <c r="AZ260" s="1738"/>
      <c r="BA260" s="1738"/>
      <c r="BB260" s="1738"/>
      <c r="BC260" s="1738"/>
      <c r="BD260" s="1738"/>
      <c r="BE260" s="1738"/>
      <c r="BF260" s="1738"/>
      <c r="BG260" s="2010"/>
    </row>
    <row r="261" spans="1:59" ht="11.25" customHeight="1">
      <c r="A261" s="1084" t="s">
        <v>987</v>
      </c>
      <c r="B261" s="1084"/>
      <c r="C261" s="1084"/>
      <c r="D261" s="1078"/>
      <c r="E261" s="1088"/>
      <c r="F261" s="2791"/>
      <c r="G261" s="2798"/>
      <c r="H261" s="2787" t="s">
        <v>87</v>
      </c>
      <c r="I261" s="2799"/>
      <c r="J261" s="2800"/>
      <c r="K261" s="2801"/>
      <c r="L261" s="2524"/>
      <c r="M261" s="2525"/>
      <c r="N261" s="2804"/>
      <c r="O261" s="2805"/>
      <c r="P261" s="2807"/>
      <c r="Q261" s="2800"/>
      <c r="R261" s="2759"/>
      <c r="S261" s="2809"/>
      <c r="T261" s="2759"/>
      <c r="U261" s="2759"/>
      <c r="V261" s="2759"/>
      <c r="W261" s="2759"/>
      <c r="X261" s="2759"/>
      <c r="Y261" s="2759"/>
      <c r="Z261" s="1743"/>
      <c r="AA261" s="1711">
        <v>1</v>
      </c>
      <c r="AB261" s="1097" t="s">
        <v>1032</v>
      </c>
      <c r="AC261" s="1087">
        <v>6322.0654599999998</v>
      </c>
      <c r="AD261" s="1097" t="str">
        <f>AB261</f>
        <v xml:space="preserve">      Амортизационные отчисления с выделением результатов переоценки основных средств и нематериальных активов</v>
      </c>
      <c r="AE261" s="1087"/>
      <c r="AF261" s="2802"/>
      <c r="AG261" s="2803"/>
      <c r="AH261" s="2803"/>
      <c r="AI261" s="2802"/>
      <c r="AJ261" s="2803"/>
      <c r="AK261" s="2803"/>
      <c r="AL261" s="1900"/>
      <c r="AM261" s="1738"/>
      <c r="AN261" s="1738"/>
      <c r="AO261" s="1738"/>
      <c r="AP261" s="1738"/>
      <c r="AQ261" s="1738"/>
      <c r="AR261" s="1738"/>
      <c r="AS261" s="1738"/>
      <c r="AT261" s="1738"/>
      <c r="AU261" s="1738"/>
      <c r="AV261" s="1738"/>
      <c r="AW261" s="1738"/>
      <c r="AX261" s="1738"/>
      <c r="AY261" s="1738"/>
      <c r="AZ261" s="1738"/>
      <c r="BA261" s="1738"/>
      <c r="BB261" s="1738"/>
      <c r="BC261" s="1738"/>
      <c r="BD261" s="1738"/>
      <c r="BE261" s="1738"/>
      <c r="BF261" s="1738"/>
      <c r="BG261" s="2010"/>
    </row>
    <row r="262" spans="1:59" ht="11.25" customHeight="1">
      <c r="A262" s="1084" t="s">
        <v>987</v>
      </c>
      <c r="B262" s="1084"/>
      <c r="C262" s="1084"/>
      <c r="D262" s="1078"/>
      <c r="E262" s="1088"/>
      <c r="F262" s="2791"/>
      <c r="G262" s="2798"/>
      <c r="H262" s="2787" t="s">
        <v>87</v>
      </c>
      <c r="I262" s="2799"/>
      <c r="J262" s="2800"/>
      <c r="K262" s="2801"/>
      <c r="L262" s="2524"/>
      <c r="M262" s="2525"/>
      <c r="N262" s="2804"/>
      <c r="O262" s="2805"/>
      <c r="P262" s="2808"/>
      <c r="Q262" s="2800"/>
      <c r="R262" s="2759"/>
      <c r="S262" s="2809"/>
      <c r="T262" s="2759"/>
      <c r="U262" s="2759"/>
      <c r="V262" s="2759"/>
      <c r="W262" s="2759"/>
      <c r="X262" s="2759"/>
      <c r="Y262" s="2759"/>
      <c r="Z262" s="1093"/>
      <c r="AA262" s="1094"/>
      <c r="AB262" s="1159" t="s">
        <v>1033</v>
      </c>
      <c r="AC262" s="1098"/>
      <c r="AD262" s="1098"/>
      <c r="AE262" s="1100"/>
      <c r="AF262" s="2802"/>
      <c r="AG262" s="2803"/>
      <c r="AH262" s="2803"/>
      <c r="AI262" s="2802"/>
      <c r="AJ262" s="2803"/>
      <c r="AK262" s="2803"/>
      <c r="AL262" s="1900"/>
      <c r="AM262" s="1738"/>
      <c r="AN262" s="1738"/>
      <c r="AO262" s="1738"/>
      <c r="AP262" s="1738"/>
      <c r="AQ262" s="1738"/>
      <c r="AR262" s="1738"/>
      <c r="AS262" s="1738"/>
      <c r="AT262" s="1738"/>
      <c r="AU262" s="1738"/>
      <c r="AV262" s="1738"/>
      <c r="AW262" s="1738"/>
      <c r="AX262" s="1738"/>
      <c r="AY262" s="1738"/>
      <c r="AZ262" s="1738"/>
      <c r="BA262" s="1738"/>
      <c r="BB262" s="1738"/>
      <c r="BC262" s="1738"/>
      <c r="BD262" s="1738"/>
      <c r="BE262" s="1738"/>
      <c r="BF262" s="1738"/>
      <c r="BG262" s="2010"/>
    </row>
    <row r="263" spans="1:59" ht="11.25" customHeight="1">
      <c r="A263" s="1084" t="s">
        <v>987</v>
      </c>
      <c r="B263" s="1084"/>
      <c r="C263" s="1084"/>
      <c r="D263" s="1078"/>
      <c r="E263" s="1088"/>
      <c r="F263" s="2791"/>
      <c r="G263" s="2798"/>
      <c r="H263" s="2787" t="s">
        <v>87</v>
      </c>
      <c r="I263" s="2799"/>
      <c r="J263" s="2800"/>
      <c r="K263" s="2801"/>
      <c r="L263" s="2524"/>
      <c r="M263" s="2525"/>
      <c r="N263" s="1093"/>
      <c r="O263" s="1094"/>
      <c r="P263" s="1086" t="s">
        <v>1034</v>
      </c>
      <c r="Q263" s="1094"/>
      <c r="R263" s="1094"/>
      <c r="S263" s="1094"/>
      <c r="T263" s="1094"/>
      <c r="U263" s="1094"/>
      <c r="V263" s="1094"/>
      <c r="W263" s="1094"/>
      <c r="X263" s="1094"/>
      <c r="Y263" s="1094"/>
      <c r="Z263" s="1094"/>
      <c r="AA263" s="1094"/>
      <c r="AB263" s="1094"/>
      <c r="AC263" s="1094"/>
      <c r="AD263" s="1094"/>
      <c r="AE263" s="1101"/>
      <c r="AF263" s="2802"/>
      <c r="AG263" s="2803"/>
      <c r="AH263" s="2803"/>
      <c r="AI263" s="2802"/>
      <c r="AJ263" s="2803"/>
      <c r="AK263" s="2803"/>
      <c r="AL263" s="1900"/>
      <c r="AM263" s="1738"/>
      <c r="AN263" s="1738"/>
      <c r="AO263" s="1738"/>
      <c r="AP263" s="1738"/>
      <c r="AQ263" s="1738"/>
      <c r="AR263" s="1738"/>
      <c r="AS263" s="1738"/>
      <c r="AT263" s="1738"/>
      <c r="AU263" s="1738"/>
      <c r="AV263" s="1738"/>
      <c r="AW263" s="1738"/>
      <c r="AX263" s="1738"/>
      <c r="AY263" s="1738"/>
      <c r="AZ263" s="1738"/>
      <c r="BA263" s="1738"/>
      <c r="BB263" s="1738"/>
      <c r="BC263" s="1738"/>
      <c r="BD263" s="1738"/>
      <c r="BE263" s="1738"/>
      <c r="BF263" s="1738"/>
      <c r="BG263" s="2010"/>
    </row>
    <row r="264" spans="1:59" ht="11.25" customHeight="1">
      <c r="A264" s="1084" t="s">
        <v>987</v>
      </c>
      <c r="B264" s="1084" t="s">
        <v>1018</v>
      </c>
      <c r="C264" s="1084"/>
      <c r="D264" s="1078"/>
      <c r="E264" s="1088"/>
      <c r="F264" s="2791"/>
      <c r="G264" s="2776" t="s">
        <v>680</v>
      </c>
      <c r="H264" s="2787" t="s">
        <v>88</v>
      </c>
      <c r="I264" s="2799" t="s">
        <v>1019</v>
      </c>
      <c r="J264" s="2800" t="s">
        <v>1035</v>
      </c>
      <c r="K264" s="2801" t="s">
        <v>1046</v>
      </c>
      <c r="L264" s="2524" t="s">
        <v>19</v>
      </c>
      <c r="M264" s="2525"/>
      <c r="N264" s="1898"/>
      <c r="O264" s="1095" t="s">
        <v>367</v>
      </c>
      <c r="P264" s="1096"/>
      <c r="Q264" s="1096"/>
      <c r="R264" s="1096"/>
      <c r="S264" s="1096"/>
      <c r="T264" s="1096"/>
      <c r="U264" s="1096"/>
      <c r="V264" s="1096"/>
      <c r="W264" s="1096"/>
      <c r="X264" s="1096"/>
      <c r="Y264" s="1096"/>
      <c r="Z264" s="1096"/>
      <c r="AA264" s="1096"/>
      <c r="AB264" s="1096"/>
      <c r="AC264" s="1096"/>
      <c r="AD264" s="1096"/>
      <c r="AE264" s="1096"/>
      <c r="AF264" s="2802">
        <v>2</v>
      </c>
      <c r="AG264" s="2803" t="s">
        <v>1022</v>
      </c>
      <c r="AH264" s="2803" t="s">
        <v>1042</v>
      </c>
      <c r="AI264" s="2802"/>
      <c r="AJ264" s="2803"/>
      <c r="AK264" s="2803"/>
      <c r="AL264" s="1900"/>
      <c r="AM264" s="1738"/>
      <c r="AN264" s="1738"/>
      <c r="AO264" s="1738"/>
      <c r="AP264" s="1738"/>
      <c r="AQ264" s="1738"/>
      <c r="AR264" s="1738"/>
      <c r="AS264" s="1738"/>
      <c r="AT264" s="1738"/>
      <c r="AU264" s="1738"/>
      <c r="AV264" s="1738"/>
      <c r="AW264" s="1738"/>
      <c r="AX264" s="1738"/>
      <c r="AY264" s="1738"/>
      <c r="AZ264" s="1738"/>
      <c r="BA264" s="1738"/>
      <c r="BB264" s="1738"/>
      <c r="BC264" s="1738"/>
      <c r="BD264" s="1738"/>
      <c r="BE264" s="1738"/>
      <c r="BF264" s="1738"/>
      <c r="BG264" s="2010"/>
    </row>
    <row r="265" spans="1:59" ht="11.25" customHeight="1">
      <c r="A265" s="1084" t="s">
        <v>987</v>
      </c>
      <c r="B265" s="1084"/>
      <c r="C265" s="1084"/>
      <c r="D265" s="1078"/>
      <c r="E265" s="1088"/>
      <c r="F265" s="2791"/>
      <c r="G265" s="2798"/>
      <c r="H265" s="2787" t="s">
        <v>104</v>
      </c>
      <c r="I265" s="2799"/>
      <c r="J265" s="2800"/>
      <c r="K265" s="2801"/>
      <c r="L265" s="2524"/>
      <c r="M265" s="2525"/>
      <c r="N265" s="2804"/>
      <c r="O265" s="2805">
        <v>1</v>
      </c>
      <c r="P265" s="2806" t="s">
        <v>65</v>
      </c>
      <c r="Q265" s="2800" t="s">
        <v>1024</v>
      </c>
      <c r="R265" s="2809" t="s">
        <v>1061</v>
      </c>
      <c r="S265" s="2809" t="s">
        <v>1062</v>
      </c>
      <c r="T265" s="2809" t="s">
        <v>1062</v>
      </c>
      <c r="U265" s="2809" t="s">
        <v>1063</v>
      </c>
      <c r="V265" s="2809" t="s">
        <v>1064</v>
      </c>
      <c r="W265" s="2809" t="s">
        <v>1065</v>
      </c>
      <c r="X265" s="2809" t="s">
        <v>1030</v>
      </c>
      <c r="Y265" s="2809" t="s">
        <v>1031</v>
      </c>
      <c r="Z265" s="1093"/>
      <c r="AA265" s="1094"/>
      <c r="AB265" s="1094"/>
      <c r="AC265" s="1098"/>
      <c r="AD265" s="1098"/>
      <c r="AE265" s="1099"/>
      <c r="AF265" s="2802"/>
      <c r="AG265" s="2803"/>
      <c r="AH265" s="2803"/>
      <c r="AI265" s="2802"/>
      <c r="AJ265" s="2803"/>
      <c r="AK265" s="2803"/>
      <c r="AL265" s="1900"/>
      <c r="AM265" s="1738"/>
      <c r="AN265" s="1738"/>
      <c r="AO265" s="1738"/>
      <c r="AP265" s="1738"/>
      <c r="AQ265" s="1738"/>
      <c r="AR265" s="1738"/>
      <c r="AS265" s="1738"/>
      <c r="AT265" s="1738"/>
      <c r="AU265" s="1738"/>
      <c r="AV265" s="1738"/>
      <c r="AW265" s="1738"/>
      <c r="AX265" s="1738"/>
      <c r="AY265" s="1738"/>
      <c r="AZ265" s="1738"/>
      <c r="BA265" s="1738"/>
      <c r="BB265" s="1738"/>
      <c r="BC265" s="1738"/>
      <c r="BD265" s="1738"/>
      <c r="BE265" s="1738"/>
      <c r="BF265" s="1738"/>
      <c r="BG265" s="2010"/>
    </row>
    <row r="266" spans="1:59" ht="11.25" customHeight="1">
      <c r="A266" s="1084" t="s">
        <v>987</v>
      </c>
      <c r="B266" s="1084"/>
      <c r="C266" s="1084"/>
      <c r="D266" s="1078"/>
      <c r="E266" s="1088"/>
      <c r="F266" s="2791"/>
      <c r="G266" s="2798"/>
      <c r="H266" s="2787" t="s">
        <v>104</v>
      </c>
      <c r="I266" s="2799"/>
      <c r="J266" s="2800"/>
      <c r="K266" s="2801"/>
      <c r="L266" s="2524"/>
      <c r="M266" s="2525"/>
      <c r="N266" s="2804"/>
      <c r="O266" s="2805"/>
      <c r="P266" s="2807"/>
      <c r="Q266" s="2800"/>
      <c r="R266" s="2759"/>
      <c r="S266" s="2809"/>
      <c r="T266" s="2759"/>
      <c r="U266" s="2759"/>
      <c r="V266" s="2759"/>
      <c r="W266" s="2759"/>
      <c r="X266" s="2759"/>
      <c r="Y266" s="2759"/>
      <c r="Z266" s="1743"/>
      <c r="AA266" s="1711">
        <v>1</v>
      </c>
      <c r="AB266" s="1097" t="s">
        <v>1032</v>
      </c>
      <c r="AC266" s="1087">
        <v>5917.2720399999998</v>
      </c>
      <c r="AD266" s="1097" t="str">
        <f>AB266</f>
        <v xml:space="preserve">      Амортизационные отчисления с выделением результатов переоценки основных средств и нематериальных активов</v>
      </c>
      <c r="AE266" s="1087"/>
      <c r="AF266" s="2802"/>
      <c r="AG266" s="2803"/>
      <c r="AH266" s="2803"/>
      <c r="AI266" s="2802"/>
      <c r="AJ266" s="2803"/>
      <c r="AK266" s="2803"/>
      <c r="AL266" s="1900"/>
      <c r="AM266" s="1738"/>
      <c r="AN266" s="1738"/>
      <c r="AO266" s="1738"/>
      <c r="AP266" s="1738"/>
      <c r="AQ266" s="1738"/>
      <c r="AR266" s="1738"/>
      <c r="AS266" s="1738"/>
      <c r="AT266" s="1738"/>
      <c r="AU266" s="1738"/>
      <c r="AV266" s="1738"/>
      <c r="AW266" s="1738"/>
      <c r="AX266" s="1738"/>
      <c r="AY266" s="1738"/>
      <c r="AZ266" s="1738"/>
      <c r="BA266" s="1738"/>
      <c r="BB266" s="1738"/>
      <c r="BC266" s="1738"/>
      <c r="BD266" s="1738"/>
      <c r="BE266" s="1738"/>
      <c r="BF266" s="1738"/>
      <c r="BG266" s="2010"/>
    </row>
    <row r="267" spans="1:59" ht="11.25" customHeight="1">
      <c r="A267" s="1084" t="s">
        <v>987</v>
      </c>
      <c r="B267" s="1084"/>
      <c r="C267" s="1084"/>
      <c r="D267" s="1078"/>
      <c r="E267" s="1088"/>
      <c r="F267" s="2791"/>
      <c r="G267" s="2798"/>
      <c r="H267" s="2787" t="s">
        <v>104</v>
      </c>
      <c r="I267" s="2799"/>
      <c r="J267" s="2800"/>
      <c r="K267" s="2801"/>
      <c r="L267" s="2524"/>
      <c r="M267" s="2525"/>
      <c r="N267" s="2804"/>
      <c r="O267" s="2805"/>
      <c r="P267" s="2808"/>
      <c r="Q267" s="2800"/>
      <c r="R267" s="2759"/>
      <c r="S267" s="2809"/>
      <c r="T267" s="2759"/>
      <c r="U267" s="2759"/>
      <c r="V267" s="2759"/>
      <c r="W267" s="2759"/>
      <c r="X267" s="2759"/>
      <c r="Y267" s="2759"/>
      <c r="Z267" s="1093"/>
      <c r="AA267" s="1094"/>
      <c r="AB267" s="1159" t="s">
        <v>1033</v>
      </c>
      <c r="AC267" s="1098"/>
      <c r="AD267" s="1098"/>
      <c r="AE267" s="1100"/>
      <c r="AF267" s="2802"/>
      <c r="AG267" s="2803"/>
      <c r="AH267" s="2803"/>
      <c r="AI267" s="2802"/>
      <c r="AJ267" s="2803"/>
      <c r="AK267" s="2803"/>
      <c r="AL267" s="1900"/>
      <c r="AM267" s="1738"/>
      <c r="AN267" s="1738"/>
      <c r="AO267" s="1738"/>
      <c r="AP267" s="1738"/>
      <c r="AQ267" s="1738"/>
      <c r="AR267" s="1738"/>
      <c r="AS267" s="1738"/>
      <c r="AT267" s="1738"/>
      <c r="AU267" s="1738"/>
      <c r="AV267" s="1738"/>
      <c r="AW267" s="1738"/>
      <c r="AX267" s="1738"/>
      <c r="AY267" s="1738"/>
      <c r="AZ267" s="1738"/>
      <c r="BA267" s="1738"/>
      <c r="BB267" s="1738"/>
      <c r="BC267" s="1738"/>
      <c r="BD267" s="1738"/>
      <c r="BE267" s="1738"/>
      <c r="BF267" s="1738"/>
      <c r="BG267" s="2010"/>
    </row>
    <row r="268" spans="1:59" ht="11.25" customHeight="1">
      <c r="A268" s="1084" t="s">
        <v>987</v>
      </c>
      <c r="B268" s="1084"/>
      <c r="C268" s="1084"/>
      <c r="D268" s="1078"/>
      <c r="E268" s="1088"/>
      <c r="F268" s="2791"/>
      <c r="G268" s="2798"/>
      <c r="H268" s="2787" t="s">
        <v>104</v>
      </c>
      <c r="I268" s="2799"/>
      <c r="J268" s="2800"/>
      <c r="K268" s="2801"/>
      <c r="L268" s="2524"/>
      <c r="M268" s="2525"/>
      <c r="N268" s="1093"/>
      <c r="O268" s="1094"/>
      <c r="P268" s="1086" t="s">
        <v>1034</v>
      </c>
      <c r="Q268" s="1094"/>
      <c r="R268" s="1094"/>
      <c r="S268" s="1094"/>
      <c r="T268" s="1094"/>
      <c r="U268" s="1094"/>
      <c r="V268" s="1094"/>
      <c r="W268" s="1094"/>
      <c r="X268" s="1094"/>
      <c r="Y268" s="1094"/>
      <c r="Z268" s="1094"/>
      <c r="AA268" s="1094"/>
      <c r="AB268" s="1094"/>
      <c r="AC268" s="1094"/>
      <c r="AD268" s="1094"/>
      <c r="AE268" s="1101"/>
      <c r="AF268" s="2802"/>
      <c r="AG268" s="2803"/>
      <c r="AH268" s="2803"/>
      <c r="AI268" s="2802"/>
      <c r="AJ268" s="2803"/>
      <c r="AK268" s="2803"/>
      <c r="AL268" s="1900"/>
      <c r="AM268" s="1738"/>
      <c r="AN268" s="1738"/>
      <c r="AO268" s="1738"/>
      <c r="AP268" s="1738"/>
      <c r="AQ268" s="1738"/>
      <c r="AR268" s="1738"/>
      <c r="AS268" s="1738"/>
      <c r="AT268" s="1738"/>
      <c r="AU268" s="1738"/>
      <c r="AV268" s="1738"/>
      <c r="AW268" s="1738"/>
      <c r="AX268" s="1738"/>
      <c r="AY268" s="1738"/>
      <c r="AZ268" s="1738"/>
      <c r="BA268" s="1738"/>
      <c r="BB268" s="1738"/>
      <c r="BC268" s="1738"/>
      <c r="BD268" s="1738"/>
      <c r="BE268" s="1738"/>
      <c r="BF268" s="1738"/>
      <c r="BG268" s="2010"/>
    </row>
    <row r="269" spans="1:59" ht="12" customHeight="1">
      <c r="A269" s="1084" t="s">
        <v>987</v>
      </c>
      <c r="B269" s="1084"/>
      <c r="C269" s="1084"/>
      <c r="D269" s="1078"/>
      <c r="E269" s="1088"/>
      <c r="F269" s="2792"/>
      <c r="G269" s="1108"/>
      <c r="H269" s="1108"/>
      <c r="I269" s="2789" t="s">
        <v>1047</v>
      </c>
      <c r="J269" s="2789"/>
      <c r="K269" s="2789"/>
      <c r="L269" s="1091"/>
      <c r="M269" s="1091"/>
      <c r="N269" s="1092"/>
      <c r="O269" s="1092"/>
      <c r="P269" s="1092"/>
      <c r="Q269" s="1092"/>
      <c r="R269" s="1092"/>
      <c r="S269" s="1092"/>
      <c r="T269" s="1092"/>
      <c r="U269" s="1092"/>
      <c r="V269" s="1092"/>
      <c r="W269" s="1092"/>
      <c r="X269" s="1092"/>
      <c r="Y269" s="1092"/>
      <c r="Z269" s="1092"/>
      <c r="AA269" s="1092"/>
      <c r="AB269" s="1092"/>
      <c r="AC269" s="1092"/>
      <c r="AD269" s="1092"/>
      <c r="AE269" s="1092"/>
      <c r="AF269" s="1092"/>
      <c r="AG269" s="1091"/>
      <c r="AH269" s="1091"/>
      <c r="AI269" s="1092"/>
      <c r="AJ269" s="1091"/>
      <c r="AK269" s="1092"/>
      <c r="AL269" s="1900"/>
      <c r="AM269" s="1738"/>
      <c r="AN269" s="1738"/>
      <c r="AO269" s="1738"/>
      <c r="AP269" s="1738"/>
      <c r="AQ269" s="1738"/>
      <c r="AR269" s="1738"/>
      <c r="AS269" s="1738"/>
      <c r="AT269" s="1738"/>
      <c r="AU269" s="1738"/>
      <c r="AV269" s="1738"/>
      <c r="AW269" s="1738"/>
      <c r="AX269" s="1738"/>
      <c r="AY269" s="1738"/>
      <c r="AZ269" s="1738"/>
      <c r="BA269" s="1738"/>
      <c r="BB269" s="1738"/>
      <c r="BC269" s="1738"/>
      <c r="BD269" s="1738"/>
      <c r="BE269" s="1738"/>
      <c r="BF269" s="1738"/>
      <c r="BG269" s="2010"/>
    </row>
    <row r="270" spans="1:59" ht="0.75" customHeight="1">
      <c r="A270" s="1084" t="s">
        <v>987</v>
      </c>
      <c r="B270" s="1084"/>
      <c r="C270" s="1084"/>
      <c r="D270" s="1078"/>
      <c r="E270" s="1088"/>
      <c r="F270" s="2790">
        <v>2024</v>
      </c>
      <c r="G270" s="2787"/>
      <c r="H270" s="2794" t="s">
        <v>367</v>
      </c>
      <c r="I270" s="2795"/>
      <c r="J270" s="2786"/>
      <c r="K270" s="2786"/>
      <c r="L270" s="2788"/>
      <c r="M270" s="2639"/>
      <c r="N270" s="1948"/>
      <c r="O270" s="1947"/>
      <c r="P270" s="1948"/>
      <c r="Q270" s="1948"/>
      <c r="R270" s="1948"/>
      <c r="S270" s="1948"/>
      <c r="T270" s="1948"/>
      <c r="U270" s="1948"/>
      <c r="V270" s="1948"/>
      <c r="W270" s="1948"/>
      <c r="X270" s="1948"/>
      <c r="Y270" s="1948"/>
      <c r="Z270" s="1948"/>
      <c r="AA270" s="1948"/>
      <c r="AB270" s="1948"/>
      <c r="AC270" s="1948"/>
      <c r="AD270" s="1948"/>
      <c r="AE270" s="1948"/>
      <c r="AF270" s="2793"/>
      <c r="AG270" s="2788"/>
      <c r="AH270" s="2788"/>
      <c r="AI270" s="2793"/>
      <c r="AJ270" s="2788"/>
      <c r="AK270" s="2788"/>
      <c r="AL270" s="1900"/>
      <c r="AM270" s="1738"/>
      <c r="AN270" s="1738"/>
      <c r="AO270" s="1738"/>
      <c r="AP270" s="1738"/>
      <c r="AQ270" s="1738"/>
      <c r="AR270" s="1738"/>
      <c r="AS270" s="1738"/>
      <c r="AT270" s="1738"/>
      <c r="AU270" s="1738"/>
      <c r="AV270" s="1738"/>
      <c r="AW270" s="1738"/>
      <c r="AX270" s="1738"/>
      <c r="AY270" s="1738"/>
      <c r="AZ270" s="1738"/>
      <c r="BA270" s="1738"/>
      <c r="BB270" s="1738"/>
      <c r="BC270" s="1738"/>
      <c r="BD270" s="1738"/>
      <c r="BE270" s="1738"/>
      <c r="BF270" s="1738"/>
      <c r="BG270" s="2010"/>
    </row>
    <row r="271" spans="1:59" ht="0.75" customHeight="1">
      <c r="A271" s="1084" t="s">
        <v>987</v>
      </c>
      <c r="B271" s="1084"/>
      <c r="C271" s="1084"/>
      <c r="D271" s="1078"/>
      <c r="E271" s="1088"/>
      <c r="F271" s="2790"/>
      <c r="G271" s="2787"/>
      <c r="H271" s="2794"/>
      <c r="I271" s="2795"/>
      <c r="J271" s="2786"/>
      <c r="K271" s="2786"/>
      <c r="L271" s="2788"/>
      <c r="M271" s="2639"/>
      <c r="N271" s="2796"/>
      <c r="O271" s="2797"/>
      <c r="P271" s="2783"/>
      <c r="Q271" s="2786"/>
      <c r="R271" s="2786"/>
      <c r="S271" s="2786"/>
      <c r="T271" s="2786"/>
      <c r="U271" s="2786"/>
      <c r="V271" s="2786"/>
      <c r="W271" s="2786"/>
      <c r="X271" s="2786"/>
      <c r="Y271" s="2786"/>
      <c r="Z271" s="1949"/>
      <c r="AA271" s="1950"/>
      <c r="AB271" s="1950"/>
      <c r="AC271" s="1951"/>
      <c r="AD271" s="1951"/>
      <c r="AE271" s="1952"/>
      <c r="AF271" s="2793"/>
      <c r="AG271" s="2788"/>
      <c r="AH271" s="2788"/>
      <c r="AI271" s="2793"/>
      <c r="AJ271" s="2788"/>
      <c r="AK271" s="2788"/>
      <c r="AL271" s="1900"/>
      <c r="AM271" s="1738"/>
      <c r="AN271" s="1738"/>
      <c r="AO271" s="1738"/>
      <c r="AP271" s="1738"/>
      <c r="AQ271" s="1738"/>
      <c r="AR271" s="1738"/>
      <c r="AS271" s="1738"/>
      <c r="AT271" s="1738"/>
      <c r="AU271" s="1738"/>
      <c r="AV271" s="1738"/>
      <c r="AW271" s="1738"/>
      <c r="AX271" s="1738"/>
      <c r="AY271" s="1738"/>
      <c r="AZ271" s="1738"/>
      <c r="BA271" s="1738"/>
      <c r="BB271" s="1738"/>
      <c r="BC271" s="1738"/>
      <c r="BD271" s="1738"/>
      <c r="BE271" s="1738"/>
      <c r="BF271" s="1738"/>
      <c r="BG271" s="2010"/>
    </row>
    <row r="272" spans="1:59" ht="0.75" customHeight="1">
      <c r="A272" s="1084" t="s">
        <v>987</v>
      </c>
      <c r="B272" s="1084"/>
      <c r="C272" s="1084"/>
      <c r="D272" s="1078"/>
      <c r="E272" s="1088"/>
      <c r="F272" s="2790"/>
      <c r="G272" s="2787"/>
      <c r="H272" s="2794"/>
      <c r="I272" s="2795"/>
      <c r="J272" s="2786"/>
      <c r="K272" s="2786"/>
      <c r="L272" s="2788"/>
      <c r="M272" s="2639"/>
      <c r="N272" s="2796"/>
      <c r="O272" s="2797"/>
      <c r="P272" s="2784"/>
      <c r="Q272" s="2786"/>
      <c r="R272" s="2786"/>
      <c r="S272" s="2786"/>
      <c r="T272" s="2786"/>
      <c r="U272" s="2786"/>
      <c r="V272" s="2786"/>
      <c r="W272" s="2786"/>
      <c r="X272" s="2786"/>
      <c r="Y272" s="2786"/>
      <c r="Z272" s="1953"/>
      <c r="AA272" s="1954"/>
      <c r="AB272" s="1955"/>
      <c r="AC272" s="1956"/>
      <c r="AD272" s="1955"/>
      <c r="AE272" s="1956"/>
      <c r="AF272" s="2793"/>
      <c r="AG272" s="2788"/>
      <c r="AH272" s="2788"/>
      <c r="AI272" s="2793"/>
      <c r="AJ272" s="2788"/>
      <c r="AK272" s="2788"/>
      <c r="AL272" s="1900"/>
      <c r="AM272" s="1738"/>
      <c r="AN272" s="1738"/>
      <c r="AO272" s="1738"/>
      <c r="AP272" s="1738"/>
      <c r="AQ272" s="1738"/>
      <c r="AR272" s="1738"/>
      <c r="AS272" s="1738"/>
      <c r="AT272" s="1738"/>
      <c r="AU272" s="1738"/>
      <c r="AV272" s="1738"/>
      <c r="AW272" s="1738"/>
      <c r="AX272" s="1738"/>
      <c r="AY272" s="1738"/>
      <c r="AZ272" s="1738"/>
      <c r="BA272" s="1738"/>
      <c r="BB272" s="1738"/>
      <c r="BC272" s="1738"/>
      <c r="BD272" s="1738"/>
      <c r="BE272" s="1738"/>
      <c r="BF272" s="1738"/>
      <c r="BG272" s="2010"/>
    </row>
    <row r="273" spans="1:59" ht="0.75" customHeight="1">
      <c r="A273" s="1084" t="s">
        <v>987</v>
      </c>
      <c r="B273" s="1084"/>
      <c r="C273" s="1084"/>
      <c r="D273" s="1078"/>
      <c r="E273" s="1088"/>
      <c r="F273" s="2790"/>
      <c r="G273" s="2787"/>
      <c r="H273" s="2794"/>
      <c r="I273" s="2795"/>
      <c r="J273" s="2786"/>
      <c r="K273" s="2786"/>
      <c r="L273" s="2788"/>
      <c r="M273" s="2639"/>
      <c r="N273" s="2796"/>
      <c r="O273" s="2797"/>
      <c r="P273" s="2785"/>
      <c r="Q273" s="2786"/>
      <c r="R273" s="2786"/>
      <c r="S273" s="2786"/>
      <c r="T273" s="2786"/>
      <c r="U273" s="2786"/>
      <c r="V273" s="2786"/>
      <c r="W273" s="2786"/>
      <c r="X273" s="2786"/>
      <c r="Y273" s="2786"/>
      <c r="Z273" s="1949"/>
      <c r="AA273" s="1950"/>
      <c r="AB273" s="1957"/>
      <c r="AC273" s="1951"/>
      <c r="AD273" s="1951"/>
      <c r="AE273" s="1958"/>
      <c r="AF273" s="2793"/>
      <c r="AG273" s="2788"/>
      <c r="AH273" s="2788"/>
      <c r="AI273" s="2793"/>
      <c r="AJ273" s="2788"/>
      <c r="AK273" s="2788"/>
      <c r="AL273" s="1900"/>
      <c r="AM273" s="1738"/>
      <c r="AN273" s="1738"/>
      <c r="AO273" s="1738"/>
      <c r="AP273" s="1738"/>
      <c r="AQ273" s="1738"/>
      <c r="AR273" s="1738"/>
      <c r="AS273" s="1738"/>
      <c r="AT273" s="1738"/>
      <c r="AU273" s="1738"/>
      <c r="AV273" s="1738"/>
      <c r="AW273" s="1738"/>
      <c r="AX273" s="1738"/>
      <c r="AY273" s="1738"/>
      <c r="AZ273" s="1738"/>
      <c r="BA273" s="1738"/>
      <c r="BB273" s="1738"/>
      <c r="BC273" s="1738"/>
      <c r="BD273" s="1738"/>
      <c r="BE273" s="1738"/>
      <c r="BF273" s="1738"/>
      <c r="BG273" s="2010"/>
    </row>
    <row r="274" spans="1:59" ht="0.75" customHeight="1">
      <c r="A274" s="1084" t="s">
        <v>987</v>
      </c>
      <c r="B274" s="1084"/>
      <c r="C274" s="1084"/>
      <c r="D274" s="1078"/>
      <c r="E274" s="1088"/>
      <c r="F274" s="2790"/>
      <c r="G274" s="2787"/>
      <c r="H274" s="2794"/>
      <c r="I274" s="2795"/>
      <c r="J274" s="2786"/>
      <c r="K274" s="2786"/>
      <c r="L274" s="2788"/>
      <c r="M274" s="2639"/>
      <c r="N274" s="1950"/>
      <c r="O274" s="1950"/>
      <c r="P274" s="1957"/>
      <c r="Q274" s="1950"/>
      <c r="R274" s="1950"/>
      <c r="S274" s="1950"/>
      <c r="T274" s="1950"/>
      <c r="U274" s="1950"/>
      <c r="V274" s="1950"/>
      <c r="W274" s="1950"/>
      <c r="X274" s="1950"/>
      <c r="Y274" s="1950"/>
      <c r="Z274" s="1950"/>
      <c r="AA274" s="1950"/>
      <c r="AB274" s="1950"/>
      <c r="AC274" s="1950"/>
      <c r="AD274" s="1950"/>
      <c r="AE274" s="1959"/>
      <c r="AF274" s="2793"/>
      <c r="AG274" s="2788"/>
      <c r="AH274" s="2788"/>
      <c r="AI274" s="2793"/>
      <c r="AJ274" s="2788"/>
      <c r="AK274" s="2788"/>
      <c r="AL274" s="1900"/>
      <c r="AM274" s="1738"/>
      <c r="AN274" s="1738"/>
      <c r="AO274" s="1738"/>
      <c r="AP274" s="1738"/>
      <c r="AQ274" s="1738"/>
      <c r="AR274" s="1738"/>
      <c r="AS274" s="1738"/>
      <c r="AT274" s="1738"/>
      <c r="AU274" s="1738"/>
      <c r="AV274" s="1738"/>
      <c r="AW274" s="1738"/>
      <c r="AX274" s="1738"/>
      <c r="AY274" s="1738"/>
      <c r="AZ274" s="1738"/>
      <c r="BA274" s="1738"/>
      <c r="BB274" s="1738"/>
      <c r="BC274" s="1738"/>
      <c r="BD274" s="1738"/>
      <c r="BE274" s="1738"/>
      <c r="BF274" s="1738"/>
      <c r="BG274" s="2010"/>
    </row>
    <row r="275" spans="1:59" ht="11.25" customHeight="1">
      <c r="A275" s="1084" t="s">
        <v>987</v>
      </c>
      <c r="B275" s="1084" t="s">
        <v>1018</v>
      </c>
      <c r="C275" s="1084"/>
      <c r="D275" s="1078"/>
      <c r="E275" s="1088"/>
      <c r="F275" s="2791"/>
      <c r="G275" s="2776" t="s">
        <v>680</v>
      </c>
      <c r="H275" s="2787" t="s">
        <v>102</v>
      </c>
      <c r="I275" s="2799" t="s">
        <v>1019</v>
      </c>
      <c r="J275" s="2800" t="s">
        <v>1035</v>
      </c>
      <c r="K275" s="2801" t="s">
        <v>1036</v>
      </c>
      <c r="L275" s="2524" t="s">
        <v>19</v>
      </c>
      <c r="M275" s="2525"/>
      <c r="N275" s="1898"/>
      <c r="O275" s="1095" t="s">
        <v>367</v>
      </c>
      <c r="P275" s="1096"/>
      <c r="Q275" s="1096"/>
      <c r="R275" s="1096"/>
      <c r="S275" s="1096"/>
      <c r="T275" s="1096"/>
      <c r="U275" s="1096"/>
      <c r="V275" s="1096"/>
      <c r="W275" s="1096"/>
      <c r="X275" s="1096"/>
      <c r="Y275" s="1096"/>
      <c r="Z275" s="1096"/>
      <c r="AA275" s="1096"/>
      <c r="AB275" s="1096"/>
      <c r="AC275" s="1096"/>
      <c r="AD275" s="1096"/>
      <c r="AE275" s="1096"/>
      <c r="AF275" s="2802">
        <v>2</v>
      </c>
      <c r="AG275" s="2803" t="s">
        <v>1037</v>
      </c>
      <c r="AH275" s="2803" t="s">
        <v>1038</v>
      </c>
      <c r="AI275" s="2802"/>
      <c r="AJ275" s="2803"/>
      <c r="AK275" s="2803"/>
      <c r="AL275" s="1900"/>
      <c r="AM275" s="1738"/>
      <c r="AN275" s="1738"/>
      <c r="AO275" s="1738"/>
      <c r="AP275" s="1738"/>
      <c r="AQ275" s="1738"/>
      <c r="AR275" s="1738"/>
      <c r="AS275" s="1738"/>
      <c r="AT275" s="1738"/>
      <c r="AU275" s="1738"/>
      <c r="AV275" s="1738"/>
      <c r="AW275" s="1738"/>
      <c r="AX275" s="1738"/>
      <c r="AY275" s="1738"/>
      <c r="AZ275" s="1738"/>
      <c r="BA275" s="1738"/>
      <c r="BB275" s="1738"/>
      <c r="BC275" s="1738"/>
      <c r="BD275" s="1738"/>
      <c r="BE275" s="1738"/>
      <c r="BF275" s="1738"/>
      <c r="BG275" s="2010"/>
    </row>
    <row r="276" spans="1:59" ht="11.25" customHeight="1">
      <c r="A276" s="1084" t="s">
        <v>987</v>
      </c>
      <c r="B276" s="1084"/>
      <c r="C276" s="1084"/>
      <c r="D276" s="1078"/>
      <c r="E276" s="1088"/>
      <c r="F276" s="2791"/>
      <c r="G276" s="2798"/>
      <c r="H276" s="2787" t="s">
        <v>367</v>
      </c>
      <c r="I276" s="2799"/>
      <c r="J276" s="2800"/>
      <c r="K276" s="2801"/>
      <c r="L276" s="2524"/>
      <c r="M276" s="2525"/>
      <c r="N276" s="2804"/>
      <c r="O276" s="2805">
        <v>1</v>
      </c>
      <c r="P276" s="2806" t="s">
        <v>65</v>
      </c>
      <c r="Q276" s="2800" t="s">
        <v>1024</v>
      </c>
      <c r="R276" s="2809" t="s">
        <v>1061</v>
      </c>
      <c r="S276" s="2809" t="s">
        <v>1062</v>
      </c>
      <c r="T276" s="2809" t="s">
        <v>1062</v>
      </c>
      <c r="U276" s="2809" t="s">
        <v>1063</v>
      </c>
      <c r="V276" s="2809" t="s">
        <v>1064</v>
      </c>
      <c r="W276" s="2809" t="s">
        <v>1065</v>
      </c>
      <c r="X276" s="2809" t="s">
        <v>1030</v>
      </c>
      <c r="Y276" s="2809" t="s">
        <v>1031</v>
      </c>
      <c r="Z276" s="1093"/>
      <c r="AA276" s="1094"/>
      <c r="AB276" s="1094"/>
      <c r="AC276" s="1098"/>
      <c r="AD276" s="1098"/>
      <c r="AE276" s="1099"/>
      <c r="AF276" s="2802"/>
      <c r="AG276" s="2803"/>
      <c r="AH276" s="2803"/>
      <c r="AI276" s="2802"/>
      <c r="AJ276" s="2803"/>
      <c r="AK276" s="2803"/>
      <c r="AL276" s="1900"/>
      <c r="AM276" s="1738"/>
      <c r="AN276" s="1738"/>
      <c r="AO276" s="1738"/>
      <c r="AP276" s="1738"/>
      <c r="AQ276" s="1738"/>
      <c r="AR276" s="1738"/>
      <c r="AS276" s="1738"/>
      <c r="AT276" s="1738"/>
      <c r="AU276" s="1738"/>
      <c r="AV276" s="1738"/>
      <c r="AW276" s="1738"/>
      <c r="AX276" s="1738"/>
      <c r="AY276" s="1738"/>
      <c r="AZ276" s="1738"/>
      <c r="BA276" s="1738"/>
      <c r="BB276" s="1738"/>
      <c r="BC276" s="1738"/>
      <c r="BD276" s="1738"/>
      <c r="BE276" s="1738"/>
      <c r="BF276" s="1738"/>
      <c r="BG276" s="2010"/>
    </row>
    <row r="277" spans="1:59" ht="11.25" customHeight="1">
      <c r="A277" s="1084" t="s">
        <v>987</v>
      </c>
      <c r="B277" s="1084"/>
      <c r="C277" s="1084"/>
      <c r="D277" s="1078"/>
      <c r="E277" s="1088"/>
      <c r="F277" s="2791"/>
      <c r="G277" s="2798"/>
      <c r="H277" s="2787" t="s">
        <v>367</v>
      </c>
      <c r="I277" s="2799"/>
      <c r="J277" s="2800"/>
      <c r="K277" s="2801"/>
      <c r="L277" s="2524"/>
      <c r="M277" s="2525"/>
      <c r="N277" s="2804"/>
      <c r="O277" s="2805"/>
      <c r="P277" s="2807"/>
      <c r="Q277" s="2800"/>
      <c r="R277" s="2759"/>
      <c r="S277" s="2809"/>
      <c r="T277" s="2759"/>
      <c r="U277" s="2759"/>
      <c r="V277" s="2759"/>
      <c r="W277" s="2759"/>
      <c r="X277" s="2759"/>
      <c r="Y277" s="2759"/>
      <c r="Z277" s="1743"/>
      <c r="AA277" s="1711">
        <v>1</v>
      </c>
      <c r="AB277" s="1097" t="s">
        <v>1032</v>
      </c>
      <c r="AC277" s="1087">
        <v>5015.6623499999996</v>
      </c>
      <c r="AD277" s="1097" t="str">
        <f>AB277</f>
        <v xml:space="preserve">      Амортизационные отчисления с выделением результатов переоценки основных средств и нематериальных активов</v>
      </c>
      <c r="AE277" s="1087"/>
      <c r="AF277" s="2802"/>
      <c r="AG277" s="2803"/>
      <c r="AH277" s="2803"/>
      <c r="AI277" s="2802"/>
      <c r="AJ277" s="2803"/>
      <c r="AK277" s="2803"/>
      <c r="AL277" s="1900"/>
      <c r="AM277" s="1738"/>
      <c r="AN277" s="1738"/>
      <c r="AO277" s="1738"/>
      <c r="AP277" s="1738"/>
      <c r="AQ277" s="1738"/>
      <c r="AR277" s="1738"/>
      <c r="AS277" s="1738"/>
      <c r="AT277" s="1738"/>
      <c r="AU277" s="1738"/>
      <c r="AV277" s="1738"/>
      <c r="AW277" s="1738"/>
      <c r="AX277" s="1738"/>
      <c r="AY277" s="1738"/>
      <c r="AZ277" s="1738"/>
      <c r="BA277" s="1738"/>
      <c r="BB277" s="1738"/>
      <c r="BC277" s="1738"/>
      <c r="BD277" s="1738"/>
      <c r="BE277" s="1738"/>
      <c r="BF277" s="1738"/>
      <c r="BG277" s="2010"/>
    </row>
    <row r="278" spans="1:59" ht="11.25" customHeight="1">
      <c r="A278" s="1084" t="s">
        <v>987</v>
      </c>
      <c r="B278" s="1084"/>
      <c r="C278" s="1084"/>
      <c r="D278" s="1078"/>
      <c r="E278" s="1088"/>
      <c r="F278" s="2791"/>
      <c r="G278" s="2798"/>
      <c r="H278" s="2787" t="s">
        <v>367</v>
      </c>
      <c r="I278" s="2799"/>
      <c r="J278" s="2800"/>
      <c r="K278" s="2801"/>
      <c r="L278" s="2524"/>
      <c r="M278" s="2525"/>
      <c r="N278" s="2804"/>
      <c r="O278" s="2805"/>
      <c r="P278" s="2808"/>
      <c r="Q278" s="2800"/>
      <c r="R278" s="2759"/>
      <c r="S278" s="2809"/>
      <c r="T278" s="2759"/>
      <c r="U278" s="2759"/>
      <c r="V278" s="2759"/>
      <c r="W278" s="2759"/>
      <c r="X278" s="2759"/>
      <c r="Y278" s="2759"/>
      <c r="Z278" s="1093"/>
      <c r="AA278" s="1094"/>
      <c r="AB278" s="1159" t="s">
        <v>1033</v>
      </c>
      <c r="AC278" s="1098"/>
      <c r="AD278" s="1098"/>
      <c r="AE278" s="1100"/>
      <c r="AF278" s="2802"/>
      <c r="AG278" s="2803"/>
      <c r="AH278" s="2803"/>
      <c r="AI278" s="2802"/>
      <c r="AJ278" s="2803"/>
      <c r="AK278" s="2803"/>
      <c r="AL278" s="1900"/>
      <c r="AM278" s="1738"/>
      <c r="AN278" s="1738"/>
      <c r="AO278" s="1738"/>
      <c r="AP278" s="1738"/>
      <c r="AQ278" s="1738"/>
      <c r="AR278" s="1738"/>
      <c r="AS278" s="1738"/>
      <c r="AT278" s="1738"/>
      <c r="AU278" s="1738"/>
      <c r="AV278" s="1738"/>
      <c r="AW278" s="1738"/>
      <c r="AX278" s="1738"/>
      <c r="AY278" s="1738"/>
      <c r="AZ278" s="1738"/>
      <c r="BA278" s="1738"/>
      <c r="BB278" s="1738"/>
      <c r="BC278" s="1738"/>
      <c r="BD278" s="1738"/>
      <c r="BE278" s="1738"/>
      <c r="BF278" s="1738"/>
      <c r="BG278" s="2010"/>
    </row>
    <row r="279" spans="1:59" ht="11.25" customHeight="1">
      <c r="A279" s="1084" t="s">
        <v>987</v>
      </c>
      <c r="B279" s="1084"/>
      <c r="C279" s="1084"/>
      <c r="D279" s="1078"/>
      <c r="E279" s="1088"/>
      <c r="F279" s="2791"/>
      <c r="G279" s="2798"/>
      <c r="H279" s="2787" t="s">
        <v>367</v>
      </c>
      <c r="I279" s="2799"/>
      <c r="J279" s="2800"/>
      <c r="K279" s="2801"/>
      <c r="L279" s="2524"/>
      <c r="M279" s="2525"/>
      <c r="N279" s="1093"/>
      <c r="O279" s="1094"/>
      <c r="P279" s="1086" t="s">
        <v>1034</v>
      </c>
      <c r="Q279" s="1094"/>
      <c r="R279" s="1094"/>
      <c r="S279" s="1094"/>
      <c r="T279" s="1094"/>
      <c r="U279" s="1094"/>
      <c r="V279" s="1094"/>
      <c r="W279" s="1094"/>
      <c r="X279" s="1094"/>
      <c r="Y279" s="1094"/>
      <c r="Z279" s="1094"/>
      <c r="AA279" s="1094"/>
      <c r="AB279" s="1094"/>
      <c r="AC279" s="1094"/>
      <c r="AD279" s="1094"/>
      <c r="AE279" s="1101"/>
      <c r="AF279" s="2802"/>
      <c r="AG279" s="2803"/>
      <c r="AH279" s="2803"/>
      <c r="AI279" s="2802"/>
      <c r="AJ279" s="2803"/>
      <c r="AK279" s="2803"/>
      <c r="AL279" s="1900"/>
      <c r="AM279" s="1738"/>
      <c r="AN279" s="1738"/>
      <c r="AO279" s="1738"/>
      <c r="AP279" s="1738"/>
      <c r="AQ279" s="1738"/>
      <c r="AR279" s="1738"/>
      <c r="AS279" s="1738"/>
      <c r="AT279" s="1738"/>
      <c r="AU279" s="1738"/>
      <c r="AV279" s="1738"/>
      <c r="AW279" s="1738"/>
      <c r="AX279" s="1738"/>
      <c r="AY279" s="1738"/>
      <c r="AZ279" s="1738"/>
      <c r="BA279" s="1738"/>
      <c r="BB279" s="1738"/>
      <c r="BC279" s="1738"/>
      <c r="BD279" s="1738"/>
      <c r="BE279" s="1738"/>
      <c r="BF279" s="1738"/>
      <c r="BG279" s="2010"/>
    </row>
    <row r="280" spans="1:59" ht="11.25" customHeight="1">
      <c r="A280" s="1084" t="s">
        <v>987</v>
      </c>
      <c r="B280" s="1084" t="s">
        <v>1018</v>
      </c>
      <c r="C280" s="1084"/>
      <c r="D280" s="1078"/>
      <c r="E280" s="1088"/>
      <c r="F280" s="2791"/>
      <c r="G280" s="2776" t="s">
        <v>680</v>
      </c>
      <c r="H280" s="2787" t="s">
        <v>103</v>
      </c>
      <c r="I280" s="2799" t="s">
        <v>1019</v>
      </c>
      <c r="J280" s="2800" t="s">
        <v>1035</v>
      </c>
      <c r="K280" s="2801" t="s">
        <v>1039</v>
      </c>
      <c r="L280" s="2524" t="s">
        <v>19</v>
      </c>
      <c r="M280" s="2525"/>
      <c r="N280" s="1898"/>
      <c r="O280" s="1095" t="s">
        <v>367</v>
      </c>
      <c r="P280" s="1096"/>
      <c r="Q280" s="1096"/>
      <c r="R280" s="1096"/>
      <c r="S280" s="1096"/>
      <c r="T280" s="1096"/>
      <c r="U280" s="1096"/>
      <c r="V280" s="1096"/>
      <c r="W280" s="1096"/>
      <c r="X280" s="1096"/>
      <c r="Y280" s="1096"/>
      <c r="Z280" s="1096"/>
      <c r="AA280" s="1096"/>
      <c r="AB280" s="1096"/>
      <c r="AC280" s="1096"/>
      <c r="AD280" s="1096"/>
      <c r="AE280" s="1096"/>
      <c r="AF280" s="2802">
        <v>4</v>
      </c>
      <c r="AG280" s="2803" t="s">
        <v>1022</v>
      </c>
      <c r="AH280" s="2803" t="s">
        <v>1040</v>
      </c>
      <c r="AI280" s="2802"/>
      <c r="AJ280" s="2803"/>
      <c r="AK280" s="2803"/>
      <c r="AL280" s="1900"/>
      <c r="AM280" s="1738"/>
      <c r="AN280" s="1738"/>
      <c r="AO280" s="1738"/>
      <c r="AP280" s="1738"/>
      <c r="AQ280" s="1738"/>
      <c r="AR280" s="1738"/>
      <c r="AS280" s="1738"/>
      <c r="AT280" s="1738"/>
      <c r="AU280" s="1738"/>
      <c r="AV280" s="1738"/>
      <c r="AW280" s="1738"/>
      <c r="AX280" s="1738"/>
      <c r="AY280" s="1738"/>
      <c r="AZ280" s="1738"/>
      <c r="BA280" s="1738"/>
      <c r="BB280" s="1738"/>
      <c r="BC280" s="1738"/>
      <c r="BD280" s="1738"/>
      <c r="BE280" s="1738"/>
      <c r="BF280" s="1738"/>
      <c r="BG280" s="2010"/>
    </row>
    <row r="281" spans="1:59" ht="11.25" customHeight="1">
      <c r="A281" s="1084" t="s">
        <v>987</v>
      </c>
      <c r="B281" s="1084"/>
      <c r="C281" s="1084"/>
      <c r="D281" s="1078"/>
      <c r="E281" s="1088"/>
      <c r="F281" s="2791"/>
      <c r="G281" s="2798"/>
      <c r="H281" s="2787" t="s">
        <v>102</v>
      </c>
      <c r="I281" s="2799"/>
      <c r="J281" s="2800"/>
      <c r="K281" s="2801"/>
      <c r="L281" s="2524"/>
      <c r="M281" s="2525"/>
      <c r="N281" s="2804"/>
      <c r="O281" s="2805">
        <v>1</v>
      </c>
      <c r="P281" s="2806" t="s">
        <v>65</v>
      </c>
      <c r="Q281" s="2800" t="s">
        <v>1024</v>
      </c>
      <c r="R281" s="2809" t="s">
        <v>1061</v>
      </c>
      <c r="S281" s="2809" t="s">
        <v>1062</v>
      </c>
      <c r="T281" s="2809" t="s">
        <v>1062</v>
      </c>
      <c r="U281" s="2809" t="s">
        <v>1063</v>
      </c>
      <c r="V281" s="2809" t="s">
        <v>1064</v>
      </c>
      <c r="W281" s="2809" t="s">
        <v>1065</v>
      </c>
      <c r="X281" s="2809" t="s">
        <v>1030</v>
      </c>
      <c r="Y281" s="2809" t="s">
        <v>1031</v>
      </c>
      <c r="Z281" s="1093"/>
      <c r="AA281" s="1094"/>
      <c r="AB281" s="1094"/>
      <c r="AC281" s="1098"/>
      <c r="AD281" s="1098"/>
      <c r="AE281" s="1099"/>
      <c r="AF281" s="2802"/>
      <c r="AG281" s="2803"/>
      <c r="AH281" s="2803"/>
      <c r="AI281" s="2802"/>
      <c r="AJ281" s="2803"/>
      <c r="AK281" s="2803"/>
      <c r="AL281" s="1900"/>
      <c r="AM281" s="1738"/>
      <c r="AN281" s="1738"/>
      <c r="AO281" s="1738"/>
      <c r="AP281" s="1738"/>
      <c r="AQ281" s="1738"/>
      <c r="AR281" s="1738"/>
      <c r="AS281" s="1738"/>
      <c r="AT281" s="1738"/>
      <c r="AU281" s="1738"/>
      <c r="AV281" s="1738"/>
      <c r="AW281" s="1738"/>
      <c r="AX281" s="1738"/>
      <c r="AY281" s="1738"/>
      <c r="AZ281" s="1738"/>
      <c r="BA281" s="1738"/>
      <c r="BB281" s="1738"/>
      <c r="BC281" s="1738"/>
      <c r="BD281" s="1738"/>
      <c r="BE281" s="1738"/>
      <c r="BF281" s="1738"/>
      <c r="BG281" s="2010"/>
    </row>
    <row r="282" spans="1:59" ht="11.25" customHeight="1">
      <c r="A282" s="1084" t="s">
        <v>987</v>
      </c>
      <c r="B282" s="1084"/>
      <c r="C282" s="1084"/>
      <c r="D282" s="1078"/>
      <c r="E282" s="1088"/>
      <c r="F282" s="2791"/>
      <c r="G282" s="2798"/>
      <c r="H282" s="2787" t="s">
        <v>102</v>
      </c>
      <c r="I282" s="2799"/>
      <c r="J282" s="2800"/>
      <c r="K282" s="2801"/>
      <c r="L282" s="2524"/>
      <c r="M282" s="2525"/>
      <c r="N282" s="2804"/>
      <c r="O282" s="2805"/>
      <c r="P282" s="2807"/>
      <c r="Q282" s="2800"/>
      <c r="R282" s="2759"/>
      <c r="S282" s="2809"/>
      <c r="T282" s="2759"/>
      <c r="U282" s="2759"/>
      <c r="V282" s="2759"/>
      <c r="W282" s="2759"/>
      <c r="X282" s="2759"/>
      <c r="Y282" s="2759"/>
      <c r="Z282" s="1743"/>
      <c r="AA282" s="1711">
        <v>1</v>
      </c>
      <c r="AB282" s="1097" t="s">
        <v>1032</v>
      </c>
      <c r="AC282" s="1087">
        <v>29210.581300000002</v>
      </c>
      <c r="AD282" s="1097" t="str">
        <f>AB282</f>
        <v xml:space="preserve">      Амортизационные отчисления с выделением результатов переоценки основных средств и нематериальных активов</v>
      </c>
      <c r="AE282" s="1087"/>
      <c r="AF282" s="2802"/>
      <c r="AG282" s="2803"/>
      <c r="AH282" s="2803"/>
      <c r="AI282" s="2802"/>
      <c r="AJ282" s="2803"/>
      <c r="AK282" s="2803"/>
      <c r="AL282" s="1900"/>
      <c r="AM282" s="1738"/>
      <c r="AN282" s="1738"/>
      <c r="AO282" s="1738"/>
      <c r="AP282" s="1738"/>
      <c r="AQ282" s="1738"/>
      <c r="AR282" s="1738"/>
      <c r="AS282" s="1738"/>
      <c r="AT282" s="1738"/>
      <c r="AU282" s="1738"/>
      <c r="AV282" s="1738"/>
      <c r="AW282" s="1738"/>
      <c r="AX282" s="1738"/>
      <c r="AY282" s="1738"/>
      <c r="AZ282" s="1738"/>
      <c r="BA282" s="1738"/>
      <c r="BB282" s="1738"/>
      <c r="BC282" s="1738"/>
      <c r="BD282" s="1738"/>
      <c r="BE282" s="1738"/>
      <c r="BF282" s="1738"/>
      <c r="BG282" s="2010"/>
    </row>
    <row r="283" spans="1:59" ht="11.25" customHeight="1">
      <c r="A283" s="1084" t="s">
        <v>987</v>
      </c>
      <c r="B283" s="1084"/>
      <c r="C283" s="1084"/>
      <c r="D283" s="1078"/>
      <c r="E283" s="1088"/>
      <c r="F283" s="2791"/>
      <c r="G283" s="2798"/>
      <c r="H283" s="2787" t="s">
        <v>102</v>
      </c>
      <c r="I283" s="2799"/>
      <c r="J283" s="2800"/>
      <c r="K283" s="2801"/>
      <c r="L283" s="2524"/>
      <c r="M283" s="2525"/>
      <c r="N283" s="2804"/>
      <c r="O283" s="2805"/>
      <c r="P283" s="2808"/>
      <c r="Q283" s="2800"/>
      <c r="R283" s="2759"/>
      <c r="S283" s="2809"/>
      <c r="T283" s="2759"/>
      <c r="U283" s="2759"/>
      <c r="V283" s="2759"/>
      <c r="W283" s="2759"/>
      <c r="X283" s="2759"/>
      <c r="Y283" s="2759"/>
      <c r="Z283" s="1093"/>
      <c r="AA283" s="1094"/>
      <c r="AB283" s="1159" t="s">
        <v>1033</v>
      </c>
      <c r="AC283" s="1098"/>
      <c r="AD283" s="1098"/>
      <c r="AE283" s="1100"/>
      <c r="AF283" s="2802"/>
      <c r="AG283" s="2803"/>
      <c r="AH283" s="2803"/>
      <c r="AI283" s="2802"/>
      <c r="AJ283" s="2803"/>
      <c r="AK283" s="2803"/>
      <c r="AL283" s="1900"/>
      <c r="AM283" s="1738"/>
      <c r="AN283" s="1738"/>
      <c r="AO283" s="1738"/>
      <c r="AP283" s="1738"/>
      <c r="AQ283" s="1738"/>
      <c r="AR283" s="1738"/>
      <c r="AS283" s="1738"/>
      <c r="AT283" s="1738"/>
      <c r="AU283" s="1738"/>
      <c r="AV283" s="1738"/>
      <c r="AW283" s="1738"/>
      <c r="AX283" s="1738"/>
      <c r="AY283" s="1738"/>
      <c r="AZ283" s="1738"/>
      <c r="BA283" s="1738"/>
      <c r="BB283" s="1738"/>
      <c r="BC283" s="1738"/>
      <c r="BD283" s="1738"/>
      <c r="BE283" s="1738"/>
      <c r="BF283" s="1738"/>
      <c r="BG283" s="2010"/>
    </row>
    <row r="284" spans="1:59" ht="11.25" customHeight="1">
      <c r="A284" s="1084" t="s">
        <v>987</v>
      </c>
      <c r="B284" s="1084"/>
      <c r="C284" s="1084"/>
      <c r="D284" s="1078"/>
      <c r="E284" s="1088"/>
      <c r="F284" s="2791"/>
      <c r="G284" s="2798"/>
      <c r="H284" s="2787" t="s">
        <v>102</v>
      </c>
      <c r="I284" s="2799"/>
      <c r="J284" s="2800"/>
      <c r="K284" s="2801"/>
      <c r="L284" s="2524"/>
      <c r="M284" s="2525"/>
      <c r="N284" s="1093"/>
      <c r="O284" s="1094"/>
      <c r="P284" s="1086" t="s">
        <v>1034</v>
      </c>
      <c r="Q284" s="1094"/>
      <c r="R284" s="1094"/>
      <c r="S284" s="1094"/>
      <c r="T284" s="1094"/>
      <c r="U284" s="1094"/>
      <c r="V284" s="1094"/>
      <c r="W284" s="1094"/>
      <c r="X284" s="1094"/>
      <c r="Y284" s="1094"/>
      <c r="Z284" s="1094"/>
      <c r="AA284" s="1094"/>
      <c r="AB284" s="1094"/>
      <c r="AC284" s="1094"/>
      <c r="AD284" s="1094"/>
      <c r="AE284" s="1101"/>
      <c r="AF284" s="2802"/>
      <c r="AG284" s="2803"/>
      <c r="AH284" s="2803"/>
      <c r="AI284" s="2802"/>
      <c r="AJ284" s="2803"/>
      <c r="AK284" s="2803"/>
      <c r="AL284" s="1900"/>
      <c r="AM284" s="1738"/>
      <c r="AN284" s="1738"/>
      <c r="AO284" s="1738"/>
      <c r="AP284" s="1738"/>
      <c r="AQ284" s="1738"/>
      <c r="AR284" s="1738"/>
      <c r="AS284" s="1738"/>
      <c r="AT284" s="1738"/>
      <c r="AU284" s="1738"/>
      <c r="AV284" s="1738"/>
      <c r="AW284" s="1738"/>
      <c r="AX284" s="1738"/>
      <c r="AY284" s="1738"/>
      <c r="AZ284" s="1738"/>
      <c r="BA284" s="1738"/>
      <c r="BB284" s="1738"/>
      <c r="BC284" s="1738"/>
      <c r="BD284" s="1738"/>
      <c r="BE284" s="1738"/>
      <c r="BF284" s="1738"/>
      <c r="BG284" s="2010"/>
    </row>
    <row r="285" spans="1:59" ht="11.25" customHeight="1">
      <c r="A285" s="1084" t="s">
        <v>987</v>
      </c>
      <c r="B285" s="1084" t="s">
        <v>1018</v>
      </c>
      <c r="C285" s="1084"/>
      <c r="D285" s="1078"/>
      <c r="E285" s="1088"/>
      <c r="F285" s="2791"/>
      <c r="G285" s="2776" t="s">
        <v>680</v>
      </c>
      <c r="H285" s="2787" t="s">
        <v>86</v>
      </c>
      <c r="I285" s="2799" t="s">
        <v>1019</v>
      </c>
      <c r="J285" s="2800" t="s">
        <v>1035</v>
      </c>
      <c r="K285" s="2801" t="s">
        <v>1048</v>
      </c>
      <c r="L285" s="2524" t="s">
        <v>19</v>
      </c>
      <c r="M285" s="2525"/>
      <c r="N285" s="1898"/>
      <c r="O285" s="1095" t="s">
        <v>367</v>
      </c>
      <c r="P285" s="1096"/>
      <c r="Q285" s="1096"/>
      <c r="R285" s="1096"/>
      <c r="S285" s="1096"/>
      <c r="T285" s="1096"/>
      <c r="U285" s="1096"/>
      <c r="V285" s="1096"/>
      <c r="W285" s="1096"/>
      <c r="X285" s="1096"/>
      <c r="Y285" s="1096"/>
      <c r="Z285" s="1096"/>
      <c r="AA285" s="1096"/>
      <c r="AB285" s="1096"/>
      <c r="AC285" s="1096"/>
      <c r="AD285" s="1096"/>
      <c r="AE285" s="1096"/>
      <c r="AF285" s="2802">
        <v>4</v>
      </c>
      <c r="AG285" s="2803" t="s">
        <v>1022</v>
      </c>
      <c r="AH285" s="2803" t="s">
        <v>1023</v>
      </c>
      <c r="AI285" s="2802"/>
      <c r="AJ285" s="2803"/>
      <c r="AK285" s="2803"/>
      <c r="AL285" s="1900"/>
      <c r="AM285" s="1738"/>
      <c r="AN285" s="1738"/>
      <c r="AO285" s="1738"/>
      <c r="AP285" s="1738"/>
      <c r="AQ285" s="1738"/>
      <c r="AR285" s="1738"/>
      <c r="AS285" s="1738"/>
      <c r="AT285" s="1738"/>
      <c r="AU285" s="1738"/>
      <c r="AV285" s="1738"/>
      <c r="AW285" s="1738"/>
      <c r="AX285" s="1738"/>
      <c r="AY285" s="1738"/>
      <c r="AZ285" s="1738"/>
      <c r="BA285" s="1738"/>
      <c r="BB285" s="1738"/>
      <c r="BC285" s="1738"/>
      <c r="BD285" s="1738"/>
      <c r="BE285" s="1738"/>
      <c r="BF285" s="1738"/>
      <c r="BG285" s="2010"/>
    </row>
    <row r="286" spans="1:59" ht="11.25" customHeight="1">
      <c r="A286" s="1084" t="s">
        <v>987</v>
      </c>
      <c r="B286" s="1084"/>
      <c r="C286" s="1084"/>
      <c r="D286" s="1078"/>
      <c r="E286" s="1088"/>
      <c r="F286" s="2791"/>
      <c r="G286" s="2798"/>
      <c r="H286" s="2787" t="s">
        <v>103</v>
      </c>
      <c r="I286" s="2799"/>
      <c r="J286" s="2800"/>
      <c r="K286" s="2801"/>
      <c r="L286" s="2524"/>
      <c r="M286" s="2525"/>
      <c r="N286" s="2804"/>
      <c r="O286" s="2805">
        <v>1</v>
      </c>
      <c r="P286" s="2806" t="s">
        <v>65</v>
      </c>
      <c r="Q286" s="2800" t="s">
        <v>1024</v>
      </c>
      <c r="R286" s="2809" t="s">
        <v>1061</v>
      </c>
      <c r="S286" s="2809" t="s">
        <v>1062</v>
      </c>
      <c r="T286" s="2809" t="s">
        <v>1062</v>
      </c>
      <c r="U286" s="2809" t="s">
        <v>1063</v>
      </c>
      <c r="V286" s="2809" t="s">
        <v>1064</v>
      </c>
      <c r="W286" s="2809" t="s">
        <v>1065</v>
      </c>
      <c r="X286" s="2809" t="s">
        <v>1030</v>
      </c>
      <c r="Y286" s="2809" t="s">
        <v>1031</v>
      </c>
      <c r="Z286" s="1093"/>
      <c r="AA286" s="1094"/>
      <c r="AB286" s="1094"/>
      <c r="AC286" s="1098"/>
      <c r="AD286" s="1098"/>
      <c r="AE286" s="1099"/>
      <c r="AF286" s="2802"/>
      <c r="AG286" s="2803"/>
      <c r="AH286" s="2803"/>
      <c r="AI286" s="2802"/>
      <c r="AJ286" s="2803"/>
      <c r="AK286" s="2803"/>
      <c r="AL286" s="1900"/>
      <c r="AM286" s="1738"/>
      <c r="AN286" s="1738"/>
      <c r="AO286" s="1738"/>
      <c r="AP286" s="1738"/>
      <c r="AQ286" s="1738"/>
      <c r="AR286" s="1738"/>
      <c r="AS286" s="1738"/>
      <c r="AT286" s="1738"/>
      <c r="AU286" s="1738"/>
      <c r="AV286" s="1738"/>
      <c r="AW286" s="1738"/>
      <c r="AX286" s="1738"/>
      <c r="AY286" s="1738"/>
      <c r="AZ286" s="1738"/>
      <c r="BA286" s="1738"/>
      <c r="BB286" s="1738"/>
      <c r="BC286" s="1738"/>
      <c r="BD286" s="1738"/>
      <c r="BE286" s="1738"/>
      <c r="BF286" s="1738"/>
      <c r="BG286" s="2010"/>
    </row>
    <row r="287" spans="1:59" ht="11.25" customHeight="1">
      <c r="A287" s="1084" t="s">
        <v>987</v>
      </c>
      <c r="B287" s="1084"/>
      <c r="C287" s="1084"/>
      <c r="D287" s="1078"/>
      <c r="E287" s="1088"/>
      <c r="F287" s="2791"/>
      <c r="G287" s="2798"/>
      <c r="H287" s="2787" t="s">
        <v>103</v>
      </c>
      <c r="I287" s="2799"/>
      <c r="J287" s="2800"/>
      <c r="K287" s="2801"/>
      <c r="L287" s="2524"/>
      <c r="M287" s="2525"/>
      <c r="N287" s="2804"/>
      <c r="O287" s="2805"/>
      <c r="P287" s="2807"/>
      <c r="Q287" s="2800"/>
      <c r="R287" s="2759"/>
      <c r="S287" s="2809"/>
      <c r="T287" s="2759"/>
      <c r="U287" s="2759"/>
      <c r="V287" s="2759"/>
      <c r="W287" s="2759"/>
      <c r="X287" s="2759"/>
      <c r="Y287" s="2759"/>
      <c r="Z287" s="1743"/>
      <c r="AA287" s="1711">
        <v>1</v>
      </c>
      <c r="AB287" s="1097" t="s">
        <v>1050</v>
      </c>
      <c r="AC287" s="1087">
        <v>378.66206</v>
      </c>
      <c r="AD287" s="1097" t="str">
        <f>AB287</f>
        <v xml:space="preserve">  Прочие собственные средства</v>
      </c>
      <c r="AE287" s="1087"/>
      <c r="AF287" s="2802"/>
      <c r="AG287" s="2803"/>
      <c r="AH287" s="2803"/>
      <c r="AI287" s="2802"/>
      <c r="AJ287" s="2803"/>
      <c r="AK287" s="2803"/>
      <c r="AL287" s="1900"/>
      <c r="AM287" s="1738"/>
      <c r="AN287" s="1738"/>
      <c r="AO287" s="1738"/>
      <c r="AP287" s="1738"/>
      <c r="AQ287" s="1738"/>
      <c r="AR287" s="1738"/>
      <c r="AS287" s="1738"/>
      <c r="AT287" s="1738"/>
      <c r="AU287" s="1738"/>
      <c r="AV287" s="1738"/>
      <c r="AW287" s="1738"/>
      <c r="AX287" s="1738"/>
      <c r="AY287" s="1738"/>
      <c r="AZ287" s="1738"/>
      <c r="BA287" s="1738"/>
      <c r="BB287" s="1738"/>
      <c r="BC287" s="1738"/>
      <c r="BD287" s="1738"/>
      <c r="BE287" s="1738"/>
      <c r="BF287" s="1738"/>
      <c r="BG287" s="2010"/>
    </row>
    <row r="288" spans="1:59" ht="11.25" customHeight="1">
      <c r="A288" s="1084" t="s">
        <v>987</v>
      </c>
      <c r="B288" s="1084"/>
      <c r="C288" s="1084"/>
      <c r="D288" s="1078"/>
      <c r="E288" s="1088"/>
      <c r="F288" s="2791"/>
      <c r="G288" s="2798"/>
      <c r="H288" s="2787" t="s">
        <v>103</v>
      </c>
      <c r="I288" s="2799"/>
      <c r="J288" s="2800"/>
      <c r="K288" s="2801"/>
      <c r="L288" s="2524"/>
      <c r="M288" s="2525"/>
      <c r="N288" s="2804"/>
      <c r="O288" s="2805"/>
      <c r="P288" s="2808"/>
      <c r="Q288" s="2800"/>
      <c r="R288" s="2759"/>
      <c r="S288" s="2809"/>
      <c r="T288" s="2759"/>
      <c r="U288" s="2759"/>
      <c r="V288" s="2759"/>
      <c r="W288" s="2759"/>
      <c r="X288" s="2759"/>
      <c r="Y288" s="2759"/>
      <c r="Z288" s="1093"/>
      <c r="AA288" s="1094"/>
      <c r="AB288" s="1159" t="s">
        <v>1033</v>
      </c>
      <c r="AC288" s="1098"/>
      <c r="AD288" s="1098"/>
      <c r="AE288" s="1100"/>
      <c r="AF288" s="2802"/>
      <c r="AG288" s="2803"/>
      <c r="AH288" s="2803"/>
      <c r="AI288" s="2802"/>
      <c r="AJ288" s="2803"/>
      <c r="AK288" s="2803"/>
      <c r="AL288" s="1900"/>
      <c r="AM288" s="1738"/>
      <c r="AN288" s="1738"/>
      <c r="AO288" s="1738"/>
      <c r="AP288" s="1738"/>
      <c r="AQ288" s="1738"/>
      <c r="AR288" s="1738"/>
      <c r="AS288" s="1738"/>
      <c r="AT288" s="1738"/>
      <c r="AU288" s="1738"/>
      <c r="AV288" s="1738"/>
      <c r="AW288" s="1738"/>
      <c r="AX288" s="1738"/>
      <c r="AY288" s="1738"/>
      <c r="AZ288" s="1738"/>
      <c r="BA288" s="1738"/>
      <c r="BB288" s="1738"/>
      <c r="BC288" s="1738"/>
      <c r="BD288" s="1738"/>
      <c r="BE288" s="1738"/>
      <c r="BF288" s="1738"/>
      <c r="BG288" s="2010"/>
    </row>
    <row r="289" spans="1:59" ht="11.25" customHeight="1">
      <c r="A289" s="1084" t="s">
        <v>987</v>
      </c>
      <c r="B289" s="1084"/>
      <c r="C289" s="1084"/>
      <c r="D289" s="1078"/>
      <c r="E289" s="1088"/>
      <c r="F289" s="2791"/>
      <c r="G289" s="2798"/>
      <c r="H289" s="2787" t="s">
        <v>103</v>
      </c>
      <c r="I289" s="2799"/>
      <c r="J289" s="2800"/>
      <c r="K289" s="2801"/>
      <c r="L289" s="2524"/>
      <c r="M289" s="2525"/>
      <c r="N289" s="1093"/>
      <c r="O289" s="1094"/>
      <c r="P289" s="1086" t="s">
        <v>1034</v>
      </c>
      <c r="Q289" s="1094"/>
      <c r="R289" s="1094"/>
      <c r="S289" s="1094"/>
      <c r="T289" s="1094"/>
      <c r="U289" s="1094"/>
      <c r="V289" s="1094"/>
      <c r="W289" s="1094"/>
      <c r="X289" s="1094"/>
      <c r="Y289" s="1094"/>
      <c r="Z289" s="1094"/>
      <c r="AA289" s="1094"/>
      <c r="AB289" s="1094"/>
      <c r="AC289" s="1094"/>
      <c r="AD289" s="1094"/>
      <c r="AE289" s="1101"/>
      <c r="AF289" s="2802"/>
      <c r="AG289" s="2803"/>
      <c r="AH289" s="2803"/>
      <c r="AI289" s="2802"/>
      <c r="AJ289" s="2803"/>
      <c r="AK289" s="2803"/>
      <c r="AL289" s="1900"/>
      <c r="AM289" s="1738"/>
      <c r="AN289" s="1738"/>
      <c r="AO289" s="1738"/>
      <c r="AP289" s="1738"/>
      <c r="AQ289" s="1738"/>
      <c r="AR289" s="1738"/>
      <c r="AS289" s="1738"/>
      <c r="AT289" s="1738"/>
      <c r="AU289" s="1738"/>
      <c r="AV289" s="1738"/>
      <c r="AW289" s="1738"/>
      <c r="AX289" s="1738"/>
      <c r="AY289" s="1738"/>
      <c r="AZ289" s="1738"/>
      <c r="BA289" s="1738"/>
      <c r="BB289" s="1738"/>
      <c r="BC289" s="1738"/>
      <c r="BD289" s="1738"/>
      <c r="BE289" s="1738"/>
      <c r="BF289" s="1738"/>
      <c r="BG289" s="2010"/>
    </row>
    <row r="290" spans="1:59" ht="11.25" customHeight="1">
      <c r="A290" s="1084" t="s">
        <v>987</v>
      </c>
      <c r="B290" s="1084" t="s">
        <v>1018</v>
      </c>
      <c r="C290" s="1084"/>
      <c r="D290" s="1078"/>
      <c r="E290" s="1088"/>
      <c r="F290" s="2791"/>
      <c r="G290" s="2776" t="s">
        <v>680</v>
      </c>
      <c r="H290" s="2787" t="s">
        <v>87</v>
      </c>
      <c r="I290" s="2799" t="s">
        <v>1019</v>
      </c>
      <c r="J290" s="2800" t="s">
        <v>1035</v>
      </c>
      <c r="K290" s="2801" t="s">
        <v>1049</v>
      </c>
      <c r="L290" s="2524" t="s">
        <v>19</v>
      </c>
      <c r="M290" s="2525"/>
      <c r="N290" s="1898"/>
      <c r="O290" s="1095" t="s">
        <v>367</v>
      </c>
      <c r="P290" s="1096"/>
      <c r="Q290" s="1096"/>
      <c r="R290" s="1096"/>
      <c r="S290" s="1096"/>
      <c r="T290" s="1096"/>
      <c r="U290" s="1096"/>
      <c r="V290" s="1096"/>
      <c r="W290" s="1096"/>
      <c r="X290" s="1096"/>
      <c r="Y290" s="1096"/>
      <c r="Z290" s="1096"/>
      <c r="AA290" s="1096"/>
      <c r="AB290" s="1096"/>
      <c r="AC290" s="1096"/>
      <c r="AD290" s="1096"/>
      <c r="AE290" s="1096"/>
      <c r="AF290" s="2802">
        <v>1</v>
      </c>
      <c r="AG290" s="2803" t="s">
        <v>1022</v>
      </c>
      <c r="AH290" s="2803" t="s">
        <v>1038</v>
      </c>
      <c r="AI290" s="2802"/>
      <c r="AJ290" s="2803"/>
      <c r="AK290" s="2803"/>
      <c r="AL290" s="1900"/>
      <c r="AM290" s="1738"/>
      <c r="AN290" s="1738"/>
      <c r="AO290" s="1738"/>
      <c r="AP290" s="1738"/>
      <c r="AQ290" s="1738"/>
      <c r="AR290" s="1738"/>
      <c r="AS290" s="1738"/>
      <c r="AT290" s="1738"/>
      <c r="AU290" s="1738"/>
      <c r="AV290" s="1738"/>
      <c r="AW290" s="1738"/>
      <c r="AX290" s="1738"/>
      <c r="AY290" s="1738"/>
      <c r="AZ290" s="1738"/>
      <c r="BA290" s="1738"/>
      <c r="BB290" s="1738"/>
      <c r="BC290" s="1738"/>
      <c r="BD290" s="1738"/>
      <c r="BE290" s="1738"/>
      <c r="BF290" s="1738"/>
      <c r="BG290" s="2010"/>
    </row>
    <row r="291" spans="1:59" ht="11.25" customHeight="1">
      <c r="A291" s="1084" t="s">
        <v>987</v>
      </c>
      <c r="B291" s="1084"/>
      <c r="C291" s="1084"/>
      <c r="D291" s="1078"/>
      <c r="E291" s="1088"/>
      <c r="F291" s="2791"/>
      <c r="G291" s="2798"/>
      <c r="H291" s="2787" t="s">
        <v>86</v>
      </c>
      <c r="I291" s="2799"/>
      <c r="J291" s="2800"/>
      <c r="K291" s="2801"/>
      <c r="L291" s="2524"/>
      <c r="M291" s="2525"/>
      <c r="N291" s="2804"/>
      <c r="O291" s="2805">
        <v>1</v>
      </c>
      <c r="P291" s="2806" t="s">
        <v>65</v>
      </c>
      <c r="Q291" s="2800" t="s">
        <v>1024</v>
      </c>
      <c r="R291" s="2809" t="s">
        <v>1061</v>
      </c>
      <c r="S291" s="2809" t="s">
        <v>1062</v>
      </c>
      <c r="T291" s="2809" t="s">
        <v>1062</v>
      </c>
      <c r="U291" s="2809" t="s">
        <v>1063</v>
      </c>
      <c r="V291" s="2809" t="s">
        <v>1064</v>
      </c>
      <c r="W291" s="2809" t="s">
        <v>1065</v>
      </c>
      <c r="X291" s="2809" t="s">
        <v>1030</v>
      </c>
      <c r="Y291" s="2809" t="s">
        <v>1031</v>
      </c>
      <c r="Z291" s="1093"/>
      <c r="AA291" s="1094"/>
      <c r="AB291" s="1094"/>
      <c r="AC291" s="1098"/>
      <c r="AD291" s="1098"/>
      <c r="AE291" s="1099"/>
      <c r="AF291" s="2802"/>
      <c r="AG291" s="2803"/>
      <c r="AH291" s="2803"/>
      <c r="AI291" s="2802"/>
      <c r="AJ291" s="2803"/>
      <c r="AK291" s="2803"/>
      <c r="AL291" s="1900"/>
      <c r="AM291" s="1738"/>
      <c r="AN291" s="1738"/>
      <c r="AO291" s="1738"/>
      <c r="AP291" s="1738"/>
      <c r="AQ291" s="1738"/>
      <c r="AR291" s="1738"/>
      <c r="AS291" s="1738"/>
      <c r="AT291" s="1738"/>
      <c r="AU291" s="1738"/>
      <c r="AV291" s="1738"/>
      <c r="AW291" s="1738"/>
      <c r="AX291" s="1738"/>
      <c r="AY291" s="1738"/>
      <c r="AZ291" s="1738"/>
      <c r="BA291" s="1738"/>
      <c r="BB291" s="1738"/>
      <c r="BC291" s="1738"/>
      <c r="BD291" s="1738"/>
      <c r="BE291" s="1738"/>
      <c r="BF291" s="1738"/>
      <c r="BG291" s="2010"/>
    </row>
    <row r="292" spans="1:59" ht="11.25" customHeight="1">
      <c r="A292" s="1084" t="s">
        <v>987</v>
      </c>
      <c r="B292" s="1084"/>
      <c r="C292" s="1084"/>
      <c r="D292" s="1078"/>
      <c r="E292" s="1088"/>
      <c r="F292" s="2791"/>
      <c r="G292" s="2798"/>
      <c r="H292" s="2787" t="s">
        <v>86</v>
      </c>
      <c r="I292" s="2799"/>
      <c r="J292" s="2800"/>
      <c r="K292" s="2801"/>
      <c r="L292" s="2524"/>
      <c r="M292" s="2525"/>
      <c r="N292" s="2804"/>
      <c r="O292" s="2805"/>
      <c r="P292" s="2807"/>
      <c r="Q292" s="2800"/>
      <c r="R292" s="2759"/>
      <c r="S292" s="2809"/>
      <c r="T292" s="2759"/>
      <c r="U292" s="2759"/>
      <c r="V292" s="2759"/>
      <c r="W292" s="2759"/>
      <c r="X292" s="2759"/>
      <c r="Y292" s="2759"/>
      <c r="Z292" s="1743"/>
      <c r="AA292" s="1711">
        <v>1</v>
      </c>
      <c r="AB292" s="1097" t="s">
        <v>1050</v>
      </c>
      <c r="AC292" s="1087">
        <v>1623.3610200000001</v>
      </c>
      <c r="AD292" s="1097" t="str">
        <f>AB292</f>
        <v xml:space="preserve">  Прочие собственные средства</v>
      </c>
      <c r="AE292" s="1087"/>
      <c r="AF292" s="2802"/>
      <c r="AG292" s="2803"/>
      <c r="AH292" s="2803"/>
      <c r="AI292" s="2802"/>
      <c r="AJ292" s="2803"/>
      <c r="AK292" s="2803"/>
      <c r="AL292" s="1900"/>
      <c r="AM292" s="1738"/>
      <c r="AN292" s="1738"/>
      <c r="AO292" s="1738"/>
      <c r="AP292" s="1738"/>
      <c r="AQ292" s="1738"/>
      <c r="AR292" s="1738"/>
      <c r="AS292" s="1738"/>
      <c r="AT292" s="1738"/>
      <c r="AU292" s="1738"/>
      <c r="AV292" s="1738"/>
      <c r="AW292" s="1738"/>
      <c r="AX292" s="1738"/>
      <c r="AY292" s="1738"/>
      <c r="AZ292" s="1738"/>
      <c r="BA292" s="1738"/>
      <c r="BB292" s="1738"/>
      <c r="BC292" s="1738"/>
      <c r="BD292" s="1738"/>
      <c r="BE292" s="1738"/>
      <c r="BF292" s="1738"/>
      <c r="BG292" s="2010"/>
    </row>
    <row r="293" spans="1:59" ht="11.25" customHeight="1">
      <c r="A293" s="1084" t="s">
        <v>987</v>
      </c>
      <c r="B293" s="1084"/>
      <c r="C293" s="1084"/>
      <c r="D293" s="1078"/>
      <c r="E293" s="1088"/>
      <c r="F293" s="2791"/>
      <c r="G293" s="2798"/>
      <c r="H293" s="2787" t="s">
        <v>86</v>
      </c>
      <c r="I293" s="2799"/>
      <c r="J293" s="2800"/>
      <c r="K293" s="2801"/>
      <c r="L293" s="2524"/>
      <c r="M293" s="2525"/>
      <c r="N293" s="2804"/>
      <c r="O293" s="2805"/>
      <c r="P293" s="2808"/>
      <c r="Q293" s="2800"/>
      <c r="R293" s="2759"/>
      <c r="S293" s="2809"/>
      <c r="T293" s="2759"/>
      <c r="U293" s="2759"/>
      <c r="V293" s="2759"/>
      <c r="W293" s="2759"/>
      <c r="X293" s="2759"/>
      <c r="Y293" s="2759"/>
      <c r="Z293" s="1093"/>
      <c r="AA293" s="1094"/>
      <c r="AB293" s="1159" t="s">
        <v>1033</v>
      </c>
      <c r="AC293" s="1098"/>
      <c r="AD293" s="1098"/>
      <c r="AE293" s="1100"/>
      <c r="AF293" s="2802"/>
      <c r="AG293" s="2803"/>
      <c r="AH293" s="2803"/>
      <c r="AI293" s="2802"/>
      <c r="AJ293" s="2803"/>
      <c r="AK293" s="2803"/>
      <c r="AL293" s="1900"/>
      <c r="AM293" s="1738"/>
      <c r="AN293" s="1738"/>
      <c r="AO293" s="1738"/>
      <c r="AP293" s="1738"/>
      <c r="AQ293" s="1738"/>
      <c r="AR293" s="1738"/>
      <c r="AS293" s="1738"/>
      <c r="AT293" s="1738"/>
      <c r="AU293" s="1738"/>
      <c r="AV293" s="1738"/>
      <c r="AW293" s="1738"/>
      <c r="AX293" s="1738"/>
      <c r="AY293" s="1738"/>
      <c r="AZ293" s="1738"/>
      <c r="BA293" s="1738"/>
      <c r="BB293" s="1738"/>
      <c r="BC293" s="1738"/>
      <c r="BD293" s="1738"/>
      <c r="BE293" s="1738"/>
      <c r="BF293" s="1738"/>
      <c r="BG293" s="2010"/>
    </row>
    <row r="294" spans="1:59" ht="11.25" customHeight="1">
      <c r="A294" s="1084" t="s">
        <v>987</v>
      </c>
      <c r="B294" s="1084"/>
      <c r="C294" s="1084"/>
      <c r="D294" s="1078"/>
      <c r="E294" s="1088"/>
      <c r="F294" s="2791"/>
      <c r="G294" s="2798"/>
      <c r="H294" s="2787" t="s">
        <v>86</v>
      </c>
      <c r="I294" s="2799"/>
      <c r="J294" s="2800"/>
      <c r="K294" s="2801"/>
      <c r="L294" s="2524"/>
      <c r="M294" s="2525"/>
      <c r="N294" s="1093"/>
      <c r="O294" s="1094"/>
      <c r="P294" s="1086" t="s">
        <v>1034</v>
      </c>
      <c r="Q294" s="1094"/>
      <c r="R294" s="1094"/>
      <c r="S294" s="1094"/>
      <c r="T294" s="1094"/>
      <c r="U294" s="1094"/>
      <c r="V294" s="1094"/>
      <c r="W294" s="1094"/>
      <c r="X294" s="1094"/>
      <c r="Y294" s="1094"/>
      <c r="Z294" s="1094"/>
      <c r="AA294" s="1094"/>
      <c r="AB294" s="1094"/>
      <c r="AC294" s="1094"/>
      <c r="AD294" s="1094"/>
      <c r="AE294" s="1101"/>
      <c r="AF294" s="2802"/>
      <c r="AG294" s="2803"/>
      <c r="AH294" s="2803"/>
      <c r="AI294" s="2802"/>
      <c r="AJ294" s="2803"/>
      <c r="AK294" s="2803"/>
      <c r="AL294" s="1900"/>
      <c r="AM294" s="1738"/>
      <c r="AN294" s="1738"/>
      <c r="AO294" s="1738"/>
      <c r="AP294" s="1738"/>
      <c r="AQ294" s="1738"/>
      <c r="AR294" s="1738"/>
      <c r="AS294" s="1738"/>
      <c r="AT294" s="1738"/>
      <c r="AU294" s="1738"/>
      <c r="AV294" s="1738"/>
      <c r="AW294" s="1738"/>
      <c r="AX294" s="1738"/>
      <c r="AY294" s="1738"/>
      <c r="AZ294" s="1738"/>
      <c r="BA294" s="1738"/>
      <c r="BB294" s="1738"/>
      <c r="BC294" s="1738"/>
      <c r="BD294" s="1738"/>
      <c r="BE294" s="1738"/>
      <c r="BF294" s="1738"/>
      <c r="BG294" s="2010"/>
    </row>
    <row r="295" spans="1:59" ht="11.25" customHeight="1">
      <c r="A295" s="1084" t="s">
        <v>987</v>
      </c>
      <c r="B295" s="1084" t="s">
        <v>1018</v>
      </c>
      <c r="C295" s="1084"/>
      <c r="D295" s="1078"/>
      <c r="E295" s="1088"/>
      <c r="F295" s="2791"/>
      <c r="G295" s="2776" t="s">
        <v>680</v>
      </c>
      <c r="H295" s="2787" t="s">
        <v>104</v>
      </c>
      <c r="I295" s="2799" t="s">
        <v>1019</v>
      </c>
      <c r="J295" s="2800" t="s">
        <v>1035</v>
      </c>
      <c r="K295" s="2801" t="s">
        <v>1051</v>
      </c>
      <c r="L295" s="2524" t="s">
        <v>19</v>
      </c>
      <c r="M295" s="2525"/>
      <c r="N295" s="1898"/>
      <c r="O295" s="1095" t="s">
        <v>367</v>
      </c>
      <c r="P295" s="1096"/>
      <c r="Q295" s="1096"/>
      <c r="R295" s="1096"/>
      <c r="S295" s="1096"/>
      <c r="T295" s="1096"/>
      <c r="U295" s="1096"/>
      <c r="V295" s="1096"/>
      <c r="W295" s="1096"/>
      <c r="X295" s="1096"/>
      <c r="Y295" s="1096"/>
      <c r="Z295" s="1096"/>
      <c r="AA295" s="1096"/>
      <c r="AB295" s="1096"/>
      <c r="AC295" s="1096"/>
      <c r="AD295" s="1096"/>
      <c r="AE295" s="1096"/>
      <c r="AF295" s="2802">
        <v>1</v>
      </c>
      <c r="AG295" s="2803" t="s">
        <v>1022</v>
      </c>
      <c r="AH295" s="2803" t="s">
        <v>1038</v>
      </c>
      <c r="AI295" s="2802"/>
      <c r="AJ295" s="2803"/>
      <c r="AK295" s="2803"/>
      <c r="AL295" s="1900"/>
      <c r="AM295" s="1738"/>
      <c r="AN295" s="1738"/>
      <c r="AO295" s="1738"/>
      <c r="AP295" s="1738"/>
      <c r="AQ295" s="1738"/>
      <c r="AR295" s="1738"/>
      <c r="AS295" s="1738"/>
      <c r="AT295" s="1738"/>
      <c r="AU295" s="1738"/>
      <c r="AV295" s="1738"/>
      <c r="AW295" s="1738"/>
      <c r="AX295" s="1738"/>
      <c r="AY295" s="1738"/>
      <c r="AZ295" s="1738"/>
      <c r="BA295" s="1738"/>
      <c r="BB295" s="1738"/>
      <c r="BC295" s="1738"/>
      <c r="BD295" s="1738"/>
      <c r="BE295" s="1738"/>
      <c r="BF295" s="1738"/>
      <c r="BG295" s="2010"/>
    </row>
    <row r="296" spans="1:59" ht="11.25" customHeight="1">
      <c r="A296" s="1084" t="s">
        <v>987</v>
      </c>
      <c r="B296" s="1084"/>
      <c r="C296" s="1084"/>
      <c r="D296" s="1078"/>
      <c r="E296" s="1088"/>
      <c r="F296" s="2791"/>
      <c r="G296" s="2798"/>
      <c r="H296" s="2787" t="s">
        <v>87</v>
      </c>
      <c r="I296" s="2799"/>
      <c r="J296" s="2800"/>
      <c r="K296" s="2801"/>
      <c r="L296" s="2524"/>
      <c r="M296" s="2525"/>
      <c r="N296" s="2804"/>
      <c r="O296" s="2805">
        <v>1</v>
      </c>
      <c r="P296" s="2806" t="s">
        <v>65</v>
      </c>
      <c r="Q296" s="2800" t="s">
        <v>1024</v>
      </c>
      <c r="R296" s="2809" t="s">
        <v>1061</v>
      </c>
      <c r="S296" s="2809" t="s">
        <v>1062</v>
      </c>
      <c r="T296" s="2809" t="s">
        <v>1062</v>
      </c>
      <c r="U296" s="2809" t="s">
        <v>1063</v>
      </c>
      <c r="V296" s="2809" t="s">
        <v>1064</v>
      </c>
      <c r="W296" s="2809" t="s">
        <v>1065</v>
      </c>
      <c r="X296" s="2809" t="s">
        <v>1030</v>
      </c>
      <c r="Y296" s="2809" t="s">
        <v>1031</v>
      </c>
      <c r="Z296" s="1093"/>
      <c r="AA296" s="1094"/>
      <c r="AB296" s="1094"/>
      <c r="AC296" s="1098"/>
      <c r="AD296" s="1098"/>
      <c r="AE296" s="1099"/>
      <c r="AF296" s="2802"/>
      <c r="AG296" s="2803"/>
      <c r="AH296" s="2803"/>
      <c r="AI296" s="2802"/>
      <c r="AJ296" s="2803"/>
      <c r="AK296" s="2803"/>
      <c r="AL296" s="1900"/>
      <c r="AM296" s="1738"/>
      <c r="AN296" s="1738"/>
      <c r="AO296" s="1738"/>
      <c r="AP296" s="1738"/>
      <c r="AQ296" s="1738"/>
      <c r="AR296" s="1738"/>
      <c r="AS296" s="1738"/>
      <c r="AT296" s="1738"/>
      <c r="AU296" s="1738"/>
      <c r="AV296" s="1738"/>
      <c r="AW296" s="1738"/>
      <c r="AX296" s="1738"/>
      <c r="AY296" s="1738"/>
      <c r="AZ296" s="1738"/>
      <c r="BA296" s="1738"/>
      <c r="BB296" s="1738"/>
      <c r="BC296" s="1738"/>
      <c r="BD296" s="1738"/>
      <c r="BE296" s="1738"/>
      <c r="BF296" s="1738"/>
      <c r="BG296" s="2010"/>
    </row>
    <row r="297" spans="1:59" ht="11.25" customHeight="1">
      <c r="A297" s="1084" t="s">
        <v>987</v>
      </c>
      <c r="B297" s="1084"/>
      <c r="C297" s="1084"/>
      <c r="D297" s="1078"/>
      <c r="E297" s="1088"/>
      <c r="F297" s="2791"/>
      <c r="G297" s="2798"/>
      <c r="H297" s="2787" t="s">
        <v>87</v>
      </c>
      <c r="I297" s="2799"/>
      <c r="J297" s="2800"/>
      <c r="K297" s="2801"/>
      <c r="L297" s="2524"/>
      <c r="M297" s="2525"/>
      <c r="N297" s="2804"/>
      <c r="O297" s="2805"/>
      <c r="P297" s="2807"/>
      <c r="Q297" s="2800"/>
      <c r="R297" s="2759"/>
      <c r="S297" s="2809"/>
      <c r="T297" s="2759"/>
      <c r="U297" s="2759"/>
      <c r="V297" s="2759"/>
      <c r="W297" s="2759"/>
      <c r="X297" s="2759"/>
      <c r="Y297" s="2759"/>
      <c r="Z297" s="1743"/>
      <c r="AA297" s="1711">
        <v>1</v>
      </c>
      <c r="AB297" s="1097" t="s">
        <v>1050</v>
      </c>
      <c r="AC297" s="1087">
        <v>909.78450999999995</v>
      </c>
      <c r="AD297" s="1097" t="str">
        <f>AB297</f>
        <v xml:space="preserve">  Прочие собственные средства</v>
      </c>
      <c r="AE297" s="1087"/>
      <c r="AF297" s="2802"/>
      <c r="AG297" s="2803"/>
      <c r="AH297" s="2803"/>
      <c r="AI297" s="2802"/>
      <c r="AJ297" s="2803"/>
      <c r="AK297" s="2803"/>
      <c r="AL297" s="1900"/>
      <c r="AM297" s="1738"/>
      <c r="AN297" s="1738"/>
      <c r="AO297" s="1738"/>
      <c r="AP297" s="1738"/>
      <c r="AQ297" s="1738"/>
      <c r="AR297" s="1738"/>
      <c r="AS297" s="1738"/>
      <c r="AT297" s="1738"/>
      <c r="AU297" s="1738"/>
      <c r="AV297" s="1738"/>
      <c r="AW297" s="1738"/>
      <c r="AX297" s="1738"/>
      <c r="AY297" s="1738"/>
      <c r="AZ297" s="1738"/>
      <c r="BA297" s="1738"/>
      <c r="BB297" s="1738"/>
      <c r="BC297" s="1738"/>
      <c r="BD297" s="1738"/>
      <c r="BE297" s="1738"/>
      <c r="BF297" s="1738"/>
      <c r="BG297" s="2010"/>
    </row>
    <row r="298" spans="1:59" ht="11.25" customHeight="1">
      <c r="A298" s="1084" t="s">
        <v>987</v>
      </c>
      <c r="B298" s="1084"/>
      <c r="C298" s="1084"/>
      <c r="D298" s="1078"/>
      <c r="E298" s="1088"/>
      <c r="F298" s="2791"/>
      <c r="G298" s="2798"/>
      <c r="H298" s="2787" t="s">
        <v>87</v>
      </c>
      <c r="I298" s="2799"/>
      <c r="J298" s="2800"/>
      <c r="K298" s="2801"/>
      <c r="L298" s="2524"/>
      <c r="M298" s="2525"/>
      <c r="N298" s="2804"/>
      <c r="O298" s="2805"/>
      <c r="P298" s="2808"/>
      <c r="Q298" s="2800"/>
      <c r="R298" s="2759"/>
      <c r="S298" s="2809"/>
      <c r="T298" s="2759"/>
      <c r="U298" s="2759"/>
      <c r="V298" s="2759"/>
      <c r="W298" s="2759"/>
      <c r="X298" s="2759"/>
      <c r="Y298" s="2759"/>
      <c r="Z298" s="1093"/>
      <c r="AA298" s="1094"/>
      <c r="AB298" s="1159" t="s">
        <v>1033</v>
      </c>
      <c r="AC298" s="1098"/>
      <c r="AD298" s="1098"/>
      <c r="AE298" s="1100"/>
      <c r="AF298" s="2802"/>
      <c r="AG298" s="2803"/>
      <c r="AH298" s="2803"/>
      <c r="AI298" s="2802"/>
      <c r="AJ298" s="2803"/>
      <c r="AK298" s="2803"/>
      <c r="AL298" s="1900"/>
      <c r="AM298" s="1738"/>
      <c r="AN298" s="1738"/>
      <c r="AO298" s="1738"/>
      <c r="AP298" s="1738"/>
      <c r="AQ298" s="1738"/>
      <c r="AR298" s="1738"/>
      <c r="AS298" s="1738"/>
      <c r="AT298" s="1738"/>
      <c r="AU298" s="1738"/>
      <c r="AV298" s="1738"/>
      <c r="AW298" s="1738"/>
      <c r="AX298" s="1738"/>
      <c r="AY298" s="1738"/>
      <c r="AZ298" s="1738"/>
      <c r="BA298" s="1738"/>
      <c r="BB298" s="1738"/>
      <c r="BC298" s="1738"/>
      <c r="BD298" s="1738"/>
      <c r="BE298" s="1738"/>
      <c r="BF298" s="1738"/>
      <c r="BG298" s="2010"/>
    </row>
    <row r="299" spans="1:59" ht="11.25" customHeight="1">
      <c r="A299" s="1084" t="s">
        <v>987</v>
      </c>
      <c r="B299" s="1084"/>
      <c r="C299" s="1084"/>
      <c r="D299" s="1078"/>
      <c r="E299" s="1088"/>
      <c r="F299" s="2791"/>
      <c r="G299" s="2798"/>
      <c r="H299" s="2787" t="s">
        <v>87</v>
      </c>
      <c r="I299" s="2799"/>
      <c r="J299" s="2800"/>
      <c r="K299" s="2801"/>
      <c r="L299" s="2524"/>
      <c r="M299" s="2525"/>
      <c r="N299" s="1093"/>
      <c r="O299" s="1094"/>
      <c r="P299" s="1086" t="s">
        <v>1034</v>
      </c>
      <c r="Q299" s="1094"/>
      <c r="R299" s="1094"/>
      <c r="S299" s="1094"/>
      <c r="T299" s="1094"/>
      <c r="U299" s="1094"/>
      <c r="V299" s="1094"/>
      <c r="W299" s="1094"/>
      <c r="X299" s="1094"/>
      <c r="Y299" s="1094"/>
      <c r="Z299" s="1094"/>
      <c r="AA299" s="1094"/>
      <c r="AB299" s="1094"/>
      <c r="AC299" s="1094"/>
      <c r="AD299" s="1094"/>
      <c r="AE299" s="1101"/>
      <c r="AF299" s="2802"/>
      <c r="AG299" s="2803"/>
      <c r="AH299" s="2803"/>
      <c r="AI299" s="2802"/>
      <c r="AJ299" s="2803"/>
      <c r="AK299" s="2803"/>
      <c r="AL299" s="1900"/>
      <c r="AM299" s="1738"/>
      <c r="AN299" s="1738"/>
      <c r="AO299" s="1738"/>
      <c r="AP299" s="1738"/>
      <c r="AQ299" s="1738"/>
      <c r="AR299" s="1738"/>
      <c r="AS299" s="1738"/>
      <c r="AT299" s="1738"/>
      <c r="AU299" s="1738"/>
      <c r="AV299" s="1738"/>
      <c r="AW299" s="1738"/>
      <c r="AX299" s="1738"/>
      <c r="AY299" s="1738"/>
      <c r="AZ299" s="1738"/>
      <c r="BA299" s="1738"/>
      <c r="BB299" s="1738"/>
      <c r="BC299" s="1738"/>
      <c r="BD299" s="1738"/>
      <c r="BE299" s="1738"/>
      <c r="BF299" s="1738"/>
      <c r="BG299" s="2010"/>
    </row>
    <row r="300" spans="1:59" ht="11.25" customHeight="1">
      <c r="A300" s="1084" t="s">
        <v>987</v>
      </c>
      <c r="B300" s="1084" t="s">
        <v>1018</v>
      </c>
      <c r="C300" s="1084"/>
      <c r="D300" s="1078"/>
      <c r="E300" s="1088"/>
      <c r="F300" s="2791"/>
      <c r="G300" s="2776" t="s">
        <v>680</v>
      </c>
      <c r="H300" s="2787" t="s">
        <v>88</v>
      </c>
      <c r="I300" s="2799" t="s">
        <v>1019</v>
      </c>
      <c r="J300" s="2800" t="s">
        <v>1035</v>
      </c>
      <c r="K300" s="2801" t="s">
        <v>1052</v>
      </c>
      <c r="L300" s="2524" t="s">
        <v>19</v>
      </c>
      <c r="M300" s="2525"/>
      <c r="N300" s="1898"/>
      <c r="O300" s="1095" t="s">
        <v>367</v>
      </c>
      <c r="P300" s="1096"/>
      <c r="Q300" s="1096"/>
      <c r="R300" s="1096"/>
      <c r="S300" s="1096"/>
      <c r="T300" s="1096"/>
      <c r="U300" s="1096"/>
      <c r="V300" s="1096"/>
      <c r="W300" s="1096"/>
      <c r="X300" s="1096"/>
      <c r="Y300" s="1096"/>
      <c r="Z300" s="1096"/>
      <c r="AA300" s="1096"/>
      <c r="AB300" s="1096"/>
      <c r="AC300" s="1096"/>
      <c r="AD300" s="1096"/>
      <c r="AE300" s="1096"/>
      <c r="AF300" s="2802">
        <v>5</v>
      </c>
      <c r="AG300" s="2803" t="s">
        <v>1022</v>
      </c>
      <c r="AH300" s="2803" t="s">
        <v>1045</v>
      </c>
      <c r="AI300" s="2802"/>
      <c r="AJ300" s="2803"/>
      <c r="AK300" s="2803"/>
      <c r="AL300" s="1900"/>
      <c r="AM300" s="1738"/>
      <c r="AN300" s="1738"/>
      <c r="AO300" s="1738"/>
      <c r="AP300" s="1738"/>
      <c r="AQ300" s="1738"/>
      <c r="AR300" s="1738"/>
      <c r="AS300" s="1738"/>
      <c r="AT300" s="1738"/>
      <c r="AU300" s="1738"/>
      <c r="AV300" s="1738"/>
      <c r="AW300" s="1738"/>
      <c r="AX300" s="1738"/>
      <c r="AY300" s="1738"/>
      <c r="AZ300" s="1738"/>
      <c r="BA300" s="1738"/>
      <c r="BB300" s="1738"/>
      <c r="BC300" s="1738"/>
      <c r="BD300" s="1738"/>
      <c r="BE300" s="1738"/>
      <c r="BF300" s="1738"/>
      <c r="BG300" s="2010"/>
    </row>
    <row r="301" spans="1:59" ht="11.25" customHeight="1">
      <c r="A301" s="1084" t="s">
        <v>987</v>
      </c>
      <c r="B301" s="1084"/>
      <c r="C301" s="1084"/>
      <c r="D301" s="1078"/>
      <c r="E301" s="1088"/>
      <c r="F301" s="2791"/>
      <c r="G301" s="2798"/>
      <c r="H301" s="2787" t="s">
        <v>104</v>
      </c>
      <c r="I301" s="2799"/>
      <c r="J301" s="2800"/>
      <c r="K301" s="2801"/>
      <c r="L301" s="2524"/>
      <c r="M301" s="2525"/>
      <c r="N301" s="2804"/>
      <c r="O301" s="2805">
        <v>1</v>
      </c>
      <c r="P301" s="2806" t="s">
        <v>65</v>
      </c>
      <c r="Q301" s="2800" t="s">
        <v>1024</v>
      </c>
      <c r="R301" s="2809" t="s">
        <v>1061</v>
      </c>
      <c r="S301" s="2809" t="s">
        <v>1062</v>
      </c>
      <c r="T301" s="2809" t="s">
        <v>1062</v>
      </c>
      <c r="U301" s="2809" t="s">
        <v>1063</v>
      </c>
      <c r="V301" s="2809" t="s">
        <v>1064</v>
      </c>
      <c r="W301" s="2809" t="s">
        <v>1065</v>
      </c>
      <c r="X301" s="2809" t="s">
        <v>1030</v>
      </c>
      <c r="Y301" s="2809" t="s">
        <v>1031</v>
      </c>
      <c r="Z301" s="1093"/>
      <c r="AA301" s="1094"/>
      <c r="AB301" s="1094"/>
      <c r="AC301" s="1098"/>
      <c r="AD301" s="1098"/>
      <c r="AE301" s="1099"/>
      <c r="AF301" s="2802"/>
      <c r="AG301" s="2803"/>
      <c r="AH301" s="2803"/>
      <c r="AI301" s="2802"/>
      <c r="AJ301" s="2803"/>
      <c r="AK301" s="2803"/>
      <c r="AL301" s="1900"/>
      <c r="AM301" s="1738"/>
      <c r="AN301" s="1738"/>
      <c r="AO301" s="1738"/>
      <c r="AP301" s="1738"/>
      <c r="AQ301" s="1738"/>
      <c r="AR301" s="1738"/>
      <c r="AS301" s="1738"/>
      <c r="AT301" s="1738"/>
      <c r="AU301" s="1738"/>
      <c r="AV301" s="1738"/>
      <c r="AW301" s="1738"/>
      <c r="AX301" s="1738"/>
      <c r="AY301" s="1738"/>
      <c r="AZ301" s="1738"/>
      <c r="BA301" s="1738"/>
      <c r="BB301" s="1738"/>
      <c r="BC301" s="1738"/>
      <c r="BD301" s="1738"/>
      <c r="BE301" s="1738"/>
      <c r="BF301" s="1738"/>
      <c r="BG301" s="2010"/>
    </row>
    <row r="302" spans="1:59" ht="11.25" customHeight="1">
      <c r="A302" s="1084" t="s">
        <v>987</v>
      </c>
      <c r="B302" s="1084"/>
      <c r="C302" s="1084"/>
      <c r="D302" s="1078"/>
      <c r="E302" s="1088"/>
      <c r="F302" s="2791"/>
      <c r="G302" s="2798"/>
      <c r="H302" s="2787" t="s">
        <v>104</v>
      </c>
      <c r="I302" s="2799"/>
      <c r="J302" s="2800"/>
      <c r="K302" s="2801"/>
      <c r="L302" s="2524"/>
      <c r="M302" s="2525"/>
      <c r="N302" s="2804"/>
      <c r="O302" s="2805"/>
      <c r="P302" s="2807"/>
      <c r="Q302" s="2800"/>
      <c r="R302" s="2759"/>
      <c r="S302" s="2809"/>
      <c r="T302" s="2759"/>
      <c r="U302" s="2759"/>
      <c r="V302" s="2759"/>
      <c r="W302" s="2759"/>
      <c r="X302" s="2759"/>
      <c r="Y302" s="2759"/>
      <c r="Z302" s="1743"/>
      <c r="AA302" s="1711">
        <v>1</v>
      </c>
      <c r="AB302" s="1097" t="s">
        <v>1032</v>
      </c>
      <c r="AC302" s="1087">
        <v>6493.5869499999999</v>
      </c>
      <c r="AD302" s="1097" t="str">
        <f>AB302</f>
        <v xml:space="preserve">      Амортизационные отчисления с выделением результатов переоценки основных средств и нематериальных активов</v>
      </c>
      <c r="AE302" s="1087"/>
      <c r="AF302" s="2802"/>
      <c r="AG302" s="2803"/>
      <c r="AH302" s="2803"/>
      <c r="AI302" s="2802"/>
      <c r="AJ302" s="2803"/>
      <c r="AK302" s="2803"/>
      <c r="AL302" s="1900"/>
      <c r="AM302" s="1738"/>
      <c r="AN302" s="1738"/>
      <c r="AO302" s="1738"/>
      <c r="AP302" s="1738"/>
      <c r="AQ302" s="1738"/>
      <c r="AR302" s="1738"/>
      <c r="AS302" s="1738"/>
      <c r="AT302" s="1738"/>
      <c r="AU302" s="1738"/>
      <c r="AV302" s="1738"/>
      <c r="AW302" s="1738"/>
      <c r="AX302" s="1738"/>
      <c r="AY302" s="1738"/>
      <c r="AZ302" s="1738"/>
      <c r="BA302" s="1738"/>
      <c r="BB302" s="1738"/>
      <c r="BC302" s="1738"/>
      <c r="BD302" s="1738"/>
      <c r="BE302" s="1738"/>
      <c r="BF302" s="1738"/>
      <c r="BG302" s="2010"/>
    </row>
    <row r="303" spans="1:59" ht="11.25" customHeight="1">
      <c r="A303" s="1084" t="s">
        <v>987</v>
      </c>
      <c r="B303" s="1084"/>
      <c r="C303" s="1084"/>
      <c r="D303" s="1078"/>
      <c r="E303" s="1088"/>
      <c r="F303" s="2791"/>
      <c r="G303" s="2798"/>
      <c r="H303" s="2787" t="s">
        <v>104</v>
      </c>
      <c r="I303" s="2799"/>
      <c r="J303" s="2800"/>
      <c r="K303" s="2801"/>
      <c r="L303" s="2524"/>
      <c r="M303" s="2525"/>
      <c r="N303" s="2804"/>
      <c r="O303" s="2805"/>
      <c r="P303" s="2808"/>
      <c r="Q303" s="2800"/>
      <c r="R303" s="2759"/>
      <c r="S303" s="2809"/>
      <c r="T303" s="2759"/>
      <c r="U303" s="2759"/>
      <c r="V303" s="2759"/>
      <c r="W303" s="2759"/>
      <c r="X303" s="2759"/>
      <c r="Y303" s="2759"/>
      <c r="Z303" s="1093"/>
      <c r="AA303" s="1094"/>
      <c r="AB303" s="1159" t="s">
        <v>1033</v>
      </c>
      <c r="AC303" s="1098"/>
      <c r="AD303" s="1098"/>
      <c r="AE303" s="1100"/>
      <c r="AF303" s="2802"/>
      <c r="AG303" s="2803"/>
      <c r="AH303" s="2803"/>
      <c r="AI303" s="2802"/>
      <c r="AJ303" s="2803"/>
      <c r="AK303" s="2803"/>
      <c r="AL303" s="1900"/>
      <c r="AM303" s="1738"/>
      <c r="AN303" s="1738"/>
      <c r="AO303" s="1738"/>
      <c r="AP303" s="1738"/>
      <c r="AQ303" s="1738"/>
      <c r="AR303" s="1738"/>
      <c r="AS303" s="1738"/>
      <c r="AT303" s="1738"/>
      <c r="AU303" s="1738"/>
      <c r="AV303" s="1738"/>
      <c r="AW303" s="1738"/>
      <c r="AX303" s="1738"/>
      <c r="AY303" s="1738"/>
      <c r="AZ303" s="1738"/>
      <c r="BA303" s="1738"/>
      <c r="BB303" s="1738"/>
      <c r="BC303" s="1738"/>
      <c r="BD303" s="1738"/>
      <c r="BE303" s="1738"/>
      <c r="BF303" s="1738"/>
      <c r="BG303" s="2010"/>
    </row>
    <row r="304" spans="1:59" ht="11.25" customHeight="1">
      <c r="A304" s="1084" t="s">
        <v>987</v>
      </c>
      <c r="B304" s="1084"/>
      <c r="C304" s="1084"/>
      <c r="D304" s="1078"/>
      <c r="E304" s="1088"/>
      <c r="F304" s="2791"/>
      <c r="G304" s="2798"/>
      <c r="H304" s="2787" t="s">
        <v>104</v>
      </c>
      <c r="I304" s="2799"/>
      <c r="J304" s="2800"/>
      <c r="K304" s="2801"/>
      <c r="L304" s="2524"/>
      <c r="M304" s="2525"/>
      <c r="N304" s="1093"/>
      <c r="O304" s="1094"/>
      <c r="P304" s="1086" t="s">
        <v>1034</v>
      </c>
      <c r="Q304" s="1094"/>
      <c r="R304" s="1094"/>
      <c r="S304" s="1094"/>
      <c r="T304" s="1094"/>
      <c r="U304" s="1094"/>
      <c r="V304" s="1094"/>
      <c r="W304" s="1094"/>
      <c r="X304" s="1094"/>
      <c r="Y304" s="1094"/>
      <c r="Z304" s="1094"/>
      <c r="AA304" s="1094"/>
      <c r="AB304" s="1094"/>
      <c r="AC304" s="1094"/>
      <c r="AD304" s="1094"/>
      <c r="AE304" s="1101"/>
      <c r="AF304" s="2802"/>
      <c r="AG304" s="2803"/>
      <c r="AH304" s="2803"/>
      <c r="AI304" s="2802"/>
      <c r="AJ304" s="2803"/>
      <c r="AK304" s="2803"/>
      <c r="AL304" s="1900"/>
      <c r="AM304" s="1738"/>
      <c r="AN304" s="1738"/>
      <c r="AO304" s="1738"/>
      <c r="AP304" s="1738"/>
      <c r="AQ304" s="1738"/>
      <c r="AR304" s="1738"/>
      <c r="AS304" s="1738"/>
      <c r="AT304" s="1738"/>
      <c r="AU304" s="1738"/>
      <c r="AV304" s="1738"/>
      <c r="AW304" s="1738"/>
      <c r="AX304" s="1738"/>
      <c r="AY304" s="1738"/>
      <c r="AZ304" s="1738"/>
      <c r="BA304" s="1738"/>
      <c r="BB304" s="1738"/>
      <c r="BC304" s="1738"/>
      <c r="BD304" s="1738"/>
      <c r="BE304" s="1738"/>
      <c r="BF304" s="1738"/>
      <c r="BG304" s="2010"/>
    </row>
    <row r="305" spans="1:59" ht="11.25" customHeight="1">
      <c r="A305" s="1084" t="s">
        <v>987</v>
      </c>
      <c r="B305" s="1084" t="s">
        <v>1018</v>
      </c>
      <c r="C305" s="1084"/>
      <c r="D305" s="1078"/>
      <c r="E305" s="1088"/>
      <c r="F305" s="2791"/>
      <c r="G305" s="2776" t="s">
        <v>680</v>
      </c>
      <c r="H305" s="2787" t="s">
        <v>89</v>
      </c>
      <c r="I305" s="2799" t="s">
        <v>1019</v>
      </c>
      <c r="J305" s="2800" t="s">
        <v>1035</v>
      </c>
      <c r="K305" s="2801" t="s">
        <v>1053</v>
      </c>
      <c r="L305" s="2524" t="s">
        <v>19</v>
      </c>
      <c r="M305" s="2525"/>
      <c r="N305" s="1898"/>
      <c r="O305" s="1095" t="s">
        <v>367</v>
      </c>
      <c r="P305" s="1096"/>
      <c r="Q305" s="1096"/>
      <c r="R305" s="1096"/>
      <c r="S305" s="1096"/>
      <c r="T305" s="1096"/>
      <c r="U305" s="1096"/>
      <c r="V305" s="1096"/>
      <c r="W305" s="1096"/>
      <c r="X305" s="1096"/>
      <c r="Y305" s="1096"/>
      <c r="Z305" s="1096"/>
      <c r="AA305" s="1096"/>
      <c r="AB305" s="1096"/>
      <c r="AC305" s="1096"/>
      <c r="AD305" s="1096"/>
      <c r="AE305" s="1096"/>
      <c r="AF305" s="2802">
        <v>2</v>
      </c>
      <c r="AG305" s="2803" t="s">
        <v>1022</v>
      </c>
      <c r="AH305" s="2803" t="s">
        <v>1042</v>
      </c>
      <c r="AI305" s="2802"/>
      <c r="AJ305" s="2803"/>
      <c r="AK305" s="2803"/>
      <c r="AL305" s="1900"/>
      <c r="AM305" s="1738"/>
      <c r="AN305" s="1738"/>
      <c r="AO305" s="1738"/>
      <c r="AP305" s="1738"/>
      <c r="AQ305" s="1738"/>
      <c r="AR305" s="1738"/>
      <c r="AS305" s="1738"/>
      <c r="AT305" s="1738"/>
      <c r="AU305" s="1738"/>
      <c r="AV305" s="1738"/>
      <c r="AW305" s="1738"/>
      <c r="AX305" s="1738"/>
      <c r="AY305" s="1738"/>
      <c r="AZ305" s="1738"/>
      <c r="BA305" s="1738"/>
      <c r="BB305" s="1738"/>
      <c r="BC305" s="1738"/>
      <c r="BD305" s="1738"/>
      <c r="BE305" s="1738"/>
      <c r="BF305" s="1738"/>
      <c r="BG305" s="2010"/>
    </row>
    <row r="306" spans="1:59" ht="11.25" customHeight="1">
      <c r="A306" s="1084" t="s">
        <v>987</v>
      </c>
      <c r="B306" s="1084"/>
      <c r="C306" s="1084"/>
      <c r="D306" s="1078"/>
      <c r="E306" s="1088"/>
      <c r="F306" s="2791"/>
      <c r="G306" s="2798"/>
      <c r="H306" s="2787" t="s">
        <v>88</v>
      </c>
      <c r="I306" s="2799"/>
      <c r="J306" s="2800"/>
      <c r="K306" s="2801"/>
      <c r="L306" s="2524"/>
      <c r="M306" s="2525"/>
      <c r="N306" s="2804"/>
      <c r="O306" s="2805">
        <v>1</v>
      </c>
      <c r="P306" s="2806" t="s">
        <v>65</v>
      </c>
      <c r="Q306" s="2800" t="s">
        <v>1024</v>
      </c>
      <c r="R306" s="2809" t="s">
        <v>1061</v>
      </c>
      <c r="S306" s="2809" t="s">
        <v>1062</v>
      </c>
      <c r="T306" s="2809" t="s">
        <v>1062</v>
      </c>
      <c r="U306" s="2809" t="s">
        <v>1063</v>
      </c>
      <c r="V306" s="2809" t="s">
        <v>1064</v>
      </c>
      <c r="W306" s="2809" t="s">
        <v>1065</v>
      </c>
      <c r="X306" s="2809" t="s">
        <v>1030</v>
      </c>
      <c r="Y306" s="2809" t="s">
        <v>1031</v>
      </c>
      <c r="Z306" s="1093"/>
      <c r="AA306" s="1094"/>
      <c r="AB306" s="1094"/>
      <c r="AC306" s="1098"/>
      <c r="AD306" s="1098"/>
      <c r="AE306" s="1099"/>
      <c r="AF306" s="2802"/>
      <c r="AG306" s="2803"/>
      <c r="AH306" s="2803"/>
      <c r="AI306" s="2802"/>
      <c r="AJ306" s="2803"/>
      <c r="AK306" s="2803"/>
      <c r="AL306" s="1900"/>
      <c r="AM306" s="1738"/>
      <c r="AN306" s="1738"/>
      <c r="AO306" s="1738"/>
      <c r="AP306" s="1738"/>
      <c r="AQ306" s="1738"/>
      <c r="AR306" s="1738"/>
      <c r="AS306" s="1738"/>
      <c r="AT306" s="1738"/>
      <c r="AU306" s="1738"/>
      <c r="AV306" s="1738"/>
      <c r="AW306" s="1738"/>
      <c r="AX306" s="1738"/>
      <c r="AY306" s="1738"/>
      <c r="AZ306" s="1738"/>
      <c r="BA306" s="1738"/>
      <c r="BB306" s="1738"/>
      <c r="BC306" s="1738"/>
      <c r="BD306" s="1738"/>
      <c r="BE306" s="1738"/>
      <c r="BF306" s="1738"/>
      <c r="BG306" s="2010"/>
    </row>
    <row r="307" spans="1:59" ht="11.25" customHeight="1">
      <c r="A307" s="1084" t="s">
        <v>987</v>
      </c>
      <c r="B307" s="1084"/>
      <c r="C307" s="1084"/>
      <c r="D307" s="1078"/>
      <c r="E307" s="1088"/>
      <c r="F307" s="2791"/>
      <c r="G307" s="2798"/>
      <c r="H307" s="2787" t="s">
        <v>88</v>
      </c>
      <c r="I307" s="2799"/>
      <c r="J307" s="2800"/>
      <c r="K307" s="2801"/>
      <c r="L307" s="2524"/>
      <c r="M307" s="2525"/>
      <c r="N307" s="2804"/>
      <c r="O307" s="2805"/>
      <c r="P307" s="2807"/>
      <c r="Q307" s="2800"/>
      <c r="R307" s="2759"/>
      <c r="S307" s="2809"/>
      <c r="T307" s="2759"/>
      <c r="U307" s="2759"/>
      <c r="V307" s="2759"/>
      <c r="W307" s="2759"/>
      <c r="X307" s="2759"/>
      <c r="Y307" s="2759"/>
      <c r="Z307" s="1743"/>
      <c r="AA307" s="1711">
        <v>1</v>
      </c>
      <c r="AB307" s="1097" t="s">
        <v>1032</v>
      </c>
      <c r="AC307" s="1087">
        <v>3286.5185000000001</v>
      </c>
      <c r="AD307" s="1097" t="str">
        <f>AB307</f>
        <v xml:space="preserve">      Амортизационные отчисления с выделением результатов переоценки основных средств и нематериальных активов</v>
      </c>
      <c r="AE307" s="1087"/>
      <c r="AF307" s="2802"/>
      <c r="AG307" s="2803"/>
      <c r="AH307" s="2803"/>
      <c r="AI307" s="2802"/>
      <c r="AJ307" s="2803"/>
      <c r="AK307" s="2803"/>
      <c r="AL307" s="1900"/>
      <c r="AM307" s="1738"/>
      <c r="AN307" s="1738"/>
      <c r="AO307" s="1738"/>
      <c r="AP307" s="1738"/>
      <c r="AQ307" s="1738"/>
      <c r="AR307" s="1738"/>
      <c r="AS307" s="1738"/>
      <c r="AT307" s="1738"/>
      <c r="AU307" s="1738"/>
      <c r="AV307" s="1738"/>
      <c r="AW307" s="1738"/>
      <c r="AX307" s="1738"/>
      <c r="AY307" s="1738"/>
      <c r="AZ307" s="1738"/>
      <c r="BA307" s="1738"/>
      <c r="BB307" s="1738"/>
      <c r="BC307" s="1738"/>
      <c r="BD307" s="1738"/>
      <c r="BE307" s="1738"/>
      <c r="BF307" s="1738"/>
      <c r="BG307" s="2010"/>
    </row>
    <row r="308" spans="1:59" ht="11.25" customHeight="1">
      <c r="A308" s="1084" t="s">
        <v>987</v>
      </c>
      <c r="B308" s="1084"/>
      <c r="C308" s="1084"/>
      <c r="D308" s="1078"/>
      <c r="E308" s="1088"/>
      <c r="F308" s="2798"/>
      <c r="G308" s="2798"/>
      <c r="H308" s="2798"/>
      <c r="I308" s="2798"/>
      <c r="J308" s="2798"/>
      <c r="K308" s="2798"/>
      <c r="L308" s="2798"/>
      <c r="M308" s="2798"/>
      <c r="N308" s="2798"/>
      <c r="O308" s="2798"/>
      <c r="P308" s="2798"/>
      <c r="Q308" s="2798"/>
      <c r="R308" s="2798"/>
      <c r="S308" s="2798"/>
      <c r="T308" s="2798"/>
      <c r="U308" s="2798"/>
      <c r="V308" s="2798"/>
      <c r="W308" s="2798"/>
      <c r="X308" s="2798"/>
      <c r="Y308" s="2798"/>
      <c r="Z308" s="2393" t="s">
        <v>680</v>
      </c>
      <c r="AA308" s="1731" t="s">
        <v>103</v>
      </c>
      <c r="AB308" s="1097" t="s">
        <v>1050</v>
      </c>
      <c r="AC308" s="1087">
        <v>1119.9172100000001</v>
      </c>
      <c r="AD308" s="1097" t="str">
        <f>AB308</f>
        <v xml:space="preserve">  Прочие собственные средства</v>
      </c>
      <c r="AE308" s="1087"/>
      <c r="AF308" s="2810"/>
      <c r="AG308" s="2811"/>
      <c r="AH308" s="2811"/>
      <c r="AI308" s="2810"/>
      <c r="AJ308" s="2811"/>
      <c r="AK308" s="2812"/>
      <c r="AL308" s="1900"/>
      <c r="AM308" s="1738"/>
      <c r="AN308" s="1738"/>
      <c r="AO308" s="1738"/>
      <c r="AP308" s="1738"/>
      <c r="AQ308" s="1738"/>
      <c r="AR308" s="1738"/>
      <c r="AS308" s="1738"/>
      <c r="AT308" s="1738"/>
      <c r="AU308" s="1738"/>
      <c r="AV308" s="1738"/>
      <c r="AW308" s="1738"/>
      <c r="AX308" s="1738"/>
      <c r="AY308" s="1738"/>
      <c r="AZ308" s="1738"/>
      <c r="BA308" s="1738"/>
      <c r="BB308" s="1738"/>
      <c r="BC308" s="1738"/>
      <c r="BD308" s="1738"/>
      <c r="BE308" s="1738"/>
      <c r="BF308" s="1738"/>
      <c r="BG308" s="2394"/>
    </row>
    <row r="309" spans="1:59" ht="11.25" customHeight="1">
      <c r="A309" s="1084" t="s">
        <v>987</v>
      </c>
      <c r="B309" s="1084"/>
      <c r="C309" s="1084"/>
      <c r="D309" s="1078"/>
      <c r="E309" s="1088"/>
      <c r="F309" s="2791"/>
      <c r="G309" s="2798"/>
      <c r="H309" s="2787" t="s">
        <v>88</v>
      </c>
      <c r="I309" s="2799"/>
      <c r="J309" s="2800"/>
      <c r="K309" s="2801"/>
      <c r="L309" s="2524"/>
      <c r="M309" s="2525"/>
      <c r="N309" s="2804"/>
      <c r="O309" s="2805"/>
      <c r="P309" s="2808"/>
      <c r="Q309" s="2800"/>
      <c r="R309" s="2759"/>
      <c r="S309" s="2809"/>
      <c r="T309" s="2759"/>
      <c r="U309" s="2759"/>
      <c r="V309" s="2759"/>
      <c r="W309" s="2759"/>
      <c r="X309" s="2759"/>
      <c r="Y309" s="2759"/>
      <c r="Z309" s="1093"/>
      <c r="AA309" s="1094"/>
      <c r="AB309" s="1159" t="s">
        <v>1033</v>
      </c>
      <c r="AC309" s="1098"/>
      <c r="AD309" s="1098"/>
      <c r="AE309" s="1100"/>
      <c r="AF309" s="2802"/>
      <c r="AG309" s="2803"/>
      <c r="AH309" s="2803"/>
      <c r="AI309" s="2802"/>
      <c r="AJ309" s="2803"/>
      <c r="AK309" s="2803"/>
      <c r="AL309" s="1900"/>
      <c r="AM309" s="1738"/>
      <c r="AN309" s="1738"/>
      <c r="AO309" s="1738"/>
      <c r="AP309" s="1738"/>
      <c r="AQ309" s="1738"/>
      <c r="AR309" s="1738"/>
      <c r="AS309" s="1738"/>
      <c r="AT309" s="1738"/>
      <c r="AU309" s="1738"/>
      <c r="AV309" s="1738"/>
      <c r="AW309" s="1738"/>
      <c r="AX309" s="1738"/>
      <c r="AY309" s="1738"/>
      <c r="AZ309" s="1738"/>
      <c r="BA309" s="1738"/>
      <c r="BB309" s="1738"/>
      <c r="BC309" s="1738"/>
      <c r="BD309" s="1738"/>
      <c r="BE309" s="1738"/>
      <c r="BF309" s="1738"/>
      <c r="BG309" s="2010"/>
    </row>
    <row r="310" spans="1:59" ht="11.25" customHeight="1">
      <c r="A310" s="1084" t="s">
        <v>987</v>
      </c>
      <c r="B310" s="1084"/>
      <c r="C310" s="1084"/>
      <c r="D310" s="1078"/>
      <c r="E310" s="1088"/>
      <c r="F310" s="2791"/>
      <c r="G310" s="2798"/>
      <c r="H310" s="2787" t="s">
        <v>88</v>
      </c>
      <c r="I310" s="2799"/>
      <c r="J310" s="2800"/>
      <c r="K310" s="2801"/>
      <c r="L310" s="2524"/>
      <c r="M310" s="2525"/>
      <c r="N310" s="1093"/>
      <c r="O310" s="1094"/>
      <c r="P310" s="1086" t="s">
        <v>1034</v>
      </c>
      <c r="Q310" s="1094"/>
      <c r="R310" s="1094"/>
      <c r="S310" s="1094"/>
      <c r="T310" s="1094"/>
      <c r="U310" s="1094"/>
      <c r="V310" s="1094"/>
      <c r="W310" s="1094"/>
      <c r="X310" s="1094"/>
      <c r="Y310" s="1094"/>
      <c r="Z310" s="1094"/>
      <c r="AA310" s="1094"/>
      <c r="AB310" s="1094"/>
      <c r="AC310" s="1094"/>
      <c r="AD310" s="1094"/>
      <c r="AE310" s="1101"/>
      <c r="AF310" s="2802"/>
      <c r="AG310" s="2803"/>
      <c r="AH310" s="2803"/>
      <c r="AI310" s="2802"/>
      <c r="AJ310" s="2803"/>
      <c r="AK310" s="2803"/>
      <c r="AL310" s="1900"/>
      <c r="AM310" s="1738"/>
      <c r="AN310" s="1738"/>
      <c r="AO310" s="1738"/>
      <c r="AP310" s="1738"/>
      <c r="AQ310" s="1738"/>
      <c r="AR310" s="1738"/>
      <c r="AS310" s="1738"/>
      <c r="AT310" s="1738"/>
      <c r="AU310" s="1738"/>
      <c r="AV310" s="1738"/>
      <c r="AW310" s="1738"/>
      <c r="AX310" s="1738"/>
      <c r="AY310" s="1738"/>
      <c r="AZ310" s="1738"/>
      <c r="BA310" s="1738"/>
      <c r="BB310" s="1738"/>
      <c r="BC310" s="1738"/>
      <c r="BD310" s="1738"/>
      <c r="BE310" s="1738"/>
      <c r="BF310" s="1738"/>
      <c r="BG310" s="2010"/>
    </row>
    <row r="311" spans="1:59" ht="12" customHeight="1">
      <c r="A311" s="1084" t="s">
        <v>987</v>
      </c>
      <c r="B311" s="1084"/>
      <c r="C311" s="1084"/>
      <c r="D311" s="1078"/>
      <c r="E311" s="1088"/>
      <c r="F311" s="2792"/>
      <c r="G311" s="1108"/>
      <c r="H311" s="1108"/>
      <c r="I311" s="2789" t="s">
        <v>1047</v>
      </c>
      <c r="J311" s="2789"/>
      <c r="K311" s="2789"/>
      <c r="L311" s="1091"/>
      <c r="M311" s="1091"/>
      <c r="N311" s="1092"/>
      <c r="O311" s="1092"/>
      <c r="P311" s="1092"/>
      <c r="Q311" s="1092"/>
      <c r="R311" s="1092"/>
      <c r="S311" s="1092"/>
      <c r="T311" s="1092"/>
      <c r="U311" s="1092"/>
      <c r="V311" s="1092"/>
      <c r="W311" s="1092"/>
      <c r="X311" s="1092"/>
      <c r="Y311" s="1092"/>
      <c r="Z311" s="1092"/>
      <c r="AA311" s="1092"/>
      <c r="AB311" s="1092"/>
      <c r="AC311" s="1092"/>
      <c r="AD311" s="1092"/>
      <c r="AE311" s="1092"/>
      <c r="AF311" s="1092"/>
      <c r="AG311" s="1091"/>
      <c r="AH311" s="1091"/>
      <c r="AI311" s="1092"/>
      <c r="AJ311" s="1091"/>
      <c r="AK311" s="1092"/>
      <c r="AL311" s="1900"/>
      <c r="AM311" s="1738"/>
      <c r="AN311" s="1738"/>
      <c r="AO311" s="1738"/>
      <c r="AP311" s="1738"/>
      <c r="AQ311" s="1738"/>
      <c r="AR311" s="1738"/>
      <c r="AS311" s="1738"/>
      <c r="AT311" s="1738"/>
      <c r="AU311" s="1738"/>
      <c r="AV311" s="1738"/>
      <c r="AW311" s="1738"/>
      <c r="AX311" s="1738"/>
      <c r="AY311" s="1738"/>
      <c r="AZ311" s="1738"/>
      <c r="BA311" s="1738"/>
      <c r="BB311" s="1738"/>
      <c r="BC311" s="1738"/>
      <c r="BD311" s="1738"/>
      <c r="BE311" s="1738"/>
      <c r="BF311" s="1738"/>
      <c r="BG311" s="2010"/>
    </row>
    <row r="312" spans="1:59" ht="0.75" customHeight="1">
      <c r="A312" s="1084" t="s">
        <v>987</v>
      </c>
      <c r="B312" s="1084"/>
      <c r="C312" s="1084"/>
      <c r="D312" s="1078"/>
      <c r="E312" s="1088"/>
      <c r="F312" s="2790">
        <v>2025</v>
      </c>
      <c r="G312" s="2787"/>
      <c r="H312" s="2794" t="s">
        <v>367</v>
      </c>
      <c r="I312" s="2795"/>
      <c r="J312" s="2786"/>
      <c r="K312" s="2786"/>
      <c r="L312" s="2788"/>
      <c r="M312" s="2639"/>
      <c r="N312" s="1948"/>
      <c r="O312" s="1947"/>
      <c r="P312" s="1948"/>
      <c r="Q312" s="1948"/>
      <c r="R312" s="1948"/>
      <c r="S312" s="1948"/>
      <c r="T312" s="1948"/>
      <c r="U312" s="1948"/>
      <c r="V312" s="1948"/>
      <c r="W312" s="1948"/>
      <c r="X312" s="1948"/>
      <c r="Y312" s="1948"/>
      <c r="Z312" s="1948"/>
      <c r="AA312" s="1948"/>
      <c r="AB312" s="1948"/>
      <c r="AC312" s="1948"/>
      <c r="AD312" s="1948"/>
      <c r="AE312" s="1948"/>
      <c r="AF312" s="2793"/>
      <c r="AG312" s="2788"/>
      <c r="AH312" s="2788"/>
      <c r="AI312" s="2793"/>
      <c r="AJ312" s="2788"/>
      <c r="AK312" s="2788"/>
      <c r="AL312" s="1900"/>
      <c r="AM312" s="1738"/>
      <c r="AN312" s="1738"/>
      <c r="AO312" s="1738"/>
      <c r="AP312" s="1738"/>
      <c r="AQ312" s="1738"/>
      <c r="AR312" s="1738"/>
      <c r="AS312" s="1738"/>
      <c r="AT312" s="1738"/>
      <c r="AU312" s="1738"/>
      <c r="AV312" s="1738"/>
      <c r="AW312" s="1738"/>
      <c r="AX312" s="1738"/>
      <c r="AY312" s="1738"/>
      <c r="AZ312" s="1738"/>
      <c r="BA312" s="1738"/>
      <c r="BB312" s="1738"/>
      <c r="BC312" s="1738"/>
      <c r="BD312" s="1738"/>
      <c r="BE312" s="1738"/>
      <c r="BF312" s="1738"/>
      <c r="BG312" s="2010"/>
    </row>
    <row r="313" spans="1:59" ht="0.75" customHeight="1">
      <c r="A313" s="1084" t="s">
        <v>987</v>
      </c>
      <c r="B313" s="1084"/>
      <c r="C313" s="1084"/>
      <c r="D313" s="1078"/>
      <c r="E313" s="1088"/>
      <c r="F313" s="2790"/>
      <c r="G313" s="2787"/>
      <c r="H313" s="2794"/>
      <c r="I313" s="2795"/>
      <c r="J313" s="2786"/>
      <c r="K313" s="2786"/>
      <c r="L313" s="2788"/>
      <c r="M313" s="2639"/>
      <c r="N313" s="2796"/>
      <c r="O313" s="2797"/>
      <c r="P313" s="2783"/>
      <c r="Q313" s="2786"/>
      <c r="R313" s="2786"/>
      <c r="S313" s="2786"/>
      <c r="T313" s="2786"/>
      <c r="U313" s="2786"/>
      <c r="V313" s="2786"/>
      <c r="W313" s="2786"/>
      <c r="X313" s="2786"/>
      <c r="Y313" s="2786"/>
      <c r="Z313" s="1949"/>
      <c r="AA313" s="1950"/>
      <c r="AB313" s="1950"/>
      <c r="AC313" s="1951"/>
      <c r="AD313" s="1951"/>
      <c r="AE313" s="1952"/>
      <c r="AF313" s="2793"/>
      <c r="AG313" s="2788"/>
      <c r="AH313" s="2788"/>
      <c r="AI313" s="2793"/>
      <c r="AJ313" s="2788"/>
      <c r="AK313" s="2788"/>
      <c r="AL313" s="1900"/>
      <c r="AM313" s="1738"/>
      <c r="AN313" s="1738"/>
      <c r="AO313" s="1738"/>
      <c r="AP313" s="1738"/>
      <c r="AQ313" s="1738"/>
      <c r="AR313" s="1738"/>
      <c r="AS313" s="1738"/>
      <c r="AT313" s="1738"/>
      <c r="AU313" s="1738"/>
      <c r="AV313" s="1738"/>
      <c r="AW313" s="1738"/>
      <c r="AX313" s="1738"/>
      <c r="AY313" s="1738"/>
      <c r="AZ313" s="1738"/>
      <c r="BA313" s="1738"/>
      <c r="BB313" s="1738"/>
      <c r="BC313" s="1738"/>
      <c r="BD313" s="1738"/>
      <c r="BE313" s="1738"/>
      <c r="BF313" s="1738"/>
      <c r="BG313" s="2010"/>
    </row>
    <row r="314" spans="1:59" ht="0.75" customHeight="1">
      <c r="A314" s="1084" t="s">
        <v>987</v>
      </c>
      <c r="B314" s="1084"/>
      <c r="C314" s="1084"/>
      <c r="D314" s="1078"/>
      <c r="E314" s="1088"/>
      <c r="F314" s="2790"/>
      <c r="G314" s="2787"/>
      <c r="H314" s="2794"/>
      <c r="I314" s="2795"/>
      <c r="J314" s="2786"/>
      <c r="K314" s="2786"/>
      <c r="L314" s="2788"/>
      <c r="M314" s="2639"/>
      <c r="N314" s="2796"/>
      <c r="O314" s="2797"/>
      <c r="P314" s="2784"/>
      <c r="Q314" s="2786"/>
      <c r="R314" s="2786"/>
      <c r="S314" s="2786"/>
      <c r="T314" s="2786"/>
      <c r="U314" s="2786"/>
      <c r="V314" s="2786"/>
      <c r="W314" s="2786"/>
      <c r="X314" s="2786"/>
      <c r="Y314" s="2786"/>
      <c r="Z314" s="1953"/>
      <c r="AA314" s="1954"/>
      <c r="AB314" s="1955"/>
      <c r="AC314" s="1956"/>
      <c r="AD314" s="1955"/>
      <c r="AE314" s="1956"/>
      <c r="AF314" s="2793"/>
      <c r="AG314" s="2788"/>
      <c r="AH314" s="2788"/>
      <c r="AI314" s="2793"/>
      <c r="AJ314" s="2788"/>
      <c r="AK314" s="2788"/>
      <c r="AL314" s="1900"/>
      <c r="AM314" s="1738"/>
      <c r="AN314" s="1738"/>
      <c r="AO314" s="1738"/>
      <c r="AP314" s="1738"/>
      <c r="AQ314" s="1738"/>
      <c r="AR314" s="1738"/>
      <c r="AS314" s="1738"/>
      <c r="AT314" s="1738"/>
      <c r="AU314" s="1738"/>
      <c r="AV314" s="1738"/>
      <c r="AW314" s="1738"/>
      <c r="AX314" s="1738"/>
      <c r="AY314" s="1738"/>
      <c r="AZ314" s="1738"/>
      <c r="BA314" s="1738"/>
      <c r="BB314" s="1738"/>
      <c r="BC314" s="1738"/>
      <c r="BD314" s="1738"/>
      <c r="BE314" s="1738"/>
      <c r="BF314" s="1738"/>
      <c r="BG314" s="2010"/>
    </row>
    <row r="315" spans="1:59" ht="0.75" customHeight="1">
      <c r="A315" s="1084" t="s">
        <v>987</v>
      </c>
      <c r="B315" s="1084"/>
      <c r="C315" s="1084"/>
      <c r="D315" s="1078"/>
      <c r="E315" s="1088"/>
      <c r="F315" s="2790"/>
      <c r="G315" s="2787"/>
      <c r="H315" s="2794"/>
      <c r="I315" s="2795"/>
      <c r="J315" s="2786"/>
      <c r="K315" s="2786"/>
      <c r="L315" s="2788"/>
      <c r="M315" s="2639"/>
      <c r="N315" s="2796"/>
      <c r="O315" s="2797"/>
      <c r="P315" s="2785"/>
      <c r="Q315" s="2786"/>
      <c r="R315" s="2786"/>
      <c r="S315" s="2786"/>
      <c r="T315" s="2786"/>
      <c r="U315" s="2786"/>
      <c r="V315" s="2786"/>
      <c r="W315" s="2786"/>
      <c r="X315" s="2786"/>
      <c r="Y315" s="2786"/>
      <c r="Z315" s="1949"/>
      <c r="AA315" s="1950"/>
      <c r="AB315" s="1957"/>
      <c r="AC315" s="1951"/>
      <c r="AD315" s="1951"/>
      <c r="AE315" s="1958"/>
      <c r="AF315" s="2793"/>
      <c r="AG315" s="2788"/>
      <c r="AH315" s="2788"/>
      <c r="AI315" s="2793"/>
      <c r="AJ315" s="2788"/>
      <c r="AK315" s="2788"/>
      <c r="AL315" s="1900"/>
      <c r="AM315" s="1738"/>
      <c r="AN315" s="1738"/>
      <c r="AO315" s="1738"/>
      <c r="AP315" s="1738"/>
      <c r="AQ315" s="1738"/>
      <c r="AR315" s="1738"/>
      <c r="AS315" s="1738"/>
      <c r="AT315" s="1738"/>
      <c r="AU315" s="1738"/>
      <c r="AV315" s="1738"/>
      <c r="AW315" s="1738"/>
      <c r="AX315" s="1738"/>
      <c r="AY315" s="1738"/>
      <c r="AZ315" s="1738"/>
      <c r="BA315" s="1738"/>
      <c r="BB315" s="1738"/>
      <c r="BC315" s="1738"/>
      <c r="BD315" s="1738"/>
      <c r="BE315" s="1738"/>
      <c r="BF315" s="1738"/>
      <c r="BG315" s="2010"/>
    </row>
    <row r="316" spans="1:59" ht="0.75" customHeight="1">
      <c r="A316" s="1084" t="s">
        <v>987</v>
      </c>
      <c r="B316" s="1084"/>
      <c r="C316" s="1084"/>
      <c r="D316" s="1078"/>
      <c r="E316" s="1088"/>
      <c r="F316" s="2790"/>
      <c r="G316" s="2787"/>
      <c r="H316" s="2794"/>
      <c r="I316" s="2795"/>
      <c r="J316" s="2786"/>
      <c r="K316" s="2786"/>
      <c r="L316" s="2788"/>
      <c r="M316" s="2639"/>
      <c r="N316" s="1950"/>
      <c r="O316" s="1950"/>
      <c r="P316" s="1957"/>
      <c r="Q316" s="1950"/>
      <c r="R316" s="1950"/>
      <c r="S316" s="1950"/>
      <c r="T316" s="1950"/>
      <c r="U316" s="1950"/>
      <c r="V316" s="1950"/>
      <c r="W316" s="1950"/>
      <c r="X316" s="1950"/>
      <c r="Y316" s="1950"/>
      <c r="Z316" s="1950"/>
      <c r="AA316" s="1950"/>
      <c r="AB316" s="1950"/>
      <c r="AC316" s="1950"/>
      <c r="AD316" s="1950"/>
      <c r="AE316" s="1959"/>
      <c r="AF316" s="2793"/>
      <c r="AG316" s="2788"/>
      <c r="AH316" s="2788"/>
      <c r="AI316" s="2793"/>
      <c r="AJ316" s="2788"/>
      <c r="AK316" s="2788"/>
      <c r="AL316" s="1900"/>
      <c r="AM316" s="1738"/>
      <c r="AN316" s="1738"/>
      <c r="AO316" s="1738"/>
      <c r="AP316" s="1738"/>
      <c r="AQ316" s="1738"/>
      <c r="AR316" s="1738"/>
      <c r="AS316" s="1738"/>
      <c r="AT316" s="1738"/>
      <c r="AU316" s="1738"/>
      <c r="AV316" s="1738"/>
      <c r="AW316" s="1738"/>
      <c r="AX316" s="1738"/>
      <c r="AY316" s="1738"/>
      <c r="AZ316" s="1738"/>
      <c r="BA316" s="1738"/>
      <c r="BB316" s="1738"/>
      <c r="BC316" s="1738"/>
      <c r="BD316" s="1738"/>
      <c r="BE316" s="1738"/>
      <c r="BF316" s="1738"/>
      <c r="BG316" s="2010"/>
    </row>
    <row r="317" spans="1:59" ht="11.25" customHeight="1">
      <c r="A317" s="1084" t="s">
        <v>987</v>
      </c>
      <c r="B317" s="1084" t="s">
        <v>1018</v>
      </c>
      <c r="C317" s="1084"/>
      <c r="D317" s="1078"/>
      <c r="E317" s="1088"/>
      <c r="F317" s="2791"/>
      <c r="G317" s="2776" t="s">
        <v>680</v>
      </c>
      <c r="H317" s="2787" t="s">
        <v>102</v>
      </c>
      <c r="I317" s="2799" t="s">
        <v>1019</v>
      </c>
      <c r="J317" s="2800" t="s">
        <v>1035</v>
      </c>
      <c r="K317" s="2801" t="s">
        <v>1039</v>
      </c>
      <c r="L317" s="2524" t="s">
        <v>19</v>
      </c>
      <c r="M317" s="2525"/>
      <c r="N317" s="1898"/>
      <c r="O317" s="1095" t="s">
        <v>367</v>
      </c>
      <c r="P317" s="1096"/>
      <c r="Q317" s="1096"/>
      <c r="R317" s="1096"/>
      <c r="S317" s="1096"/>
      <c r="T317" s="1096"/>
      <c r="U317" s="1096"/>
      <c r="V317" s="1096"/>
      <c r="W317" s="1096"/>
      <c r="X317" s="1096"/>
      <c r="Y317" s="1096"/>
      <c r="Z317" s="1096"/>
      <c r="AA317" s="1096"/>
      <c r="AB317" s="1096"/>
      <c r="AC317" s="1096"/>
      <c r="AD317" s="1096"/>
      <c r="AE317" s="1096"/>
      <c r="AF317" s="2802">
        <v>4</v>
      </c>
      <c r="AG317" s="2803" t="s">
        <v>1022</v>
      </c>
      <c r="AH317" s="2803" t="s">
        <v>1040</v>
      </c>
      <c r="AI317" s="2802"/>
      <c r="AJ317" s="2803"/>
      <c r="AK317" s="2803"/>
      <c r="AL317" s="1900"/>
      <c r="AM317" s="1738"/>
      <c r="AN317" s="1738"/>
      <c r="AO317" s="1738"/>
      <c r="AP317" s="1738"/>
      <c r="AQ317" s="1738"/>
      <c r="AR317" s="1738"/>
      <c r="AS317" s="1738"/>
      <c r="AT317" s="1738"/>
      <c r="AU317" s="1738"/>
      <c r="AV317" s="1738"/>
      <c r="AW317" s="1738"/>
      <c r="AX317" s="1738"/>
      <c r="AY317" s="1738"/>
      <c r="AZ317" s="1738"/>
      <c r="BA317" s="1738"/>
      <c r="BB317" s="1738"/>
      <c r="BC317" s="1738"/>
      <c r="BD317" s="1738"/>
      <c r="BE317" s="1738"/>
      <c r="BF317" s="1738"/>
      <c r="BG317" s="2010"/>
    </row>
    <row r="318" spans="1:59" ht="11.25" customHeight="1">
      <c r="A318" s="1084" t="s">
        <v>987</v>
      </c>
      <c r="B318" s="1084"/>
      <c r="C318" s="1084"/>
      <c r="D318" s="1078"/>
      <c r="E318" s="1088"/>
      <c r="F318" s="2791"/>
      <c r="G318" s="2798"/>
      <c r="H318" s="2787" t="s">
        <v>367</v>
      </c>
      <c r="I318" s="2799"/>
      <c r="J318" s="2800"/>
      <c r="K318" s="2801"/>
      <c r="L318" s="2524"/>
      <c r="M318" s="2525"/>
      <c r="N318" s="2804"/>
      <c r="O318" s="2805">
        <v>1</v>
      </c>
      <c r="P318" s="2806" t="s">
        <v>65</v>
      </c>
      <c r="Q318" s="2800" t="s">
        <v>1024</v>
      </c>
      <c r="R318" s="2809" t="s">
        <v>1061</v>
      </c>
      <c r="S318" s="2809" t="s">
        <v>1062</v>
      </c>
      <c r="T318" s="2809" t="s">
        <v>1062</v>
      </c>
      <c r="U318" s="2809" t="s">
        <v>1063</v>
      </c>
      <c r="V318" s="2809" t="s">
        <v>1064</v>
      </c>
      <c r="W318" s="2809" t="s">
        <v>1065</v>
      </c>
      <c r="X318" s="2809" t="s">
        <v>1030</v>
      </c>
      <c r="Y318" s="2809" t="s">
        <v>1031</v>
      </c>
      <c r="Z318" s="1093"/>
      <c r="AA318" s="1094"/>
      <c r="AB318" s="1094"/>
      <c r="AC318" s="1098"/>
      <c r="AD318" s="1098"/>
      <c r="AE318" s="1099"/>
      <c r="AF318" s="2802"/>
      <c r="AG318" s="2803"/>
      <c r="AH318" s="2803"/>
      <c r="AI318" s="2802"/>
      <c r="AJ318" s="2803"/>
      <c r="AK318" s="2803"/>
      <c r="AL318" s="1900"/>
      <c r="AM318" s="1738"/>
      <c r="AN318" s="1738"/>
      <c r="AO318" s="1738"/>
      <c r="AP318" s="1738"/>
      <c r="AQ318" s="1738"/>
      <c r="AR318" s="1738"/>
      <c r="AS318" s="1738"/>
      <c r="AT318" s="1738"/>
      <c r="AU318" s="1738"/>
      <c r="AV318" s="1738"/>
      <c r="AW318" s="1738"/>
      <c r="AX318" s="1738"/>
      <c r="AY318" s="1738"/>
      <c r="AZ318" s="1738"/>
      <c r="BA318" s="1738"/>
      <c r="BB318" s="1738"/>
      <c r="BC318" s="1738"/>
      <c r="BD318" s="1738"/>
      <c r="BE318" s="1738"/>
      <c r="BF318" s="1738"/>
      <c r="BG318" s="2010"/>
    </row>
    <row r="319" spans="1:59" ht="11.25" customHeight="1">
      <c r="A319" s="1084" t="s">
        <v>987</v>
      </c>
      <c r="B319" s="1084"/>
      <c r="C319" s="1084"/>
      <c r="D319" s="1078"/>
      <c r="E319" s="1088"/>
      <c r="F319" s="2791"/>
      <c r="G319" s="2798"/>
      <c r="H319" s="2787" t="s">
        <v>367</v>
      </c>
      <c r="I319" s="2799"/>
      <c r="J319" s="2800"/>
      <c r="K319" s="2801"/>
      <c r="L319" s="2524"/>
      <c r="M319" s="2525"/>
      <c r="N319" s="2804"/>
      <c r="O319" s="2805"/>
      <c r="P319" s="2807"/>
      <c r="Q319" s="2800"/>
      <c r="R319" s="2759"/>
      <c r="S319" s="2809"/>
      <c r="T319" s="2759"/>
      <c r="U319" s="2759"/>
      <c r="V319" s="2759"/>
      <c r="W319" s="2759"/>
      <c r="X319" s="2759"/>
      <c r="Y319" s="2759"/>
      <c r="Z319" s="1743"/>
      <c r="AA319" s="1711">
        <v>1</v>
      </c>
      <c r="AB319" s="1097" t="s">
        <v>1032</v>
      </c>
      <c r="AC319" s="1087">
        <v>11024.691940000001</v>
      </c>
      <c r="AD319" s="1097" t="str">
        <f>AB319</f>
        <v xml:space="preserve">      Амортизационные отчисления с выделением результатов переоценки основных средств и нематериальных активов</v>
      </c>
      <c r="AE319" s="1087"/>
      <c r="AF319" s="2802"/>
      <c r="AG319" s="2803"/>
      <c r="AH319" s="2803"/>
      <c r="AI319" s="2802"/>
      <c r="AJ319" s="2803"/>
      <c r="AK319" s="2803"/>
      <c r="AL319" s="1900"/>
      <c r="AM319" s="1738"/>
      <c r="AN319" s="1738"/>
      <c r="AO319" s="1738"/>
      <c r="AP319" s="1738"/>
      <c r="AQ319" s="1738"/>
      <c r="AR319" s="1738"/>
      <c r="AS319" s="1738"/>
      <c r="AT319" s="1738"/>
      <c r="AU319" s="1738"/>
      <c r="AV319" s="1738"/>
      <c r="AW319" s="1738"/>
      <c r="AX319" s="1738"/>
      <c r="AY319" s="1738"/>
      <c r="AZ319" s="1738"/>
      <c r="BA319" s="1738"/>
      <c r="BB319" s="1738"/>
      <c r="BC319" s="1738"/>
      <c r="BD319" s="1738"/>
      <c r="BE319" s="1738"/>
      <c r="BF319" s="1738"/>
      <c r="BG319" s="2010"/>
    </row>
    <row r="320" spans="1:59" ht="11.25" customHeight="1">
      <c r="A320" s="1084" t="s">
        <v>987</v>
      </c>
      <c r="B320" s="1084"/>
      <c r="C320" s="1084"/>
      <c r="D320" s="1078"/>
      <c r="E320" s="1088"/>
      <c r="F320" s="2791"/>
      <c r="G320" s="2798"/>
      <c r="H320" s="2787" t="s">
        <v>367</v>
      </c>
      <c r="I320" s="2799"/>
      <c r="J320" s="2800"/>
      <c r="K320" s="2801"/>
      <c r="L320" s="2524"/>
      <c r="M320" s="2525"/>
      <c r="N320" s="2804"/>
      <c r="O320" s="2805"/>
      <c r="P320" s="2808"/>
      <c r="Q320" s="2800"/>
      <c r="R320" s="2759"/>
      <c r="S320" s="2809"/>
      <c r="T320" s="2759"/>
      <c r="U320" s="2759"/>
      <c r="V320" s="2759"/>
      <c r="W320" s="2759"/>
      <c r="X320" s="2759"/>
      <c r="Y320" s="2759"/>
      <c r="Z320" s="1093"/>
      <c r="AA320" s="1094"/>
      <c r="AB320" s="1159" t="s">
        <v>1033</v>
      </c>
      <c r="AC320" s="1098"/>
      <c r="AD320" s="1098"/>
      <c r="AE320" s="1100"/>
      <c r="AF320" s="2802"/>
      <c r="AG320" s="2803"/>
      <c r="AH320" s="2803"/>
      <c r="AI320" s="2802"/>
      <c r="AJ320" s="2803"/>
      <c r="AK320" s="2803"/>
      <c r="AL320" s="1900"/>
      <c r="AM320" s="1738"/>
      <c r="AN320" s="1738"/>
      <c r="AO320" s="1738"/>
      <c r="AP320" s="1738"/>
      <c r="AQ320" s="1738"/>
      <c r="AR320" s="1738"/>
      <c r="AS320" s="1738"/>
      <c r="AT320" s="1738"/>
      <c r="AU320" s="1738"/>
      <c r="AV320" s="1738"/>
      <c r="AW320" s="1738"/>
      <c r="AX320" s="1738"/>
      <c r="AY320" s="1738"/>
      <c r="AZ320" s="1738"/>
      <c r="BA320" s="1738"/>
      <c r="BB320" s="1738"/>
      <c r="BC320" s="1738"/>
      <c r="BD320" s="1738"/>
      <c r="BE320" s="1738"/>
      <c r="BF320" s="1738"/>
      <c r="BG320" s="2010"/>
    </row>
    <row r="321" spans="1:59" ht="11.25" customHeight="1">
      <c r="A321" s="1084" t="s">
        <v>987</v>
      </c>
      <c r="B321" s="1084"/>
      <c r="C321" s="1084"/>
      <c r="D321" s="1078"/>
      <c r="E321" s="1088"/>
      <c r="F321" s="2791"/>
      <c r="G321" s="2798"/>
      <c r="H321" s="2787" t="s">
        <v>367</v>
      </c>
      <c r="I321" s="2799"/>
      <c r="J321" s="2800"/>
      <c r="K321" s="2801"/>
      <c r="L321" s="2524"/>
      <c r="M321" s="2525"/>
      <c r="N321" s="1093"/>
      <c r="O321" s="1094"/>
      <c r="P321" s="1086" t="s">
        <v>1034</v>
      </c>
      <c r="Q321" s="1094"/>
      <c r="R321" s="1094"/>
      <c r="S321" s="1094"/>
      <c r="T321" s="1094"/>
      <c r="U321" s="1094"/>
      <c r="V321" s="1094"/>
      <c r="W321" s="1094"/>
      <c r="X321" s="1094"/>
      <c r="Y321" s="1094"/>
      <c r="Z321" s="1094"/>
      <c r="AA321" s="1094"/>
      <c r="AB321" s="1094"/>
      <c r="AC321" s="1094"/>
      <c r="AD321" s="1094"/>
      <c r="AE321" s="1101"/>
      <c r="AF321" s="2802"/>
      <c r="AG321" s="2803"/>
      <c r="AH321" s="2803"/>
      <c r="AI321" s="2802"/>
      <c r="AJ321" s="2803"/>
      <c r="AK321" s="2803"/>
      <c r="AL321" s="1900"/>
      <c r="AM321" s="1738"/>
      <c r="AN321" s="1738"/>
      <c r="AO321" s="1738"/>
      <c r="AP321" s="1738"/>
      <c r="AQ321" s="1738"/>
      <c r="AR321" s="1738"/>
      <c r="AS321" s="1738"/>
      <c r="AT321" s="1738"/>
      <c r="AU321" s="1738"/>
      <c r="AV321" s="1738"/>
      <c r="AW321" s="1738"/>
      <c r="AX321" s="1738"/>
      <c r="AY321" s="1738"/>
      <c r="AZ321" s="1738"/>
      <c r="BA321" s="1738"/>
      <c r="BB321" s="1738"/>
      <c r="BC321" s="1738"/>
      <c r="BD321" s="1738"/>
      <c r="BE321" s="1738"/>
      <c r="BF321" s="1738"/>
      <c r="BG321" s="2010"/>
    </row>
    <row r="322" spans="1:59" ht="11.25" customHeight="1">
      <c r="A322" s="1084" t="s">
        <v>987</v>
      </c>
      <c r="B322" s="1084" t="s">
        <v>1018</v>
      </c>
      <c r="C322" s="1084"/>
      <c r="D322" s="1078"/>
      <c r="E322" s="1088"/>
      <c r="F322" s="2791"/>
      <c r="G322" s="2776" t="s">
        <v>680</v>
      </c>
      <c r="H322" s="2787" t="s">
        <v>103</v>
      </c>
      <c r="I322" s="2799" t="s">
        <v>1019</v>
      </c>
      <c r="J322" s="2800" t="s">
        <v>1035</v>
      </c>
      <c r="K322" s="2801" t="s">
        <v>1048</v>
      </c>
      <c r="L322" s="2524" t="s">
        <v>19</v>
      </c>
      <c r="M322" s="2525"/>
      <c r="N322" s="1898"/>
      <c r="O322" s="1095" t="s">
        <v>367</v>
      </c>
      <c r="P322" s="1096"/>
      <c r="Q322" s="1096"/>
      <c r="R322" s="1096"/>
      <c r="S322" s="1096"/>
      <c r="T322" s="1096"/>
      <c r="U322" s="1096"/>
      <c r="V322" s="1096"/>
      <c r="W322" s="1096"/>
      <c r="X322" s="1096"/>
      <c r="Y322" s="1096"/>
      <c r="Z322" s="1096"/>
      <c r="AA322" s="1096"/>
      <c r="AB322" s="1096"/>
      <c r="AC322" s="1096"/>
      <c r="AD322" s="1096"/>
      <c r="AE322" s="1096"/>
      <c r="AF322" s="2802">
        <v>4</v>
      </c>
      <c r="AG322" s="2803" t="s">
        <v>1022</v>
      </c>
      <c r="AH322" s="2803" t="s">
        <v>1023</v>
      </c>
      <c r="AI322" s="2802"/>
      <c r="AJ322" s="2803"/>
      <c r="AK322" s="2803"/>
      <c r="AL322" s="1900"/>
      <c r="AM322" s="1738"/>
      <c r="AN322" s="1738"/>
      <c r="AO322" s="1738"/>
      <c r="AP322" s="1738"/>
      <c r="AQ322" s="1738"/>
      <c r="AR322" s="1738"/>
      <c r="AS322" s="1738"/>
      <c r="AT322" s="1738"/>
      <c r="AU322" s="1738"/>
      <c r="AV322" s="1738"/>
      <c r="AW322" s="1738"/>
      <c r="AX322" s="1738"/>
      <c r="AY322" s="1738"/>
      <c r="AZ322" s="1738"/>
      <c r="BA322" s="1738"/>
      <c r="BB322" s="1738"/>
      <c r="BC322" s="1738"/>
      <c r="BD322" s="1738"/>
      <c r="BE322" s="1738"/>
      <c r="BF322" s="1738"/>
      <c r="BG322" s="2010"/>
    </row>
    <row r="323" spans="1:59" ht="11.25" customHeight="1">
      <c r="A323" s="1084" t="s">
        <v>987</v>
      </c>
      <c r="B323" s="1084"/>
      <c r="C323" s="1084"/>
      <c r="D323" s="1078"/>
      <c r="E323" s="1088"/>
      <c r="F323" s="2791"/>
      <c r="G323" s="2798"/>
      <c r="H323" s="2787" t="s">
        <v>102</v>
      </c>
      <c r="I323" s="2799"/>
      <c r="J323" s="2800"/>
      <c r="K323" s="2801"/>
      <c r="L323" s="2524"/>
      <c r="M323" s="2525"/>
      <c r="N323" s="2804"/>
      <c r="O323" s="2805">
        <v>1</v>
      </c>
      <c r="P323" s="2806" t="s">
        <v>65</v>
      </c>
      <c r="Q323" s="2800" t="s">
        <v>1024</v>
      </c>
      <c r="R323" s="2809" t="s">
        <v>1061</v>
      </c>
      <c r="S323" s="2809" t="s">
        <v>1062</v>
      </c>
      <c r="T323" s="2809" t="s">
        <v>1062</v>
      </c>
      <c r="U323" s="2809" t="s">
        <v>1063</v>
      </c>
      <c r="V323" s="2809" t="s">
        <v>1064</v>
      </c>
      <c r="W323" s="2809" t="s">
        <v>1065</v>
      </c>
      <c r="X323" s="2809" t="s">
        <v>1030</v>
      </c>
      <c r="Y323" s="2809" t="s">
        <v>1031</v>
      </c>
      <c r="Z323" s="1093"/>
      <c r="AA323" s="1094"/>
      <c r="AB323" s="1094"/>
      <c r="AC323" s="1098"/>
      <c r="AD323" s="1098"/>
      <c r="AE323" s="1099"/>
      <c r="AF323" s="2802"/>
      <c r="AG323" s="2803"/>
      <c r="AH323" s="2803"/>
      <c r="AI323" s="2802"/>
      <c r="AJ323" s="2803"/>
      <c r="AK323" s="2803"/>
      <c r="AL323" s="1900"/>
      <c r="AM323" s="1738"/>
      <c r="AN323" s="1738"/>
      <c r="AO323" s="1738"/>
      <c r="AP323" s="1738"/>
      <c r="AQ323" s="1738"/>
      <c r="AR323" s="1738"/>
      <c r="AS323" s="1738"/>
      <c r="AT323" s="1738"/>
      <c r="AU323" s="1738"/>
      <c r="AV323" s="1738"/>
      <c r="AW323" s="1738"/>
      <c r="AX323" s="1738"/>
      <c r="AY323" s="1738"/>
      <c r="AZ323" s="1738"/>
      <c r="BA323" s="1738"/>
      <c r="BB323" s="1738"/>
      <c r="BC323" s="1738"/>
      <c r="BD323" s="1738"/>
      <c r="BE323" s="1738"/>
      <c r="BF323" s="1738"/>
      <c r="BG323" s="2010"/>
    </row>
    <row r="324" spans="1:59" ht="11.25" customHeight="1">
      <c r="A324" s="1084" t="s">
        <v>987</v>
      </c>
      <c r="B324" s="1084"/>
      <c r="C324" s="1084"/>
      <c r="D324" s="1078"/>
      <c r="E324" s="1088"/>
      <c r="F324" s="2791"/>
      <c r="G324" s="2798"/>
      <c r="H324" s="2787" t="s">
        <v>102</v>
      </c>
      <c r="I324" s="2799"/>
      <c r="J324" s="2800"/>
      <c r="K324" s="2801"/>
      <c r="L324" s="2524"/>
      <c r="M324" s="2525"/>
      <c r="N324" s="2804"/>
      <c r="O324" s="2805"/>
      <c r="P324" s="2807"/>
      <c r="Q324" s="2800"/>
      <c r="R324" s="2759"/>
      <c r="S324" s="2809"/>
      <c r="T324" s="2759"/>
      <c r="U324" s="2759"/>
      <c r="V324" s="2759"/>
      <c r="W324" s="2759"/>
      <c r="X324" s="2759"/>
      <c r="Y324" s="2759"/>
      <c r="Z324" s="1743"/>
      <c r="AA324" s="1711">
        <v>1</v>
      </c>
      <c r="AB324" s="1097" t="s">
        <v>1032</v>
      </c>
      <c r="AC324" s="1087">
        <v>2146.7085400000001</v>
      </c>
      <c r="AD324" s="1097" t="str">
        <f>AB324</f>
        <v xml:space="preserve">      Амортизационные отчисления с выделением результатов переоценки основных средств и нематериальных активов</v>
      </c>
      <c r="AE324" s="1087"/>
      <c r="AF324" s="2802"/>
      <c r="AG324" s="2803"/>
      <c r="AH324" s="2803"/>
      <c r="AI324" s="2802"/>
      <c r="AJ324" s="2803"/>
      <c r="AK324" s="2803"/>
      <c r="AL324" s="1900"/>
      <c r="AM324" s="1738"/>
      <c r="AN324" s="1738"/>
      <c r="AO324" s="1738"/>
      <c r="AP324" s="1738"/>
      <c r="AQ324" s="1738"/>
      <c r="AR324" s="1738"/>
      <c r="AS324" s="1738"/>
      <c r="AT324" s="1738"/>
      <c r="AU324" s="1738"/>
      <c r="AV324" s="1738"/>
      <c r="AW324" s="1738"/>
      <c r="AX324" s="1738"/>
      <c r="AY324" s="1738"/>
      <c r="AZ324" s="1738"/>
      <c r="BA324" s="1738"/>
      <c r="BB324" s="1738"/>
      <c r="BC324" s="1738"/>
      <c r="BD324" s="1738"/>
      <c r="BE324" s="1738"/>
      <c r="BF324" s="1738"/>
      <c r="BG324" s="2010"/>
    </row>
    <row r="325" spans="1:59" ht="11.25" customHeight="1">
      <c r="A325" s="1084" t="s">
        <v>987</v>
      </c>
      <c r="B325" s="1084"/>
      <c r="C325" s="1084"/>
      <c r="D325" s="1078"/>
      <c r="E325" s="1088"/>
      <c r="F325" s="2791"/>
      <c r="G325" s="2798"/>
      <c r="H325" s="2787" t="s">
        <v>102</v>
      </c>
      <c r="I325" s="2799"/>
      <c r="J325" s="2800"/>
      <c r="K325" s="2801"/>
      <c r="L325" s="2524"/>
      <c r="M325" s="2525"/>
      <c r="N325" s="2804"/>
      <c r="O325" s="2805"/>
      <c r="P325" s="2808"/>
      <c r="Q325" s="2800"/>
      <c r="R325" s="2759"/>
      <c r="S325" s="2809"/>
      <c r="T325" s="2759"/>
      <c r="U325" s="2759"/>
      <c r="V325" s="2759"/>
      <c r="W325" s="2759"/>
      <c r="X325" s="2759"/>
      <c r="Y325" s="2759"/>
      <c r="Z325" s="1093"/>
      <c r="AA325" s="1094"/>
      <c r="AB325" s="1159" t="s">
        <v>1033</v>
      </c>
      <c r="AC325" s="1098"/>
      <c r="AD325" s="1098"/>
      <c r="AE325" s="1100"/>
      <c r="AF325" s="2802"/>
      <c r="AG325" s="2803"/>
      <c r="AH325" s="2803"/>
      <c r="AI325" s="2802"/>
      <c r="AJ325" s="2803"/>
      <c r="AK325" s="2803"/>
      <c r="AL325" s="1900"/>
      <c r="AM325" s="1738"/>
      <c r="AN325" s="1738"/>
      <c r="AO325" s="1738"/>
      <c r="AP325" s="1738"/>
      <c r="AQ325" s="1738"/>
      <c r="AR325" s="1738"/>
      <c r="AS325" s="1738"/>
      <c r="AT325" s="1738"/>
      <c r="AU325" s="1738"/>
      <c r="AV325" s="1738"/>
      <c r="AW325" s="1738"/>
      <c r="AX325" s="1738"/>
      <c r="AY325" s="1738"/>
      <c r="AZ325" s="1738"/>
      <c r="BA325" s="1738"/>
      <c r="BB325" s="1738"/>
      <c r="BC325" s="1738"/>
      <c r="BD325" s="1738"/>
      <c r="BE325" s="1738"/>
      <c r="BF325" s="1738"/>
      <c r="BG325" s="2010"/>
    </row>
    <row r="326" spans="1:59" ht="11.25" customHeight="1">
      <c r="A326" s="1084" t="s">
        <v>987</v>
      </c>
      <c r="B326" s="1084"/>
      <c r="C326" s="1084"/>
      <c r="D326" s="1078"/>
      <c r="E326" s="1088"/>
      <c r="F326" s="2791"/>
      <c r="G326" s="2798"/>
      <c r="H326" s="2787" t="s">
        <v>102</v>
      </c>
      <c r="I326" s="2799"/>
      <c r="J326" s="2800"/>
      <c r="K326" s="2801"/>
      <c r="L326" s="2524"/>
      <c r="M326" s="2525"/>
      <c r="N326" s="1093"/>
      <c r="O326" s="1094"/>
      <c r="P326" s="1086" t="s">
        <v>1034</v>
      </c>
      <c r="Q326" s="1094"/>
      <c r="R326" s="1094"/>
      <c r="S326" s="1094"/>
      <c r="T326" s="1094"/>
      <c r="U326" s="1094"/>
      <c r="V326" s="1094"/>
      <c r="W326" s="1094"/>
      <c r="X326" s="1094"/>
      <c r="Y326" s="1094"/>
      <c r="Z326" s="1094"/>
      <c r="AA326" s="1094"/>
      <c r="AB326" s="1094"/>
      <c r="AC326" s="1094"/>
      <c r="AD326" s="1094"/>
      <c r="AE326" s="1101"/>
      <c r="AF326" s="2802"/>
      <c r="AG326" s="2803"/>
      <c r="AH326" s="2803"/>
      <c r="AI326" s="2802"/>
      <c r="AJ326" s="2803"/>
      <c r="AK326" s="2803"/>
      <c r="AL326" s="1900"/>
      <c r="AM326" s="1738"/>
      <c r="AN326" s="1738"/>
      <c r="AO326" s="1738"/>
      <c r="AP326" s="1738"/>
      <c r="AQ326" s="1738"/>
      <c r="AR326" s="1738"/>
      <c r="AS326" s="1738"/>
      <c r="AT326" s="1738"/>
      <c r="AU326" s="1738"/>
      <c r="AV326" s="1738"/>
      <c r="AW326" s="1738"/>
      <c r="AX326" s="1738"/>
      <c r="AY326" s="1738"/>
      <c r="AZ326" s="1738"/>
      <c r="BA326" s="1738"/>
      <c r="BB326" s="1738"/>
      <c r="BC326" s="1738"/>
      <c r="BD326" s="1738"/>
      <c r="BE326" s="1738"/>
      <c r="BF326" s="1738"/>
      <c r="BG326" s="2010"/>
    </row>
    <row r="327" spans="1:59" ht="11.25" customHeight="1">
      <c r="A327" s="1084" t="s">
        <v>987</v>
      </c>
      <c r="B327" s="1084" t="s">
        <v>1018</v>
      </c>
      <c r="C327" s="1084"/>
      <c r="D327" s="1078"/>
      <c r="E327" s="1088"/>
      <c r="F327" s="2791"/>
      <c r="G327" s="2776" t="s">
        <v>680</v>
      </c>
      <c r="H327" s="2787" t="s">
        <v>86</v>
      </c>
      <c r="I327" s="2799" t="s">
        <v>1019</v>
      </c>
      <c r="J327" s="2800" t="s">
        <v>1035</v>
      </c>
      <c r="K327" s="2801" t="s">
        <v>1043</v>
      </c>
      <c r="L327" s="2524" t="s">
        <v>19</v>
      </c>
      <c r="M327" s="2525"/>
      <c r="N327" s="1898"/>
      <c r="O327" s="1095" t="s">
        <v>367</v>
      </c>
      <c r="P327" s="1096"/>
      <c r="Q327" s="1096"/>
      <c r="R327" s="1096"/>
      <c r="S327" s="1096"/>
      <c r="T327" s="1096"/>
      <c r="U327" s="1096"/>
      <c r="V327" s="1096"/>
      <c r="W327" s="1096"/>
      <c r="X327" s="1096"/>
      <c r="Y327" s="1096"/>
      <c r="Z327" s="1096"/>
      <c r="AA327" s="1096"/>
      <c r="AB327" s="1096"/>
      <c r="AC327" s="1096"/>
      <c r="AD327" s="1096"/>
      <c r="AE327" s="1096"/>
      <c r="AF327" s="2802">
        <v>4</v>
      </c>
      <c r="AG327" s="2803" t="s">
        <v>1022</v>
      </c>
      <c r="AH327" s="2803" t="s">
        <v>1040</v>
      </c>
      <c r="AI327" s="2802"/>
      <c r="AJ327" s="2803"/>
      <c r="AK327" s="2803"/>
      <c r="AL327" s="1900"/>
      <c r="AM327" s="1738"/>
      <c r="AN327" s="1738"/>
      <c r="AO327" s="1738"/>
      <c r="AP327" s="1738"/>
      <c r="AQ327" s="1738"/>
      <c r="AR327" s="1738"/>
      <c r="AS327" s="1738"/>
      <c r="AT327" s="1738"/>
      <c r="AU327" s="1738"/>
      <c r="AV327" s="1738"/>
      <c r="AW327" s="1738"/>
      <c r="AX327" s="1738"/>
      <c r="AY327" s="1738"/>
      <c r="AZ327" s="1738"/>
      <c r="BA327" s="1738"/>
      <c r="BB327" s="1738"/>
      <c r="BC327" s="1738"/>
      <c r="BD327" s="1738"/>
      <c r="BE327" s="1738"/>
      <c r="BF327" s="1738"/>
      <c r="BG327" s="2010"/>
    </row>
    <row r="328" spans="1:59" ht="11.25" customHeight="1">
      <c r="A328" s="1084" t="s">
        <v>987</v>
      </c>
      <c r="B328" s="1084"/>
      <c r="C328" s="1084"/>
      <c r="D328" s="1078"/>
      <c r="E328" s="1088"/>
      <c r="F328" s="2791"/>
      <c r="G328" s="2798"/>
      <c r="H328" s="2787" t="s">
        <v>103</v>
      </c>
      <c r="I328" s="2799"/>
      <c r="J328" s="2800"/>
      <c r="K328" s="2801"/>
      <c r="L328" s="2524"/>
      <c r="M328" s="2525"/>
      <c r="N328" s="2804"/>
      <c r="O328" s="2805">
        <v>1</v>
      </c>
      <c r="P328" s="2806" t="s">
        <v>65</v>
      </c>
      <c r="Q328" s="2800" t="s">
        <v>1024</v>
      </c>
      <c r="R328" s="2809" t="s">
        <v>1061</v>
      </c>
      <c r="S328" s="2809" t="s">
        <v>1062</v>
      </c>
      <c r="T328" s="2809" t="s">
        <v>1062</v>
      </c>
      <c r="U328" s="2809" t="s">
        <v>1063</v>
      </c>
      <c r="V328" s="2809" t="s">
        <v>1064</v>
      </c>
      <c r="W328" s="2809" t="s">
        <v>1065</v>
      </c>
      <c r="X328" s="2809" t="s">
        <v>1030</v>
      </c>
      <c r="Y328" s="2809" t="s">
        <v>1031</v>
      </c>
      <c r="Z328" s="1093"/>
      <c r="AA328" s="1094"/>
      <c r="AB328" s="1094"/>
      <c r="AC328" s="1098"/>
      <c r="AD328" s="1098"/>
      <c r="AE328" s="1099"/>
      <c r="AF328" s="2802"/>
      <c r="AG328" s="2803"/>
      <c r="AH328" s="2803"/>
      <c r="AI328" s="2802"/>
      <c r="AJ328" s="2803"/>
      <c r="AK328" s="2803"/>
      <c r="AL328" s="1900"/>
      <c r="AM328" s="1738"/>
      <c r="AN328" s="1738"/>
      <c r="AO328" s="1738"/>
      <c r="AP328" s="1738"/>
      <c r="AQ328" s="1738"/>
      <c r="AR328" s="1738"/>
      <c r="AS328" s="1738"/>
      <c r="AT328" s="1738"/>
      <c r="AU328" s="1738"/>
      <c r="AV328" s="1738"/>
      <c r="AW328" s="1738"/>
      <c r="AX328" s="1738"/>
      <c r="AY328" s="1738"/>
      <c r="AZ328" s="1738"/>
      <c r="BA328" s="1738"/>
      <c r="BB328" s="1738"/>
      <c r="BC328" s="1738"/>
      <c r="BD328" s="1738"/>
      <c r="BE328" s="1738"/>
      <c r="BF328" s="1738"/>
      <c r="BG328" s="2010"/>
    </row>
    <row r="329" spans="1:59" ht="11.25" customHeight="1">
      <c r="A329" s="1084" t="s">
        <v>987</v>
      </c>
      <c r="B329" s="1084"/>
      <c r="C329" s="1084"/>
      <c r="D329" s="1078"/>
      <c r="E329" s="1088"/>
      <c r="F329" s="2791"/>
      <c r="G329" s="2798"/>
      <c r="H329" s="2787" t="s">
        <v>103</v>
      </c>
      <c r="I329" s="2799"/>
      <c r="J329" s="2800"/>
      <c r="K329" s="2801"/>
      <c r="L329" s="2524"/>
      <c r="M329" s="2525"/>
      <c r="N329" s="2804"/>
      <c r="O329" s="2805"/>
      <c r="P329" s="2807"/>
      <c r="Q329" s="2800"/>
      <c r="R329" s="2759"/>
      <c r="S329" s="2809"/>
      <c r="T329" s="2759"/>
      <c r="U329" s="2759"/>
      <c r="V329" s="2759"/>
      <c r="W329" s="2759"/>
      <c r="X329" s="2759"/>
      <c r="Y329" s="2759"/>
      <c r="Z329" s="1743"/>
      <c r="AA329" s="1711">
        <v>1</v>
      </c>
      <c r="AB329" s="1097" t="s">
        <v>1032</v>
      </c>
      <c r="AC329" s="1087">
        <v>3140.8649399999999</v>
      </c>
      <c r="AD329" s="1097" t="str">
        <f>AB329</f>
        <v xml:space="preserve">      Амортизационные отчисления с выделением результатов переоценки основных средств и нематериальных активов</v>
      </c>
      <c r="AE329" s="1087"/>
      <c r="AF329" s="2802"/>
      <c r="AG329" s="2803"/>
      <c r="AH329" s="2803"/>
      <c r="AI329" s="2802"/>
      <c r="AJ329" s="2803"/>
      <c r="AK329" s="2803"/>
      <c r="AL329" s="1900"/>
      <c r="AM329" s="1738"/>
      <c r="AN329" s="1738"/>
      <c r="AO329" s="1738"/>
      <c r="AP329" s="1738"/>
      <c r="AQ329" s="1738"/>
      <c r="AR329" s="1738"/>
      <c r="AS329" s="1738"/>
      <c r="AT329" s="1738"/>
      <c r="AU329" s="1738"/>
      <c r="AV329" s="1738"/>
      <c r="AW329" s="1738"/>
      <c r="AX329" s="1738"/>
      <c r="AY329" s="1738"/>
      <c r="AZ329" s="1738"/>
      <c r="BA329" s="1738"/>
      <c r="BB329" s="1738"/>
      <c r="BC329" s="1738"/>
      <c r="BD329" s="1738"/>
      <c r="BE329" s="1738"/>
      <c r="BF329" s="1738"/>
      <c r="BG329" s="2010"/>
    </row>
    <row r="330" spans="1:59" ht="11.25" customHeight="1">
      <c r="A330" s="1084" t="s">
        <v>987</v>
      </c>
      <c r="B330" s="1084"/>
      <c r="C330" s="1084"/>
      <c r="D330" s="1078"/>
      <c r="E330" s="1088"/>
      <c r="F330" s="2798"/>
      <c r="G330" s="2798"/>
      <c r="H330" s="2798"/>
      <c r="I330" s="2798"/>
      <c r="J330" s="2798"/>
      <c r="K330" s="2798"/>
      <c r="L330" s="2798"/>
      <c r="M330" s="2798"/>
      <c r="N330" s="2798"/>
      <c r="O330" s="2798"/>
      <c r="P330" s="2798"/>
      <c r="Q330" s="2798"/>
      <c r="R330" s="2798"/>
      <c r="S330" s="2798"/>
      <c r="T330" s="2798"/>
      <c r="U330" s="2798"/>
      <c r="V330" s="2798"/>
      <c r="W330" s="2798"/>
      <c r="X330" s="2798"/>
      <c r="Y330" s="2798"/>
      <c r="Z330" s="2393" t="s">
        <v>680</v>
      </c>
      <c r="AA330" s="1731" t="s">
        <v>103</v>
      </c>
      <c r="AB330" s="1097" t="s">
        <v>1050</v>
      </c>
      <c r="AC330" s="1087">
        <v>7.2929999999999995E-2</v>
      </c>
      <c r="AD330" s="1097" t="str">
        <f>AB330</f>
        <v xml:space="preserve">  Прочие собственные средства</v>
      </c>
      <c r="AE330" s="1087"/>
      <c r="AF330" s="2810"/>
      <c r="AG330" s="2811"/>
      <c r="AH330" s="2811"/>
      <c r="AI330" s="2810"/>
      <c r="AJ330" s="2811"/>
      <c r="AK330" s="2812"/>
      <c r="AL330" s="1900"/>
      <c r="AM330" s="1738"/>
      <c r="AN330" s="1738"/>
      <c r="AO330" s="1738"/>
      <c r="AP330" s="1738"/>
      <c r="AQ330" s="1738"/>
      <c r="AR330" s="1738"/>
      <c r="AS330" s="1738"/>
      <c r="AT330" s="1738"/>
      <c r="AU330" s="1738"/>
      <c r="AV330" s="1738"/>
      <c r="AW330" s="1738"/>
      <c r="AX330" s="1738"/>
      <c r="AY330" s="1738"/>
      <c r="AZ330" s="1738"/>
      <c r="BA330" s="1738"/>
      <c r="BB330" s="1738"/>
      <c r="BC330" s="1738"/>
      <c r="BD330" s="1738"/>
      <c r="BE330" s="1738"/>
      <c r="BF330" s="1738"/>
      <c r="BG330" s="2394"/>
    </row>
    <row r="331" spans="1:59" ht="11.25" customHeight="1">
      <c r="A331" s="1084" t="s">
        <v>987</v>
      </c>
      <c r="B331" s="1084"/>
      <c r="C331" s="1084"/>
      <c r="D331" s="1078"/>
      <c r="E331" s="1088"/>
      <c r="F331" s="2791"/>
      <c r="G331" s="2798"/>
      <c r="H331" s="2787" t="s">
        <v>103</v>
      </c>
      <c r="I331" s="2799"/>
      <c r="J331" s="2800"/>
      <c r="K331" s="2801"/>
      <c r="L331" s="2524"/>
      <c r="M331" s="2525"/>
      <c r="N331" s="2804"/>
      <c r="O331" s="2805"/>
      <c r="P331" s="2808"/>
      <c r="Q331" s="2800"/>
      <c r="R331" s="2759"/>
      <c r="S331" s="2809"/>
      <c r="T331" s="2759"/>
      <c r="U331" s="2759"/>
      <c r="V331" s="2759"/>
      <c r="W331" s="2759"/>
      <c r="X331" s="2759"/>
      <c r="Y331" s="2759"/>
      <c r="Z331" s="1093"/>
      <c r="AA331" s="1094"/>
      <c r="AB331" s="1159" t="s">
        <v>1033</v>
      </c>
      <c r="AC331" s="1098"/>
      <c r="AD331" s="1098"/>
      <c r="AE331" s="1100"/>
      <c r="AF331" s="2802"/>
      <c r="AG331" s="2803"/>
      <c r="AH331" s="2803"/>
      <c r="AI331" s="2802"/>
      <c r="AJ331" s="2803"/>
      <c r="AK331" s="2803"/>
      <c r="AL331" s="1900"/>
      <c r="AM331" s="1738"/>
      <c r="AN331" s="1738"/>
      <c r="AO331" s="1738"/>
      <c r="AP331" s="1738"/>
      <c r="AQ331" s="1738"/>
      <c r="AR331" s="1738"/>
      <c r="AS331" s="1738"/>
      <c r="AT331" s="1738"/>
      <c r="AU331" s="1738"/>
      <c r="AV331" s="1738"/>
      <c r="AW331" s="1738"/>
      <c r="AX331" s="1738"/>
      <c r="AY331" s="1738"/>
      <c r="AZ331" s="1738"/>
      <c r="BA331" s="1738"/>
      <c r="BB331" s="1738"/>
      <c r="BC331" s="1738"/>
      <c r="BD331" s="1738"/>
      <c r="BE331" s="1738"/>
      <c r="BF331" s="1738"/>
      <c r="BG331" s="2010"/>
    </row>
    <row r="332" spans="1:59" ht="11.25" customHeight="1">
      <c r="A332" s="1084" t="s">
        <v>987</v>
      </c>
      <c r="B332" s="1084"/>
      <c r="C332" s="1084"/>
      <c r="D332" s="1078"/>
      <c r="E332" s="1088"/>
      <c r="F332" s="2791"/>
      <c r="G332" s="2798"/>
      <c r="H332" s="2787" t="s">
        <v>103</v>
      </c>
      <c r="I332" s="2799"/>
      <c r="J332" s="2800"/>
      <c r="K332" s="2801"/>
      <c r="L332" s="2524"/>
      <c r="M332" s="2525"/>
      <c r="N332" s="1093"/>
      <c r="O332" s="1094"/>
      <c r="P332" s="1086" t="s">
        <v>1034</v>
      </c>
      <c r="Q332" s="1094"/>
      <c r="R332" s="1094"/>
      <c r="S332" s="1094"/>
      <c r="T332" s="1094"/>
      <c r="U332" s="1094"/>
      <c r="V332" s="1094"/>
      <c r="W332" s="1094"/>
      <c r="X332" s="1094"/>
      <c r="Y332" s="1094"/>
      <c r="Z332" s="1094"/>
      <c r="AA332" s="1094"/>
      <c r="AB332" s="1094"/>
      <c r="AC332" s="1094"/>
      <c r="AD332" s="1094"/>
      <c r="AE332" s="1101"/>
      <c r="AF332" s="2802"/>
      <c r="AG332" s="2803"/>
      <c r="AH332" s="2803"/>
      <c r="AI332" s="2802"/>
      <c r="AJ332" s="2803"/>
      <c r="AK332" s="2803"/>
      <c r="AL332" s="1900"/>
      <c r="AM332" s="1738"/>
      <c r="AN332" s="1738"/>
      <c r="AO332" s="1738"/>
      <c r="AP332" s="1738"/>
      <c r="AQ332" s="1738"/>
      <c r="AR332" s="1738"/>
      <c r="AS332" s="1738"/>
      <c r="AT332" s="1738"/>
      <c r="AU332" s="1738"/>
      <c r="AV332" s="1738"/>
      <c r="AW332" s="1738"/>
      <c r="AX332" s="1738"/>
      <c r="AY332" s="1738"/>
      <c r="AZ332" s="1738"/>
      <c r="BA332" s="1738"/>
      <c r="BB332" s="1738"/>
      <c r="BC332" s="1738"/>
      <c r="BD332" s="1738"/>
      <c r="BE332" s="1738"/>
      <c r="BF332" s="1738"/>
      <c r="BG332" s="2010"/>
    </row>
    <row r="333" spans="1:59" ht="11.25" customHeight="1">
      <c r="A333" s="1084" t="s">
        <v>987</v>
      </c>
      <c r="B333" s="1084" t="s">
        <v>1018</v>
      </c>
      <c r="C333" s="1084"/>
      <c r="D333" s="1078"/>
      <c r="E333" s="1088"/>
      <c r="F333" s="2791"/>
      <c r="G333" s="2776" t="s">
        <v>680</v>
      </c>
      <c r="H333" s="2787" t="s">
        <v>87</v>
      </c>
      <c r="I333" s="2799" t="s">
        <v>1019</v>
      </c>
      <c r="J333" s="2800" t="s">
        <v>1035</v>
      </c>
      <c r="K333" s="2801" t="s">
        <v>1044</v>
      </c>
      <c r="L333" s="2524" t="s">
        <v>19</v>
      </c>
      <c r="M333" s="2525"/>
      <c r="N333" s="1898"/>
      <c r="O333" s="1095" t="s">
        <v>367</v>
      </c>
      <c r="P333" s="1096"/>
      <c r="Q333" s="1096"/>
      <c r="R333" s="1096"/>
      <c r="S333" s="1096"/>
      <c r="T333" s="1096"/>
      <c r="U333" s="1096"/>
      <c r="V333" s="1096"/>
      <c r="W333" s="1096"/>
      <c r="X333" s="1096"/>
      <c r="Y333" s="1096"/>
      <c r="Z333" s="1096"/>
      <c r="AA333" s="1096"/>
      <c r="AB333" s="1096"/>
      <c r="AC333" s="1096"/>
      <c r="AD333" s="1096"/>
      <c r="AE333" s="1096"/>
      <c r="AF333" s="2802">
        <v>5</v>
      </c>
      <c r="AG333" s="2803" t="s">
        <v>1022</v>
      </c>
      <c r="AH333" s="2803" t="s">
        <v>1045</v>
      </c>
      <c r="AI333" s="2802"/>
      <c r="AJ333" s="2803"/>
      <c r="AK333" s="2803"/>
      <c r="AL333" s="1900"/>
      <c r="AM333" s="1738"/>
      <c r="AN333" s="1738"/>
      <c r="AO333" s="1738"/>
      <c r="AP333" s="1738"/>
      <c r="AQ333" s="1738"/>
      <c r="AR333" s="1738"/>
      <c r="AS333" s="1738"/>
      <c r="AT333" s="1738"/>
      <c r="AU333" s="1738"/>
      <c r="AV333" s="1738"/>
      <c r="AW333" s="1738"/>
      <c r="AX333" s="1738"/>
      <c r="AY333" s="1738"/>
      <c r="AZ333" s="1738"/>
      <c r="BA333" s="1738"/>
      <c r="BB333" s="1738"/>
      <c r="BC333" s="1738"/>
      <c r="BD333" s="1738"/>
      <c r="BE333" s="1738"/>
      <c r="BF333" s="1738"/>
      <c r="BG333" s="2010"/>
    </row>
    <row r="334" spans="1:59" ht="11.25" customHeight="1">
      <c r="A334" s="1084" t="s">
        <v>987</v>
      </c>
      <c r="B334" s="1084"/>
      <c r="C334" s="1084"/>
      <c r="D334" s="1078"/>
      <c r="E334" s="1088"/>
      <c r="F334" s="2791"/>
      <c r="G334" s="2798"/>
      <c r="H334" s="2787" t="s">
        <v>86</v>
      </c>
      <c r="I334" s="2799"/>
      <c r="J334" s="2800"/>
      <c r="K334" s="2801"/>
      <c r="L334" s="2524"/>
      <c r="M334" s="2525"/>
      <c r="N334" s="2804"/>
      <c r="O334" s="2805">
        <v>1</v>
      </c>
      <c r="P334" s="2806" t="s">
        <v>65</v>
      </c>
      <c r="Q334" s="2800" t="s">
        <v>1024</v>
      </c>
      <c r="R334" s="2809" t="s">
        <v>1061</v>
      </c>
      <c r="S334" s="2809" t="s">
        <v>1062</v>
      </c>
      <c r="T334" s="2809" t="s">
        <v>1062</v>
      </c>
      <c r="U334" s="2809" t="s">
        <v>1063</v>
      </c>
      <c r="V334" s="2809" t="s">
        <v>1064</v>
      </c>
      <c r="W334" s="2809" t="s">
        <v>1065</v>
      </c>
      <c r="X334" s="2809" t="s">
        <v>1030</v>
      </c>
      <c r="Y334" s="2809" t="s">
        <v>1031</v>
      </c>
      <c r="Z334" s="1093"/>
      <c r="AA334" s="1094"/>
      <c r="AB334" s="1094"/>
      <c r="AC334" s="1098"/>
      <c r="AD334" s="1098"/>
      <c r="AE334" s="1099"/>
      <c r="AF334" s="2802"/>
      <c r="AG334" s="2803"/>
      <c r="AH334" s="2803"/>
      <c r="AI334" s="2802"/>
      <c r="AJ334" s="2803"/>
      <c r="AK334" s="2803"/>
      <c r="AL334" s="1900"/>
      <c r="AM334" s="1738"/>
      <c r="AN334" s="1738"/>
      <c r="AO334" s="1738"/>
      <c r="AP334" s="1738"/>
      <c r="AQ334" s="1738"/>
      <c r="AR334" s="1738"/>
      <c r="AS334" s="1738"/>
      <c r="AT334" s="1738"/>
      <c r="AU334" s="1738"/>
      <c r="AV334" s="1738"/>
      <c r="AW334" s="1738"/>
      <c r="AX334" s="1738"/>
      <c r="AY334" s="1738"/>
      <c r="AZ334" s="1738"/>
      <c r="BA334" s="1738"/>
      <c r="BB334" s="1738"/>
      <c r="BC334" s="1738"/>
      <c r="BD334" s="1738"/>
      <c r="BE334" s="1738"/>
      <c r="BF334" s="1738"/>
      <c r="BG334" s="2010"/>
    </row>
    <row r="335" spans="1:59" ht="11.25" customHeight="1">
      <c r="A335" s="1084" t="s">
        <v>987</v>
      </c>
      <c r="B335" s="1084"/>
      <c r="C335" s="1084"/>
      <c r="D335" s="1078"/>
      <c r="E335" s="1088"/>
      <c r="F335" s="2791"/>
      <c r="G335" s="2798"/>
      <c r="H335" s="2787" t="s">
        <v>86</v>
      </c>
      <c r="I335" s="2799"/>
      <c r="J335" s="2800"/>
      <c r="K335" s="2801"/>
      <c r="L335" s="2524"/>
      <c r="M335" s="2525"/>
      <c r="N335" s="2804"/>
      <c r="O335" s="2805"/>
      <c r="P335" s="2807"/>
      <c r="Q335" s="2800"/>
      <c r="R335" s="2759"/>
      <c r="S335" s="2809"/>
      <c r="T335" s="2759"/>
      <c r="U335" s="2759"/>
      <c r="V335" s="2759"/>
      <c r="W335" s="2759"/>
      <c r="X335" s="2759"/>
      <c r="Y335" s="2759"/>
      <c r="Z335" s="1743"/>
      <c r="AA335" s="1711">
        <v>1</v>
      </c>
      <c r="AB335" s="1097" t="s">
        <v>1032</v>
      </c>
      <c r="AC335" s="1087">
        <v>13266.065210000001</v>
      </c>
      <c r="AD335" s="1097" t="str">
        <f>AB335</f>
        <v xml:space="preserve">      Амортизационные отчисления с выделением результатов переоценки основных средств и нематериальных активов</v>
      </c>
      <c r="AE335" s="1087"/>
      <c r="AF335" s="2802"/>
      <c r="AG335" s="2803"/>
      <c r="AH335" s="2803"/>
      <c r="AI335" s="2802"/>
      <c r="AJ335" s="2803"/>
      <c r="AK335" s="2803"/>
      <c r="AL335" s="1900"/>
      <c r="AM335" s="1738"/>
      <c r="AN335" s="1738"/>
      <c r="AO335" s="1738"/>
      <c r="AP335" s="1738"/>
      <c r="AQ335" s="1738"/>
      <c r="AR335" s="1738"/>
      <c r="AS335" s="1738"/>
      <c r="AT335" s="1738"/>
      <c r="AU335" s="1738"/>
      <c r="AV335" s="1738"/>
      <c r="AW335" s="1738"/>
      <c r="AX335" s="1738"/>
      <c r="AY335" s="1738"/>
      <c r="AZ335" s="1738"/>
      <c r="BA335" s="1738"/>
      <c r="BB335" s="1738"/>
      <c r="BC335" s="1738"/>
      <c r="BD335" s="1738"/>
      <c r="BE335" s="1738"/>
      <c r="BF335" s="1738"/>
      <c r="BG335" s="2010"/>
    </row>
    <row r="336" spans="1:59" ht="11.25" customHeight="1">
      <c r="A336" s="1084" t="s">
        <v>987</v>
      </c>
      <c r="B336" s="1084"/>
      <c r="C336" s="1084"/>
      <c r="D336" s="1078"/>
      <c r="E336" s="1088"/>
      <c r="F336" s="2791"/>
      <c r="G336" s="2798"/>
      <c r="H336" s="2787" t="s">
        <v>86</v>
      </c>
      <c r="I336" s="2799"/>
      <c r="J336" s="2800"/>
      <c r="K336" s="2801"/>
      <c r="L336" s="2524"/>
      <c r="M336" s="2525"/>
      <c r="N336" s="2804"/>
      <c r="O336" s="2805"/>
      <c r="P336" s="2808"/>
      <c r="Q336" s="2800"/>
      <c r="R336" s="2759"/>
      <c r="S336" s="2809"/>
      <c r="T336" s="2759"/>
      <c r="U336" s="2759"/>
      <c r="V336" s="2759"/>
      <c r="W336" s="2759"/>
      <c r="X336" s="2759"/>
      <c r="Y336" s="2759"/>
      <c r="Z336" s="1093"/>
      <c r="AA336" s="1094"/>
      <c r="AB336" s="1159" t="s">
        <v>1033</v>
      </c>
      <c r="AC336" s="1098"/>
      <c r="AD336" s="1098"/>
      <c r="AE336" s="1100"/>
      <c r="AF336" s="2802"/>
      <c r="AG336" s="2803"/>
      <c r="AH336" s="2803"/>
      <c r="AI336" s="2802"/>
      <c r="AJ336" s="2803"/>
      <c r="AK336" s="2803"/>
      <c r="AL336" s="1900"/>
      <c r="AM336" s="1738"/>
      <c r="AN336" s="1738"/>
      <c r="AO336" s="1738"/>
      <c r="AP336" s="1738"/>
      <c r="AQ336" s="1738"/>
      <c r="AR336" s="1738"/>
      <c r="AS336" s="1738"/>
      <c r="AT336" s="1738"/>
      <c r="AU336" s="1738"/>
      <c r="AV336" s="1738"/>
      <c r="AW336" s="1738"/>
      <c r="AX336" s="1738"/>
      <c r="AY336" s="1738"/>
      <c r="AZ336" s="1738"/>
      <c r="BA336" s="1738"/>
      <c r="BB336" s="1738"/>
      <c r="BC336" s="1738"/>
      <c r="BD336" s="1738"/>
      <c r="BE336" s="1738"/>
      <c r="BF336" s="1738"/>
      <c r="BG336" s="2010"/>
    </row>
    <row r="337" spans="1:59" ht="11.25" customHeight="1">
      <c r="A337" s="1084" t="s">
        <v>987</v>
      </c>
      <c r="B337" s="1084"/>
      <c r="C337" s="1084"/>
      <c r="D337" s="1078"/>
      <c r="E337" s="1088"/>
      <c r="F337" s="2791"/>
      <c r="G337" s="2798"/>
      <c r="H337" s="2787" t="s">
        <v>86</v>
      </c>
      <c r="I337" s="2799"/>
      <c r="J337" s="2800"/>
      <c r="K337" s="2801"/>
      <c r="L337" s="2524"/>
      <c r="M337" s="2525"/>
      <c r="N337" s="1093"/>
      <c r="O337" s="1094"/>
      <c r="P337" s="1086" t="s">
        <v>1034</v>
      </c>
      <c r="Q337" s="1094"/>
      <c r="R337" s="1094"/>
      <c r="S337" s="1094"/>
      <c r="T337" s="1094"/>
      <c r="U337" s="1094"/>
      <c r="V337" s="1094"/>
      <c r="W337" s="1094"/>
      <c r="X337" s="1094"/>
      <c r="Y337" s="1094"/>
      <c r="Z337" s="1094"/>
      <c r="AA337" s="1094"/>
      <c r="AB337" s="1094"/>
      <c r="AC337" s="1094"/>
      <c r="AD337" s="1094"/>
      <c r="AE337" s="1101"/>
      <c r="AF337" s="2802"/>
      <c r="AG337" s="2803"/>
      <c r="AH337" s="2803"/>
      <c r="AI337" s="2802"/>
      <c r="AJ337" s="2803"/>
      <c r="AK337" s="2803"/>
      <c r="AL337" s="1900"/>
      <c r="AM337" s="1738"/>
      <c r="AN337" s="1738"/>
      <c r="AO337" s="1738"/>
      <c r="AP337" s="1738"/>
      <c r="AQ337" s="1738"/>
      <c r="AR337" s="1738"/>
      <c r="AS337" s="1738"/>
      <c r="AT337" s="1738"/>
      <c r="AU337" s="1738"/>
      <c r="AV337" s="1738"/>
      <c r="AW337" s="1738"/>
      <c r="AX337" s="1738"/>
      <c r="AY337" s="1738"/>
      <c r="AZ337" s="1738"/>
      <c r="BA337" s="1738"/>
      <c r="BB337" s="1738"/>
      <c r="BC337" s="1738"/>
      <c r="BD337" s="1738"/>
      <c r="BE337" s="1738"/>
      <c r="BF337" s="1738"/>
      <c r="BG337" s="2010"/>
    </row>
    <row r="338" spans="1:59" ht="11.25" customHeight="1">
      <c r="A338" s="1084" t="s">
        <v>987</v>
      </c>
      <c r="B338" s="1084" t="s">
        <v>1018</v>
      </c>
      <c r="C338" s="1084"/>
      <c r="D338" s="1078"/>
      <c r="E338" s="1088"/>
      <c r="F338" s="2791"/>
      <c r="G338" s="2776" t="s">
        <v>680</v>
      </c>
      <c r="H338" s="2787" t="s">
        <v>104</v>
      </c>
      <c r="I338" s="2799" t="s">
        <v>1019</v>
      </c>
      <c r="J338" s="2800" t="s">
        <v>1035</v>
      </c>
      <c r="K338" s="2801" t="s">
        <v>1054</v>
      </c>
      <c r="L338" s="2524" t="s">
        <v>19</v>
      </c>
      <c r="M338" s="2525"/>
      <c r="N338" s="1898"/>
      <c r="O338" s="1095" t="s">
        <v>367</v>
      </c>
      <c r="P338" s="1096"/>
      <c r="Q338" s="1096"/>
      <c r="R338" s="1096"/>
      <c r="S338" s="1096"/>
      <c r="T338" s="1096"/>
      <c r="U338" s="1096"/>
      <c r="V338" s="1096"/>
      <c r="W338" s="1096"/>
      <c r="X338" s="1096"/>
      <c r="Y338" s="1096"/>
      <c r="Z338" s="1096"/>
      <c r="AA338" s="1096"/>
      <c r="AB338" s="1096"/>
      <c r="AC338" s="1096"/>
      <c r="AD338" s="1096"/>
      <c r="AE338" s="1096"/>
      <c r="AF338" s="2802">
        <v>3</v>
      </c>
      <c r="AG338" s="2803" t="s">
        <v>1022</v>
      </c>
      <c r="AH338" s="2803" t="s">
        <v>1023</v>
      </c>
      <c r="AI338" s="2802"/>
      <c r="AJ338" s="2803"/>
      <c r="AK338" s="2803"/>
      <c r="AL338" s="1900"/>
      <c r="AM338" s="1738"/>
      <c r="AN338" s="1738"/>
      <c r="AO338" s="1738"/>
      <c r="AP338" s="1738"/>
      <c r="AQ338" s="1738"/>
      <c r="AR338" s="1738"/>
      <c r="AS338" s="1738"/>
      <c r="AT338" s="1738"/>
      <c r="AU338" s="1738"/>
      <c r="AV338" s="1738"/>
      <c r="AW338" s="1738"/>
      <c r="AX338" s="1738"/>
      <c r="AY338" s="1738"/>
      <c r="AZ338" s="1738"/>
      <c r="BA338" s="1738"/>
      <c r="BB338" s="1738"/>
      <c r="BC338" s="1738"/>
      <c r="BD338" s="1738"/>
      <c r="BE338" s="1738"/>
      <c r="BF338" s="1738"/>
      <c r="BG338" s="2010"/>
    </row>
    <row r="339" spans="1:59" ht="11.25" customHeight="1">
      <c r="A339" s="1084" t="s">
        <v>987</v>
      </c>
      <c r="B339" s="1084"/>
      <c r="C339" s="1084"/>
      <c r="D339" s="1078"/>
      <c r="E339" s="1088"/>
      <c r="F339" s="2791"/>
      <c r="G339" s="2798"/>
      <c r="H339" s="2787" t="s">
        <v>87</v>
      </c>
      <c r="I339" s="2799"/>
      <c r="J339" s="2800"/>
      <c r="K339" s="2801"/>
      <c r="L339" s="2524"/>
      <c r="M339" s="2525"/>
      <c r="N339" s="2804"/>
      <c r="O339" s="2805">
        <v>1</v>
      </c>
      <c r="P339" s="2806" t="s">
        <v>65</v>
      </c>
      <c r="Q339" s="2800" t="s">
        <v>1024</v>
      </c>
      <c r="R339" s="2809" t="s">
        <v>1061</v>
      </c>
      <c r="S339" s="2809" t="s">
        <v>1062</v>
      </c>
      <c r="T339" s="2809" t="s">
        <v>1062</v>
      </c>
      <c r="U339" s="2809" t="s">
        <v>1063</v>
      </c>
      <c r="V339" s="2809" t="s">
        <v>1064</v>
      </c>
      <c r="W339" s="2809" t="s">
        <v>1065</v>
      </c>
      <c r="X339" s="2809" t="s">
        <v>1030</v>
      </c>
      <c r="Y339" s="2809" t="s">
        <v>1031</v>
      </c>
      <c r="Z339" s="1093"/>
      <c r="AA339" s="1094"/>
      <c r="AB339" s="1094"/>
      <c r="AC339" s="1098"/>
      <c r="AD339" s="1098"/>
      <c r="AE339" s="1099"/>
      <c r="AF339" s="2802"/>
      <c r="AG339" s="2803"/>
      <c r="AH339" s="2803"/>
      <c r="AI339" s="2802"/>
      <c r="AJ339" s="2803"/>
      <c r="AK339" s="2803"/>
      <c r="AL339" s="1900"/>
      <c r="AM339" s="1738"/>
      <c r="AN339" s="1738"/>
      <c r="AO339" s="1738"/>
      <c r="AP339" s="1738"/>
      <c r="AQ339" s="1738"/>
      <c r="AR339" s="1738"/>
      <c r="AS339" s="1738"/>
      <c r="AT339" s="1738"/>
      <c r="AU339" s="1738"/>
      <c r="AV339" s="1738"/>
      <c r="AW339" s="1738"/>
      <c r="AX339" s="1738"/>
      <c r="AY339" s="1738"/>
      <c r="AZ339" s="1738"/>
      <c r="BA339" s="1738"/>
      <c r="BB339" s="1738"/>
      <c r="BC339" s="1738"/>
      <c r="BD339" s="1738"/>
      <c r="BE339" s="1738"/>
      <c r="BF339" s="1738"/>
      <c r="BG339" s="2010"/>
    </row>
    <row r="340" spans="1:59" ht="11.25" customHeight="1">
      <c r="A340" s="1084" t="s">
        <v>987</v>
      </c>
      <c r="B340" s="1084"/>
      <c r="C340" s="1084"/>
      <c r="D340" s="1078"/>
      <c r="E340" s="1088"/>
      <c r="F340" s="2791"/>
      <c r="G340" s="2798"/>
      <c r="H340" s="2787" t="s">
        <v>87</v>
      </c>
      <c r="I340" s="2799"/>
      <c r="J340" s="2800"/>
      <c r="K340" s="2801"/>
      <c r="L340" s="2524"/>
      <c r="M340" s="2525"/>
      <c r="N340" s="2804"/>
      <c r="O340" s="2805"/>
      <c r="P340" s="2807"/>
      <c r="Q340" s="2800"/>
      <c r="R340" s="2759"/>
      <c r="S340" s="2809"/>
      <c r="T340" s="2759"/>
      <c r="U340" s="2759"/>
      <c r="V340" s="2759"/>
      <c r="W340" s="2759"/>
      <c r="X340" s="2759"/>
      <c r="Y340" s="2759"/>
      <c r="Z340" s="1743"/>
      <c r="AA340" s="1711">
        <v>1</v>
      </c>
      <c r="AB340" s="1097" t="s">
        <v>1032</v>
      </c>
      <c r="AC340" s="1087">
        <v>314.09379000000001</v>
      </c>
      <c r="AD340" s="1097" t="str">
        <f>AB340</f>
        <v xml:space="preserve">      Амортизационные отчисления с выделением результатов переоценки основных средств и нематериальных активов</v>
      </c>
      <c r="AE340" s="1087"/>
      <c r="AF340" s="2802"/>
      <c r="AG340" s="2803"/>
      <c r="AH340" s="2803"/>
      <c r="AI340" s="2802"/>
      <c r="AJ340" s="2803"/>
      <c r="AK340" s="2803"/>
      <c r="AL340" s="1900"/>
      <c r="AM340" s="1738"/>
      <c r="AN340" s="1738"/>
      <c r="AO340" s="1738"/>
      <c r="AP340" s="1738"/>
      <c r="AQ340" s="1738"/>
      <c r="AR340" s="1738"/>
      <c r="AS340" s="1738"/>
      <c r="AT340" s="1738"/>
      <c r="AU340" s="1738"/>
      <c r="AV340" s="1738"/>
      <c r="AW340" s="1738"/>
      <c r="AX340" s="1738"/>
      <c r="AY340" s="1738"/>
      <c r="AZ340" s="1738"/>
      <c r="BA340" s="1738"/>
      <c r="BB340" s="1738"/>
      <c r="BC340" s="1738"/>
      <c r="BD340" s="1738"/>
      <c r="BE340" s="1738"/>
      <c r="BF340" s="1738"/>
      <c r="BG340" s="2010"/>
    </row>
    <row r="341" spans="1:59" ht="11.25" customHeight="1">
      <c r="A341" s="1084" t="s">
        <v>987</v>
      </c>
      <c r="B341" s="1084"/>
      <c r="C341" s="1084"/>
      <c r="D341" s="1078"/>
      <c r="E341" s="1088"/>
      <c r="F341" s="2791"/>
      <c r="G341" s="2798"/>
      <c r="H341" s="2787" t="s">
        <v>87</v>
      </c>
      <c r="I341" s="2799"/>
      <c r="J341" s="2800"/>
      <c r="K341" s="2801"/>
      <c r="L341" s="2524"/>
      <c r="M341" s="2525"/>
      <c r="N341" s="2804"/>
      <c r="O341" s="2805"/>
      <c r="P341" s="2808"/>
      <c r="Q341" s="2800"/>
      <c r="R341" s="2759"/>
      <c r="S341" s="2809"/>
      <c r="T341" s="2759"/>
      <c r="U341" s="2759"/>
      <c r="V341" s="2759"/>
      <c r="W341" s="2759"/>
      <c r="X341" s="2759"/>
      <c r="Y341" s="2759"/>
      <c r="Z341" s="1093"/>
      <c r="AA341" s="1094"/>
      <c r="AB341" s="1159" t="s">
        <v>1033</v>
      </c>
      <c r="AC341" s="1098"/>
      <c r="AD341" s="1098"/>
      <c r="AE341" s="1100"/>
      <c r="AF341" s="2802"/>
      <c r="AG341" s="2803"/>
      <c r="AH341" s="2803"/>
      <c r="AI341" s="2802"/>
      <c r="AJ341" s="2803"/>
      <c r="AK341" s="2803"/>
      <c r="AL341" s="1900"/>
      <c r="AM341" s="1738"/>
      <c r="AN341" s="1738"/>
      <c r="AO341" s="1738"/>
      <c r="AP341" s="1738"/>
      <c r="AQ341" s="1738"/>
      <c r="AR341" s="1738"/>
      <c r="AS341" s="1738"/>
      <c r="AT341" s="1738"/>
      <c r="AU341" s="1738"/>
      <c r="AV341" s="1738"/>
      <c r="AW341" s="1738"/>
      <c r="AX341" s="1738"/>
      <c r="AY341" s="1738"/>
      <c r="AZ341" s="1738"/>
      <c r="BA341" s="1738"/>
      <c r="BB341" s="1738"/>
      <c r="BC341" s="1738"/>
      <c r="BD341" s="1738"/>
      <c r="BE341" s="1738"/>
      <c r="BF341" s="1738"/>
      <c r="BG341" s="2010"/>
    </row>
    <row r="342" spans="1:59" ht="11.25" customHeight="1">
      <c r="A342" s="1084" t="s">
        <v>987</v>
      </c>
      <c r="B342" s="1084"/>
      <c r="C342" s="1084"/>
      <c r="D342" s="1078"/>
      <c r="E342" s="1088"/>
      <c r="F342" s="2791"/>
      <c r="G342" s="2798"/>
      <c r="H342" s="2787" t="s">
        <v>87</v>
      </c>
      <c r="I342" s="2799"/>
      <c r="J342" s="2800"/>
      <c r="K342" s="2801"/>
      <c r="L342" s="2524"/>
      <c r="M342" s="2525"/>
      <c r="N342" s="1093"/>
      <c r="O342" s="1094"/>
      <c r="P342" s="1086" t="s">
        <v>1034</v>
      </c>
      <c r="Q342" s="1094"/>
      <c r="R342" s="1094"/>
      <c r="S342" s="1094"/>
      <c r="T342" s="1094"/>
      <c r="U342" s="1094"/>
      <c r="V342" s="1094"/>
      <c r="W342" s="1094"/>
      <c r="X342" s="1094"/>
      <c r="Y342" s="1094"/>
      <c r="Z342" s="1094"/>
      <c r="AA342" s="1094"/>
      <c r="AB342" s="1094"/>
      <c r="AC342" s="1094"/>
      <c r="AD342" s="1094"/>
      <c r="AE342" s="1101"/>
      <c r="AF342" s="2802"/>
      <c r="AG342" s="2803"/>
      <c r="AH342" s="2803"/>
      <c r="AI342" s="2802"/>
      <c r="AJ342" s="2803"/>
      <c r="AK342" s="2803"/>
      <c r="AL342" s="1900"/>
      <c r="AM342" s="1738"/>
      <c r="AN342" s="1738"/>
      <c r="AO342" s="1738"/>
      <c r="AP342" s="1738"/>
      <c r="AQ342" s="1738"/>
      <c r="AR342" s="1738"/>
      <c r="AS342" s="1738"/>
      <c r="AT342" s="1738"/>
      <c r="AU342" s="1738"/>
      <c r="AV342" s="1738"/>
      <c r="AW342" s="1738"/>
      <c r="AX342" s="1738"/>
      <c r="AY342" s="1738"/>
      <c r="AZ342" s="1738"/>
      <c r="BA342" s="1738"/>
      <c r="BB342" s="1738"/>
      <c r="BC342" s="1738"/>
      <c r="BD342" s="1738"/>
      <c r="BE342" s="1738"/>
      <c r="BF342" s="1738"/>
      <c r="BG342" s="2010"/>
    </row>
    <row r="343" spans="1:59" ht="11.25" customHeight="1">
      <c r="A343" s="1084" t="s">
        <v>987</v>
      </c>
      <c r="B343" s="1084" t="s">
        <v>1018</v>
      </c>
      <c r="C343" s="1084"/>
      <c r="D343" s="1078"/>
      <c r="E343" s="1088"/>
      <c r="F343" s="2791"/>
      <c r="G343" s="2776" t="s">
        <v>680</v>
      </c>
      <c r="H343" s="2787" t="s">
        <v>88</v>
      </c>
      <c r="I343" s="2799" t="s">
        <v>1019</v>
      </c>
      <c r="J343" s="2800" t="s">
        <v>1035</v>
      </c>
      <c r="K343" s="2801" t="s">
        <v>1055</v>
      </c>
      <c r="L343" s="2524" t="s">
        <v>19</v>
      </c>
      <c r="M343" s="2525"/>
      <c r="N343" s="1898"/>
      <c r="O343" s="1095" t="s">
        <v>367</v>
      </c>
      <c r="P343" s="1096"/>
      <c r="Q343" s="1096"/>
      <c r="R343" s="1096"/>
      <c r="S343" s="1096"/>
      <c r="T343" s="1096"/>
      <c r="U343" s="1096"/>
      <c r="V343" s="1096"/>
      <c r="W343" s="1096"/>
      <c r="X343" s="1096"/>
      <c r="Y343" s="1096"/>
      <c r="Z343" s="1096"/>
      <c r="AA343" s="1096"/>
      <c r="AB343" s="1096"/>
      <c r="AC343" s="1096"/>
      <c r="AD343" s="1096"/>
      <c r="AE343" s="1096"/>
      <c r="AF343" s="2802">
        <v>2</v>
      </c>
      <c r="AG343" s="2803" t="s">
        <v>1022</v>
      </c>
      <c r="AH343" s="2803" t="s">
        <v>1040</v>
      </c>
      <c r="AI343" s="2802"/>
      <c r="AJ343" s="2803"/>
      <c r="AK343" s="2803"/>
      <c r="AL343" s="1900"/>
      <c r="AM343" s="1738"/>
      <c r="AN343" s="1738"/>
      <c r="AO343" s="1738"/>
      <c r="AP343" s="1738"/>
      <c r="AQ343" s="1738"/>
      <c r="AR343" s="1738"/>
      <c r="AS343" s="1738"/>
      <c r="AT343" s="1738"/>
      <c r="AU343" s="1738"/>
      <c r="AV343" s="1738"/>
      <c r="AW343" s="1738"/>
      <c r="AX343" s="1738"/>
      <c r="AY343" s="1738"/>
      <c r="AZ343" s="1738"/>
      <c r="BA343" s="1738"/>
      <c r="BB343" s="1738"/>
      <c r="BC343" s="1738"/>
      <c r="BD343" s="1738"/>
      <c r="BE343" s="1738"/>
      <c r="BF343" s="1738"/>
      <c r="BG343" s="2010"/>
    </row>
    <row r="344" spans="1:59" ht="11.25" customHeight="1">
      <c r="A344" s="1084" t="s">
        <v>987</v>
      </c>
      <c r="B344" s="1084"/>
      <c r="C344" s="1084"/>
      <c r="D344" s="1078"/>
      <c r="E344" s="1088"/>
      <c r="F344" s="2791"/>
      <c r="G344" s="2798"/>
      <c r="H344" s="2787" t="s">
        <v>104</v>
      </c>
      <c r="I344" s="2799"/>
      <c r="J344" s="2800"/>
      <c r="K344" s="2801"/>
      <c r="L344" s="2524"/>
      <c r="M344" s="2525"/>
      <c r="N344" s="2804"/>
      <c r="O344" s="2805">
        <v>1</v>
      </c>
      <c r="P344" s="2806" t="s">
        <v>65</v>
      </c>
      <c r="Q344" s="2800" t="s">
        <v>1024</v>
      </c>
      <c r="R344" s="2809" t="s">
        <v>1061</v>
      </c>
      <c r="S344" s="2809" t="s">
        <v>1062</v>
      </c>
      <c r="T344" s="2809" t="s">
        <v>1062</v>
      </c>
      <c r="U344" s="2809" t="s">
        <v>1063</v>
      </c>
      <c r="V344" s="2809" t="s">
        <v>1064</v>
      </c>
      <c r="W344" s="2809" t="s">
        <v>1065</v>
      </c>
      <c r="X344" s="2809" t="s">
        <v>1030</v>
      </c>
      <c r="Y344" s="2809" t="s">
        <v>1031</v>
      </c>
      <c r="Z344" s="1093"/>
      <c r="AA344" s="1094"/>
      <c r="AB344" s="1094"/>
      <c r="AC344" s="1098"/>
      <c r="AD344" s="1098"/>
      <c r="AE344" s="1099"/>
      <c r="AF344" s="2802"/>
      <c r="AG344" s="2803"/>
      <c r="AH344" s="2803"/>
      <c r="AI344" s="2802"/>
      <c r="AJ344" s="2803"/>
      <c r="AK344" s="2803"/>
      <c r="AL344" s="1900"/>
      <c r="AM344" s="1738"/>
      <c r="AN344" s="1738"/>
      <c r="AO344" s="1738"/>
      <c r="AP344" s="1738"/>
      <c r="AQ344" s="1738"/>
      <c r="AR344" s="1738"/>
      <c r="AS344" s="1738"/>
      <c r="AT344" s="1738"/>
      <c r="AU344" s="1738"/>
      <c r="AV344" s="1738"/>
      <c r="AW344" s="1738"/>
      <c r="AX344" s="1738"/>
      <c r="AY344" s="1738"/>
      <c r="AZ344" s="1738"/>
      <c r="BA344" s="1738"/>
      <c r="BB344" s="1738"/>
      <c r="BC344" s="1738"/>
      <c r="BD344" s="1738"/>
      <c r="BE344" s="1738"/>
      <c r="BF344" s="1738"/>
      <c r="BG344" s="2010"/>
    </row>
    <row r="345" spans="1:59" ht="11.25" customHeight="1">
      <c r="A345" s="1084" t="s">
        <v>987</v>
      </c>
      <c r="B345" s="1084"/>
      <c r="C345" s="1084"/>
      <c r="D345" s="1078"/>
      <c r="E345" s="1088"/>
      <c r="F345" s="2791"/>
      <c r="G345" s="2798"/>
      <c r="H345" s="2787" t="s">
        <v>104</v>
      </c>
      <c r="I345" s="2799"/>
      <c r="J345" s="2800"/>
      <c r="K345" s="2801"/>
      <c r="L345" s="2524"/>
      <c r="M345" s="2525"/>
      <c r="N345" s="2804"/>
      <c r="O345" s="2805"/>
      <c r="P345" s="2807"/>
      <c r="Q345" s="2800"/>
      <c r="R345" s="2759"/>
      <c r="S345" s="2809"/>
      <c r="T345" s="2759"/>
      <c r="U345" s="2759"/>
      <c r="V345" s="2759"/>
      <c r="W345" s="2759"/>
      <c r="X345" s="2759"/>
      <c r="Y345" s="2759"/>
      <c r="Z345" s="1743"/>
      <c r="AA345" s="1711">
        <v>1</v>
      </c>
      <c r="AB345" s="1097" t="s">
        <v>1032</v>
      </c>
      <c r="AC345" s="1087">
        <v>1570.46894</v>
      </c>
      <c r="AD345" s="1097" t="str">
        <f>AB345</f>
        <v xml:space="preserve">      Амортизационные отчисления с выделением результатов переоценки основных средств и нематериальных активов</v>
      </c>
      <c r="AE345" s="1087"/>
      <c r="AF345" s="2802"/>
      <c r="AG345" s="2803"/>
      <c r="AH345" s="2803"/>
      <c r="AI345" s="2802"/>
      <c r="AJ345" s="2803"/>
      <c r="AK345" s="2803"/>
      <c r="AL345" s="1900"/>
      <c r="AM345" s="1738"/>
      <c r="AN345" s="1738"/>
      <c r="AO345" s="1738"/>
      <c r="AP345" s="1738"/>
      <c r="AQ345" s="1738"/>
      <c r="AR345" s="1738"/>
      <c r="AS345" s="1738"/>
      <c r="AT345" s="1738"/>
      <c r="AU345" s="1738"/>
      <c r="AV345" s="1738"/>
      <c r="AW345" s="1738"/>
      <c r="AX345" s="1738"/>
      <c r="AY345" s="1738"/>
      <c r="AZ345" s="1738"/>
      <c r="BA345" s="1738"/>
      <c r="BB345" s="1738"/>
      <c r="BC345" s="1738"/>
      <c r="BD345" s="1738"/>
      <c r="BE345" s="1738"/>
      <c r="BF345" s="1738"/>
      <c r="BG345" s="2010"/>
    </row>
    <row r="346" spans="1:59" ht="11.25" customHeight="1">
      <c r="A346" s="1084" t="s">
        <v>987</v>
      </c>
      <c r="B346" s="1084"/>
      <c r="C346" s="1084"/>
      <c r="D346" s="1078"/>
      <c r="E346" s="1088"/>
      <c r="F346" s="2791"/>
      <c r="G346" s="2798"/>
      <c r="H346" s="2787" t="s">
        <v>104</v>
      </c>
      <c r="I346" s="2799"/>
      <c r="J346" s="2800"/>
      <c r="K346" s="2801"/>
      <c r="L346" s="2524"/>
      <c r="M346" s="2525"/>
      <c r="N346" s="2804"/>
      <c r="O346" s="2805"/>
      <c r="P346" s="2808"/>
      <c r="Q346" s="2800"/>
      <c r="R346" s="2759"/>
      <c r="S346" s="2809"/>
      <c r="T346" s="2759"/>
      <c r="U346" s="2759"/>
      <c r="V346" s="2759"/>
      <c r="W346" s="2759"/>
      <c r="X346" s="2759"/>
      <c r="Y346" s="2759"/>
      <c r="Z346" s="1093"/>
      <c r="AA346" s="1094"/>
      <c r="AB346" s="1159" t="s">
        <v>1033</v>
      </c>
      <c r="AC346" s="1098"/>
      <c r="AD346" s="1098"/>
      <c r="AE346" s="1100"/>
      <c r="AF346" s="2802"/>
      <c r="AG346" s="2803"/>
      <c r="AH346" s="2803"/>
      <c r="AI346" s="2802"/>
      <c r="AJ346" s="2803"/>
      <c r="AK346" s="2803"/>
      <c r="AL346" s="1900"/>
      <c r="AM346" s="1738"/>
      <c r="AN346" s="1738"/>
      <c r="AO346" s="1738"/>
      <c r="AP346" s="1738"/>
      <c r="AQ346" s="1738"/>
      <c r="AR346" s="1738"/>
      <c r="AS346" s="1738"/>
      <c r="AT346" s="1738"/>
      <c r="AU346" s="1738"/>
      <c r="AV346" s="1738"/>
      <c r="AW346" s="1738"/>
      <c r="AX346" s="1738"/>
      <c r="AY346" s="1738"/>
      <c r="AZ346" s="1738"/>
      <c r="BA346" s="1738"/>
      <c r="BB346" s="1738"/>
      <c r="BC346" s="1738"/>
      <c r="BD346" s="1738"/>
      <c r="BE346" s="1738"/>
      <c r="BF346" s="1738"/>
      <c r="BG346" s="2010"/>
    </row>
    <row r="347" spans="1:59" ht="11.25" customHeight="1">
      <c r="A347" s="1084" t="s">
        <v>987</v>
      </c>
      <c r="B347" s="1084"/>
      <c r="C347" s="1084"/>
      <c r="D347" s="1078"/>
      <c r="E347" s="1088"/>
      <c r="F347" s="2791"/>
      <c r="G347" s="2798"/>
      <c r="H347" s="2787" t="s">
        <v>104</v>
      </c>
      <c r="I347" s="2799"/>
      <c r="J347" s="2800"/>
      <c r="K347" s="2801"/>
      <c r="L347" s="2524"/>
      <c r="M347" s="2525"/>
      <c r="N347" s="1093"/>
      <c r="O347" s="1094"/>
      <c r="P347" s="1086" t="s">
        <v>1034</v>
      </c>
      <c r="Q347" s="1094"/>
      <c r="R347" s="1094"/>
      <c r="S347" s="1094"/>
      <c r="T347" s="1094"/>
      <c r="U347" s="1094"/>
      <c r="V347" s="1094"/>
      <c r="W347" s="1094"/>
      <c r="X347" s="1094"/>
      <c r="Y347" s="1094"/>
      <c r="Z347" s="1094"/>
      <c r="AA347" s="1094"/>
      <c r="AB347" s="1094"/>
      <c r="AC347" s="1094"/>
      <c r="AD347" s="1094"/>
      <c r="AE347" s="1101"/>
      <c r="AF347" s="2802"/>
      <c r="AG347" s="2803"/>
      <c r="AH347" s="2803"/>
      <c r="AI347" s="2802"/>
      <c r="AJ347" s="2803"/>
      <c r="AK347" s="2803"/>
      <c r="AL347" s="1900"/>
      <c r="AM347" s="1738"/>
      <c r="AN347" s="1738"/>
      <c r="AO347" s="1738"/>
      <c r="AP347" s="1738"/>
      <c r="AQ347" s="1738"/>
      <c r="AR347" s="1738"/>
      <c r="AS347" s="1738"/>
      <c r="AT347" s="1738"/>
      <c r="AU347" s="1738"/>
      <c r="AV347" s="1738"/>
      <c r="AW347" s="1738"/>
      <c r="AX347" s="1738"/>
      <c r="AY347" s="1738"/>
      <c r="AZ347" s="1738"/>
      <c r="BA347" s="1738"/>
      <c r="BB347" s="1738"/>
      <c r="BC347" s="1738"/>
      <c r="BD347" s="1738"/>
      <c r="BE347" s="1738"/>
      <c r="BF347" s="1738"/>
      <c r="BG347" s="2010"/>
    </row>
    <row r="348" spans="1:59" ht="11.25" customHeight="1">
      <c r="A348" s="1084" t="s">
        <v>987</v>
      </c>
      <c r="B348" s="1084" t="s">
        <v>1018</v>
      </c>
      <c r="C348" s="1084"/>
      <c r="D348" s="1078"/>
      <c r="E348" s="1088"/>
      <c r="F348" s="2791"/>
      <c r="G348" s="2776" t="s">
        <v>680</v>
      </c>
      <c r="H348" s="2787" t="s">
        <v>89</v>
      </c>
      <c r="I348" s="2799" t="s">
        <v>1019</v>
      </c>
      <c r="J348" s="2800" t="s">
        <v>1035</v>
      </c>
      <c r="K348" s="2801" t="s">
        <v>1056</v>
      </c>
      <c r="L348" s="2524" t="s">
        <v>19</v>
      </c>
      <c r="M348" s="2525"/>
      <c r="N348" s="1898"/>
      <c r="O348" s="1095" t="s">
        <v>367</v>
      </c>
      <c r="P348" s="1096"/>
      <c r="Q348" s="1096"/>
      <c r="R348" s="1096"/>
      <c r="S348" s="1096"/>
      <c r="T348" s="1096"/>
      <c r="U348" s="1096"/>
      <c r="V348" s="1096"/>
      <c r="W348" s="1096"/>
      <c r="X348" s="1096"/>
      <c r="Y348" s="1096"/>
      <c r="Z348" s="1096"/>
      <c r="AA348" s="1096"/>
      <c r="AB348" s="1096"/>
      <c r="AC348" s="1096"/>
      <c r="AD348" s="1096"/>
      <c r="AE348" s="1096"/>
      <c r="AF348" s="2802">
        <v>2</v>
      </c>
      <c r="AG348" s="2803" t="s">
        <v>1022</v>
      </c>
      <c r="AH348" s="2803" t="s">
        <v>1040</v>
      </c>
      <c r="AI348" s="2802"/>
      <c r="AJ348" s="2803"/>
      <c r="AK348" s="2803"/>
      <c r="AL348" s="1900"/>
      <c r="AM348" s="1738"/>
      <c r="AN348" s="1738"/>
      <c r="AO348" s="1738"/>
      <c r="AP348" s="1738"/>
      <c r="AQ348" s="1738"/>
      <c r="AR348" s="1738"/>
      <c r="AS348" s="1738"/>
      <c r="AT348" s="1738"/>
      <c r="AU348" s="1738"/>
      <c r="AV348" s="1738"/>
      <c r="AW348" s="1738"/>
      <c r="AX348" s="1738"/>
      <c r="AY348" s="1738"/>
      <c r="AZ348" s="1738"/>
      <c r="BA348" s="1738"/>
      <c r="BB348" s="1738"/>
      <c r="BC348" s="1738"/>
      <c r="BD348" s="1738"/>
      <c r="BE348" s="1738"/>
      <c r="BF348" s="1738"/>
      <c r="BG348" s="2010"/>
    </row>
    <row r="349" spans="1:59" ht="11.25" customHeight="1">
      <c r="A349" s="1084" t="s">
        <v>987</v>
      </c>
      <c r="B349" s="1084"/>
      <c r="C349" s="1084"/>
      <c r="D349" s="1078"/>
      <c r="E349" s="1088"/>
      <c r="F349" s="2791"/>
      <c r="G349" s="2798"/>
      <c r="H349" s="2787" t="s">
        <v>88</v>
      </c>
      <c r="I349" s="2799"/>
      <c r="J349" s="2800"/>
      <c r="K349" s="2801"/>
      <c r="L349" s="2524"/>
      <c r="M349" s="2525"/>
      <c r="N349" s="2804"/>
      <c r="O349" s="2805">
        <v>1</v>
      </c>
      <c r="P349" s="2806" t="s">
        <v>65</v>
      </c>
      <c r="Q349" s="2800" t="s">
        <v>1024</v>
      </c>
      <c r="R349" s="2809" t="s">
        <v>1061</v>
      </c>
      <c r="S349" s="2809" t="s">
        <v>1062</v>
      </c>
      <c r="T349" s="2809" t="s">
        <v>1062</v>
      </c>
      <c r="U349" s="2809" t="s">
        <v>1063</v>
      </c>
      <c r="V349" s="2809" t="s">
        <v>1064</v>
      </c>
      <c r="W349" s="2809" t="s">
        <v>1065</v>
      </c>
      <c r="X349" s="2809" t="s">
        <v>1030</v>
      </c>
      <c r="Y349" s="2809" t="s">
        <v>1031</v>
      </c>
      <c r="Z349" s="1093"/>
      <c r="AA349" s="1094"/>
      <c r="AB349" s="1094"/>
      <c r="AC349" s="1098"/>
      <c r="AD349" s="1098"/>
      <c r="AE349" s="1099"/>
      <c r="AF349" s="2802"/>
      <c r="AG349" s="2803"/>
      <c r="AH349" s="2803"/>
      <c r="AI349" s="2802"/>
      <c r="AJ349" s="2803"/>
      <c r="AK349" s="2803"/>
      <c r="AL349" s="1900"/>
      <c r="AM349" s="1738"/>
      <c r="AN349" s="1738"/>
      <c r="AO349" s="1738"/>
      <c r="AP349" s="1738"/>
      <c r="AQ349" s="1738"/>
      <c r="AR349" s="1738"/>
      <c r="AS349" s="1738"/>
      <c r="AT349" s="1738"/>
      <c r="AU349" s="1738"/>
      <c r="AV349" s="1738"/>
      <c r="AW349" s="1738"/>
      <c r="AX349" s="1738"/>
      <c r="AY349" s="1738"/>
      <c r="AZ349" s="1738"/>
      <c r="BA349" s="1738"/>
      <c r="BB349" s="1738"/>
      <c r="BC349" s="1738"/>
      <c r="BD349" s="1738"/>
      <c r="BE349" s="1738"/>
      <c r="BF349" s="1738"/>
      <c r="BG349" s="2010"/>
    </row>
    <row r="350" spans="1:59" ht="11.25" customHeight="1">
      <c r="A350" s="1084" t="s">
        <v>987</v>
      </c>
      <c r="B350" s="1084"/>
      <c r="C350" s="1084"/>
      <c r="D350" s="1078"/>
      <c r="E350" s="1088"/>
      <c r="F350" s="2791"/>
      <c r="G350" s="2798"/>
      <c r="H350" s="2787" t="s">
        <v>88</v>
      </c>
      <c r="I350" s="2799"/>
      <c r="J350" s="2800"/>
      <c r="K350" s="2801"/>
      <c r="L350" s="2524"/>
      <c r="M350" s="2525"/>
      <c r="N350" s="2804"/>
      <c r="O350" s="2805"/>
      <c r="P350" s="2807"/>
      <c r="Q350" s="2800"/>
      <c r="R350" s="2759"/>
      <c r="S350" s="2809"/>
      <c r="T350" s="2759"/>
      <c r="U350" s="2759"/>
      <c r="V350" s="2759"/>
      <c r="W350" s="2759"/>
      <c r="X350" s="2759"/>
      <c r="Y350" s="2759"/>
      <c r="Z350" s="1743"/>
      <c r="AA350" s="1711">
        <v>1</v>
      </c>
      <c r="AB350" s="1097" t="s">
        <v>1032</v>
      </c>
      <c r="AC350" s="1087">
        <v>1570.46894</v>
      </c>
      <c r="AD350" s="1097" t="str">
        <f>AB350</f>
        <v xml:space="preserve">      Амортизационные отчисления с выделением результатов переоценки основных средств и нематериальных активов</v>
      </c>
      <c r="AE350" s="1087"/>
      <c r="AF350" s="2802"/>
      <c r="AG350" s="2803"/>
      <c r="AH350" s="2803"/>
      <c r="AI350" s="2802"/>
      <c r="AJ350" s="2803"/>
      <c r="AK350" s="2803"/>
      <c r="AL350" s="1900"/>
      <c r="AM350" s="1738"/>
      <c r="AN350" s="1738"/>
      <c r="AO350" s="1738"/>
      <c r="AP350" s="1738"/>
      <c r="AQ350" s="1738"/>
      <c r="AR350" s="1738"/>
      <c r="AS350" s="1738"/>
      <c r="AT350" s="1738"/>
      <c r="AU350" s="1738"/>
      <c r="AV350" s="1738"/>
      <c r="AW350" s="1738"/>
      <c r="AX350" s="1738"/>
      <c r="AY350" s="1738"/>
      <c r="AZ350" s="1738"/>
      <c r="BA350" s="1738"/>
      <c r="BB350" s="1738"/>
      <c r="BC350" s="1738"/>
      <c r="BD350" s="1738"/>
      <c r="BE350" s="1738"/>
      <c r="BF350" s="1738"/>
      <c r="BG350" s="2010"/>
    </row>
    <row r="351" spans="1:59" ht="11.25" customHeight="1">
      <c r="A351" s="1084" t="s">
        <v>987</v>
      </c>
      <c r="B351" s="1084"/>
      <c r="C351" s="1084"/>
      <c r="D351" s="1078"/>
      <c r="E351" s="1088"/>
      <c r="F351" s="2791"/>
      <c r="G351" s="2798"/>
      <c r="H351" s="2787" t="s">
        <v>88</v>
      </c>
      <c r="I351" s="2799"/>
      <c r="J351" s="2800"/>
      <c r="K351" s="2801"/>
      <c r="L351" s="2524"/>
      <c r="M351" s="2525"/>
      <c r="N351" s="2804"/>
      <c r="O351" s="2805"/>
      <c r="P351" s="2808"/>
      <c r="Q351" s="2800"/>
      <c r="R351" s="2759"/>
      <c r="S351" s="2809"/>
      <c r="T351" s="2759"/>
      <c r="U351" s="2759"/>
      <c r="V351" s="2759"/>
      <c r="W351" s="2759"/>
      <c r="X351" s="2759"/>
      <c r="Y351" s="2759"/>
      <c r="Z351" s="1093"/>
      <c r="AA351" s="1094"/>
      <c r="AB351" s="1159" t="s">
        <v>1033</v>
      </c>
      <c r="AC351" s="1098"/>
      <c r="AD351" s="1098"/>
      <c r="AE351" s="1100"/>
      <c r="AF351" s="2802"/>
      <c r="AG351" s="2803"/>
      <c r="AH351" s="2803"/>
      <c r="AI351" s="2802"/>
      <c r="AJ351" s="2803"/>
      <c r="AK351" s="2803"/>
      <c r="AL351" s="1900"/>
      <c r="AM351" s="1738"/>
      <c r="AN351" s="1738"/>
      <c r="AO351" s="1738"/>
      <c r="AP351" s="1738"/>
      <c r="AQ351" s="1738"/>
      <c r="AR351" s="1738"/>
      <c r="AS351" s="1738"/>
      <c r="AT351" s="1738"/>
      <c r="AU351" s="1738"/>
      <c r="AV351" s="1738"/>
      <c r="AW351" s="1738"/>
      <c r="AX351" s="1738"/>
      <c r="AY351" s="1738"/>
      <c r="AZ351" s="1738"/>
      <c r="BA351" s="1738"/>
      <c r="BB351" s="1738"/>
      <c r="BC351" s="1738"/>
      <c r="BD351" s="1738"/>
      <c r="BE351" s="1738"/>
      <c r="BF351" s="1738"/>
      <c r="BG351" s="2010"/>
    </row>
    <row r="352" spans="1:59" ht="11.25" customHeight="1">
      <c r="A352" s="1084" t="s">
        <v>987</v>
      </c>
      <c r="B352" s="1084"/>
      <c r="C352" s="1084"/>
      <c r="D352" s="1078"/>
      <c r="E352" s="1088"/>
      <c r="F352" s="2791"/>
      <c r="G352" s="2798"/>
      <c r="H352" s="2787" t="s">
        <v>88</v>
      </c>
      <c r="I352" s="2799"/>
      <c r="J352" s="2800"/>
      <c r="K352" s="2801"/>
      <c r="L352" s="2524"/>
      <c r="M352" s="2525"/>
      <c r="N352" s="1093"/>
      <c r="O352" s="1094"/>
      <c r="P352" s="1086" t="s">
        <v>1034</v>
      </c>
      <c r="Q352" s="1094"/>
      <c r="R352" s="1094"/>
      <c r="S352" s="1094"/>
      <c r="T352" s="1094"/>
      <c r="U352" s="1094"/>
      <c r="V352" s="1094"/>
      <c r="W352" s="1094"/>
      <c r="X352" s="1094"/>
      <c r="Y352" s="1094"/>
      <c r="Z352" s="1094"/>
      <c r="AA352" s="1094"/>
      <c r="AB352" s="1094"/>
      <c r="AC352" s="1094"/>
      <c r="AD352" s="1094"/>
      <c r="AE352" s="1101"/>
      <c r="AF352" s="2802"/>
      <c r="AG352" s="2803"/>
      <c r="AH352" s="2803"/>
      <c r="AI352" s="2802"/>
      <c r="AJ352" s="2803"/>
      <c r="AK352" s="2803"/>
      <c r="AL352" s="1900"/>
      <c r="AM352" s="1738"/>
      <c r="AN352" s="1738"/>
      <c r="AO352" s="1738"/>
      <c r="AP352" s="1738"/>
      <c r="AQ352" s="1738"/>
      <c r="AR352" s="1738"/>
      <c r="AS352" s="1738"/>
      <c r="AT352" s="1738"/>
      <c r="AU352" s="1738"/>
      <c r="AV352" s="1738"/>
      <c r="AW352" s="1738"/>
      <c r="AX352" s="1738"/>
      <c r="AY352" s="1738"/>
      <c r="AZ352" s="1738"/>
      <c r="BA352" s="1738"/>
      <c r="BB352" s="1738"/>
      <c r="BC352" s="1738"/>
      <c r="BD352" s="1738"/>
      <c r="BE352" s="1738"/>
      <c r="BF352" s="1738"/>
      <c r="BG352" s="2010"/>
    </row>
    <row r="353" spans="1:59" ht="11.25" customHeight="1">
      <c r="A353" s="1084" t="s">
        <v>987</v>
      </c>
      <c r="B353" s="1084" t="s">
        <v>1018</v>
      </c>
      <c r="C353" s="1084"/>
      <c r="D353" s="1078"/>
      <c r="E353" s="1088"/>
      <c r="F353" s="2791"/>
      <c r="G353" s="2776" t="s">
        <v>680</v>
      </c>
      <c r="H353" s="2787" t="s">
        <v>105</v>
      </c>
      <c r="I353" s="2799" t="s">
        <v>1019</v>
      </c>
      <c r="J353" s="2800" t="s">
        <v>1035</v>
      </c>
      <c r="K353" s="2801" t="s">
        <v>1057</v>
      </c>
      <c r="L353" s="2524" t="s">
        <v>19</v>
      </c>
      <c r="M353" s="2525"/>
      <c r="N353" s="1898"/>
      <c r="O353" s="1095" t="s">
        <v>367</v>
      </c>
      <c r="P353" s="1096"/>
      <c r="Q353" s="1096"/>
      <c r="R353" s="1096"/>
      <c r="S353" s="1096"/>
      <c r="T353" s="1096"/>
      <c r="U353" s="1096"/>
      <c r="V353" s="1096"/>
      <c r="W353" s="1096"/>
      <c r="X353" s="1096"/>
      <c r="Y353" s="1096"/>
      <c r="Z353" s="1096"/>
      <c r="AA353" s="1096"/>
      <c r="AB353" s="1096"/>
      <c r="AC353" s="1096"/>
      <c r="AD353" s="1096"/>
      <c r="AE353" s="1096"/>
      <c r="AF353" s="2802">
        <v>1</v>
      </c>
      <c r="AG353" s="2803" t="s">
        <v>1022</v>
      </c>
      <c r="AH353" s="2803" t="s">
        <v>1058</v>
      </c>
      <c r="AI353" s="2802"/>
      <c r="AJ353" s="2803"/>
      <c r="AK353" s="2803"/>
      <c r="AL353" s="1900"/>
      <c r="AM353" s="1738"/>
      <c r="AN353" s="1738"/>
      <c r="AO353" s="1738"/>
      <c r="AP353" s="1738"/>
      <c r="AQ353" s="1738"/>
      <c r="AR353" s="1738"/>
      <c r="AS353" s="1738"/>
      <c r="AT353" s="1738"/>
      <c r="AU353" s="1738"/>
      <c r="AV353" s="1738"/>
      <c r="AW353" s="1738"/>
      <c r="AX353" s="1738"/>
      <c r="AY353" s="1738"/>
      <c r="AZ353" s="1738"/>
      <c r="BA353" s="1738"/>
      <c r="BB353" s="1738"/>
      <c r="BC353" s="1738"/>
      <c r="BD353" s="1738"/>
      <c r="BE353" s="1738"/>
      <c r="BF353" s="1738"/>
      <c r="BG353" s="2010"/>
    </row>
    <row r="354" spans="1:59" ht="11.25" customHeight="1">
      <c r="A354" s="1084" t="s">
        <v>987</v>
      </c>
      <c r="B354" s="1084"/>
      <c r="C354" s="1084"/>
      <c r="D354" s="1078"/>
      <c r="E354" s="1088"/>
      <c r="F354" s="2791"/>
      <c r="G354" s="2798"/>
      <c r="H354" s="2787" t="s">
        <v>89</v>
      </c>
      <c r="I354" s="2799"/>
      <c r="J354" s="2800"/>
      <c r="K354" s="2801"/>
      <c r="L354" s="2524"/>
      <c r="M354" s="2525"/>
      <c r="N354" s="2804"/>
      <c r="O354" s="2805">
        <v>1</v>
      </c>
      <c r="P354" s="2806" t="s">
        <v>65</v>
      </c>
      <c r="Q354" s="2800" t="s">
        <v>1024</v>
      </c>
      <c r="R354" s="2809" t="s">
        <v>1061</v>
      </c>
      <c r="S354" s="2809" t="s">
        <v>1062</v>
      </c>
      <c r="T354" s="2809" t="s">
        <v>1062</v>
      </c>
      <c r="U354" s="2809" t="s">
        <v>1063</v>
      </c>
      <c r="V354" s="2809" t="s">
        <v>1064</v>
      </c>
      <c r="W354" s="2809" t="s">
        <v>1065</v>
      </c>
      <c r="X354" s="2809" t="s">
        <v>1030</v>
      </c>
      <c r="Y354" s="2809" t="s">
        <v>1031</v>
      </c>
      <c r="Z354" s="1093"/>
      <c r="AA354" s="1094"/>
      <c r="AB354" s="1094"/>
      <c r="AC354" s="1098"/>
      <c r="AD354" s="1098"/>
      <c r="AE354" s="1099"/>
      <c r="AF354" s="2802"/>
      <c r="AG354" s="2803"/>
      <c r="AH354" s="2803"/>
      <c r="AI354" s="2802"/>
      <c r="AJ354" s="2803"/>
      <c r="AK354" s="2803"/>
      <c r="AL354" s="1900"/>
      <c r="AM354" s="1738"/>
      <c r="AN354" s="1738"/>
      <c r="AO354" s="1738"/>
      <c r="AP354" s="1738"/>
      <c r="AQ354" s="1738"/>
      <c r="AR354" s="1738"/>
      <c r="AS354" s="1738"/>
      <c r="AT354" s="1738"/>
      <c r="AU354" s="1738"/>
      <c r="AV354" s="1738"/>
      <c r="AW354" s="1738"/>
      <c r="AX354" s="1738"/>
      <c r="AY354" s="1738"/>
      <c r="AZ354" s="1738"/>
      <c r="BA354" s="1738"/>
      <c r="BB354" s="1738"/>
      <c r="BC354" s="1738"/>
      <c r="BD354" s="1738"/>
      <c r="BE354" s="1738"/>
      <c r="BF354" s="1738"/>
      <c r="BG354" s="2010"/>
    </row>
    <row r="355" spans="1:59" ht="11.25" customHeight="1">
      <c r="A355" s="1084" t="s">
        <v>987</v>
      </c>
      <c r="B355" s="1084"/>
      <c r="C355" s="1084"/>
      <c r="D355" s="1078"/>
      <c r="E355" s="1088"/>
      <c r="F355" s="2791"/>
      <c r="G355" s="2798"/>
      <c r="H355" s="2787" t="s">
        <v>89</v>
      </c>
      <c r="I355" s="2799"/>
      <c r="J355" s="2800"/>
      <c r="K355" s="2801"/>
      <c r="L355" s="2524"/>
      <c r="M355" s="2525"/>
      <c r="N355" s="2804"/>
      <c r="O355" s="2805"/>
      <c r="P355" s="2807"/>
      <c r="Q355" s="2800"/>
      <c r="R355" s="2759"/>
      <c r="S355" s="2809"/>
      <c r="T355" s="2759"/>
      <c r="U355" s="2759"/>
      <c r="V355" s="2759"/>
      <c r="W355" s="2759"/>
      <c r="X355" s="2759"/>
      <c r="Y355" s="2759"/>
      <c r="Z355" s="1743"/>
      <c r="AA355" s="1711">
        <v>1</v>
      </c>
      <c r="AB355" s="1097" t="s">
        <v>1032</v>
      </c>
      <c r="AC355" s="1087">
        <v>2104.4283799999998</v>
      </c>
      <c r="AD355" s="1097" t="str">
        <f>AB355</f>
        <v xml:space="preserve">      Амортизационные отчисления с выделением результатов переоценки основных средств и нематериальных активов</v>
      </c>
      <c r="AE355" s="1087"/>
      <c r="AF355" s="2802"/>
      <c r="AG355" s="2803"/>
      <c r="AH355" s="2803"/>
      <c r="AI355" s="2802"/>
      <c r="AJ355" s="2803"/>
      <c r="AK355" s="2803"/>
      <c r="AL355" s="1900"/>
      <c r="AM355" s="1738"/>
      <c r="AN355" s="1738"/>
      <c r="AO355" s="1738"/>
      <c r="AP355" s="1738"/>
      <c r="AQ355" s="1738"/>
      <c r="AR355" s="1738"/>
      <c r="AS355" s="1738"/>
      <c r="AT355" s="1738"/>
      <c r="AU355" s="1738"/>
      <c r="AV355" s="1738"/>
      <c r="AW355" s="1738"/>
      <c r="AX355" s="1738"/>
      <c r="AY355" s="1738"/>
      <c r="AZ355" s="1738"/>
      <c r="BA355" s="1738"/>
      <c r="BB355" s="1738"/>
      <c r="BC355" s="1738"/>
      <c r="BD355" s="1738"/>
      <c r="BE355" s="1738"/>
      <c r="BF355" s="1738"/>
      <c r="BG355" s="2010"/>
    </row>
    <row r="356" spans="1:59" ht="11.25" customHeight="1">
      <c r="A356" s="1084" t="s">
        <v>987</v>
      </c>
      <c r="B356" s="1084"/>
      <c r="C356" s="1084"/>
      <c r="D356" s="1078"/>
      <c r="E356" s="1088"/>
      <c r="F356" s="2791"/>
      <c r="G356" s="2798"/>
      <c r="H356" s="2787" t="s">
        <v>89</v>
      </c>
      <c r="I356" s="2799"/>
      <c r="J356" s="2800"/>
      <c r="K356" s="2801"/>
      <c r="L356" s="2524"/>
      <c r="M356" s="2525"/>
      <c r="N356" s="2804"/>
      <c r="O356" s="2805"/>
      <c r="P356" s="2808"/>
      <c r="Q356" s="2800"/>
      <c r="R356" s="2759"/>
      <c r="S356" s="2809"/>
      <c r="T356" s="2759"/>
      <c r="U356" s="2759"/>
      <c r="V356" s="2759"/>
      <c r="W356" s="2759"/>
      <c r="X356" s="2759"/>
      <c r="Y356" s="2759"/>
      <c r="Z356" s="1093"/>
      <c r="AA356" s="1094"/>
      <c r="AB356" s="1159" t="s">
        <v>1033</v>
      </c>
      <c r="AC356" s="1098"/>
      <c r="AD356" s="1098"/>
      <c r="AE356" s="1100"/>
      <c r="AF356" s="2802"/>
      <c r="AG356" s="2803"/>
      <c r="AH356" s="2803"/>
      <c r="AI356" s="2802"/>
      <c r="AJ356" s="2803"/>
      <c r="AK356" s="2803"/>
      <c r="AL356" s="1900"/>
      <c r="AM356" s="1738"/>
      <c r="AN356" s="1738"/>
      <c r="AO356" s="1738"/>
      <c r="AP356" s="1738"/>
      <c r="AQ356" s="1738"/>
      <c r="AR356" s="1738"/>
      <c r="AS356" s="1738"/>
      <c r="AT356" s="1738"/>
      <c r="AU356" s="1738"/>
      <c r="AV356" s="1738"/>
      <c r="AW356" s="1738"/>
      <c r="AX356" s="1738"/>
      <c r="AY356" s="1738"/>
      <c r="AZ356" s="1738"/>
      <c r="BA356" s="1738"/>
      <c r="BB356" s="1738"/>
      <c r="BC356" s="1738"/>
      <c r="BD356" s="1738"/>
      <c r="BE356" s="1738"/>
      <c r="BF356" s="1738"/>
      <c r="BG356" s="2010"/>
    </row>
    <row r="357" spans="1:59" ht="11.25" customHeight="1">
      <c r="A357" s="1084" t="s">
        <v>987</v>
      </c>
      <c r="B357" s="1084"/>
      <c r="C357" s="1084"/>
      <c r="D357" s="1078"/>
      <c r="E357" s="1088"/>
      <c r="F357" s="2791"/>
      <c r="G357" s="2798"/>
      <c r="H357" s="2787" t="s">
        <v>89</v>
      </c>
      <c r="I357" s="2799"/>
      <c r="J357" s="2800"/>
      <c r="K357" s="2801"/>
      <c r="L357" s="2524"/>
      <c r="M357" s="2525"/>
      <c r="N357" s="1093"/>
      <c r="O357" s="1094"/>
      <c r="P357" s="1086" t="s">
        <v>1034</v>
      </c>
      <c r="Q357" s="1094"/>
      <c r="R357" s="1094"/>
      <c r="S357" s="1094"/>
      <c r="T357" s="1094"/>
      <c r="U357" s="1094"/>
      <c r="V357" s="1094"/>
      <c r="W357" s="1094"/>
      <c r="X357" s="1094"/>
      <c r="Y357" s="1094"/>
      <c r="Z357" s="1094"/>
      <c r="AA357" s="1094"/>
      <c r="AB357" s="1094"/>
      <c r="AC357" s="1094"/>
      <c r="AD357" s="1094"/>
      <c r="AE357" s="1101"/>
      <c r="AF357" s="2802"/>
      <c r="AG357" s="2803"/>
      <c r="AH357" s="2803"/>
      <c r="AI357" s="2802"/>
      <c r="AJ357" s="2803"/>
      <c r="AK357" s="2803"/>
      <c r="AL357" s="1900"/>
      <c r="AM357" s="1738"/>
      <c r="AN357" s="1738"/>
      <c r="AO357" s="1738"/>
      <c r="AP357" s="1738"/>
      <c r="AQ357" s="1738"/>
      <c r="AR357" s="1738"/>
      <c r="AS357" s="1738"/>
      <c r="AT357" s="1738"/>
      <c r="AU357" s="1738"/>
      <c r="AV357" s="1738"/>
      <c r="AW357" s="1738"/>
      <c r="AX357" s="1738"/>
      <c r="AY357" s="1738"/>
      <c r="AZ357" s="1738"/>
      <c r="BA357" s="1738"/>
      <c r="BB357" s="1738"/>
      <c r="BC357" s="1738"/>
      <c r="BD357" s="1738"/>
      <c r="BE357" s="1738"/>
      <c r="BF357" s="1738"/>
      <c r="BG357" s="2010"/>
    </row>
    <row r="358" spans="1:59" ht="12" customHeight="1">
      <c r="A358" s="1084" t="s">
        <v>987</v>
      </c>
      <c r="B358" s="1084"/>
      <c r="C358" s="1084"/>
      <c r="D358" s="1078"/>
      <c r="E358" s="1088"/>
      <c r="F358" s="2792"/>
      <c r="G358" s="1108"/>
      <c r="H358" s="1108"/>
      <c r="I358" s="2789" t="s">
        <v>1047</v>
      </c>
      <c r="J358" s="2789"/>
      <c r="K358" s="2789"/>
      <c r="L358" s="1091"/>
      <c r="M358" s="1091"/>
      <c r="N358" s="1092"/>
      <c r="O358" s="1092"/>
      <c r="P358" s="1092"/>
      <c r="Q358" s="1092"/>
      <c r="R358" s="1092"/>
      <c r="S358" s="1092"/>
      <c r="T358" s="1092"/>
      <c r="U358" s="1092"/>
      <c r="V358" s="1092"/>
      <c r="W358" s="1092"/>
      <c r="X358" s="1092"/>
      <c r="Y358" s="1092"/>
      <c r="Z358" s="1092"/>
      <c r="AA358" s="1092"/>
      <c r="AB358" s="1092"/>
      <c r="AC358" s="1092"/>
      <c r="AD358" s="1092"/>
      <c r="AE358" s="1092"/>
      <c r="AF358" s="1092"/>
      <c r="AG358" s="1091"/>
      <c r="AH358" s="1091"/>
      <c r="AI358" s="1092"/>
      <c r="AJ358" s="1091"/>
      <c r="AK358" s="1092"/>
      <c r="AL358" s="1900"/>
      <c r="AM358" s="1738"/>
      <c r="AN358" s="1738"/>
      <c r="AO358" s="1738"/>
      <c r="AP358" s="1738"/>
      <c r="AQ358" s="1738"/>
      <c r="AR358" s="1738"/>
      <c r="AS358" s="1738"/>
      <c r="AT358" s="1738"/>
      <c r="AU358" s="1738"/>
      <c r="AV358" s="1738"/>
      <c r="AW358" s="1738"/>
      <c r="AX358" s="1738"/>
      <c r="AY358" s="1738"/>
      <c r="AZ358" s="1738"/>
      <c r="BA358" s="1738"/>
      <c r="BB358" s="1738"/>
      <c r="BC358" s="1738"/>
      <c r="BD358" s="1738"/>
      <c r="BE358" s="1738"/>
      <c r="BF358" s="1738"/>
      <c r="BG358" s="2010"/>
    </row>
    <row r="359" spans="1:59" ht="0.75" customHeight="1">
      <c r="A359" s="1084" t="s">
        <v>987</v>
      </c>
      <c r="B359" s="1084"/>
      <c r="C359" s="1084"/>
      <c r="D359" s="1078"/>
      <c r="E359" s="1088"/>
      <c r="F359" s="2790">
        <v>2026</v>
      </c>
      <c r="G359" s="2787"/>
      <c r="H359" s="2794" t="s">
        <v>367</v>
      </c>
      <c r="I359" s="2795"/>
      <c r="J359" s="2786"/>
      <c r="K359" s="2786"/>
      <c r="L359" s="2788"/>
      <c r="M359" s="2639"/>
      <c r="N359" s="1948"/>
      <c r="O359" s="1947"/>
      <c r="P359" s="1948"/>
      <c r="Q359" s="1948"/>
      <c r="R359" s="1948"/>
      <c r="S359" s="1948"/>
      <c r="T359" s="1948"/>
      <c r="U359" s="1948"/>
      <c r="V359" s="1948"/>
      <c r="W359" s="1948"/>
      <c r="X359" s="1948"/>
      <c r="Y359" s="1948"/>
      <c r="Z359" s="1948"/>
      <c r="AA359" s="1948"/>
      <c r="AB359" s="1948"/>
      <c r="AC359" s="1948"/>
      <c r="AD359" s="1948"/>
      <c r="AE359" s="1948"/>
      <c r="AF359" s="2793"/>
      <c r="AG359" s="2788"/>
      <c r="AH359" s="2788"/>
      <c r="AI359" s="2793"/>
      <c r="AJ359" s="2788"/>
      <c r="AK359" s="2788"/>
      <c r="AL359" s="1900"/>
      <c r="AM359" s="1738"/>
      <c r="AN359" s="1738"/>
      <c r="AO359" s="1738"/>
      <c r="AP359" s="1738"/>
      <c r="AQ359" s="1738"/>
      <c r="AR359" s="1738"/>
      <c r="AS359" s="1738"/>
      <c r="AT359" s="1738"/>
      <c r="AU359" s="1738"/>
      <c r="AV359" s="1738"/>
      <c r="AW359" s="1738"/>
      <c r="AX359" s="1738"/>
      <c r="AY359" s="1738"/>
      <c r="AZ359" s="1738"/>
      <c r="BA359" s="1738"/>
      <c r="BB359" s="1738"/>
      <c r="BC359" s="1738"/>
      <c r="BD359" s="1738"/>
      <c r="BE359" s="1738"/>
      <c r="BF359" s="1738"/>
      <c r="BG359" s="2010"/>
    </row>
    <row r="360" spans="1:59" ht="0.75" customHeight="1">
      <c r="A360" s="1084" t="s">
        <v>987</v>
      </c>
      <c r="B360" s="1084"/>
      <c r="C360" s="1084"/>
      <c r="D360" s="1078"/>
      <c r="E360" s="1088"/>
      <c r="F360" s="2790"/>
      <c r="G360" s="2787"/>
      <c r="H360" s="2794"/>
      <c r="I360" s="2795"/>
      <c r="J360" s="2786"/>
      <c r="K360" s="2786"/>
      <c r="L360" s="2788"/>
      <c r="M360" s="2639"/>
      <c r="N360" s="2796"/>
      <c r="O360" s="2797"/>
      <c r="P360" s="2783"/>
      <c r="Q360" s="2786"/>
      <c r="R360" s="2786"/>
      <c r="S360" s="2786"/>
      <c r="T360" s="2786"/>
      <c r="U360" s="2786"/>
      <c r="V360" s="2786"/>
      <c r="W360" s="2786"/>
      <c r="X360" s="2786"/>
      <c r="Y360" s="2786"/>
      <c r="Z360" s="1949"/>
      <c r="AA360" s="1950"/>
      <c r="AB360" s="1950"/>
      <c r="AC360" s="1951"/>
      <c r="AD360" s="1951"/>
      <c r="AE360" s="1952"/>
      <c r="AF360" s="2793"/>
      <c r="AG360" s="2788"/>
      <c r="AH360" s="2788"/>
      <c r="AI360" s="2793"/>
      <c r="AJ360" s="2788"/>
      <c r="AK360" s="2788"/>
      <c r="AL360" s="1900"/>
      <c r="AM360" s="1738"/>
      <c r="AN360" s="1738"/>
      <c r="AO360" s="1738"/>
      <c r="AP360" s="1738"/>
      <c r="AQ360" s="1738"/>
      <c r="AR360" s="1738"/>
      <c r="AS360" s="1738"/>
      <c r="AT360" s="1738"/>
      <c r="AU360" s="1738"/>
      <c r="AV360" s="1738"/>
      <c r="AW360" s="1738"/>
      <c r="AX360" s="1738"/>
      <c r="AY360" s="1738"/>
      <c r="AZ360" s="1738"/>
      <c r="BA360" s="1738"/>
      <c r="BB360" s="1738"/>
      <c r="BC360" s="1738"/>
      <c r="BD360" s="1738"/>
      <c r="BE360" s="1738"/>
      <c r="BF360" s="1738"/>
      <c r="BG360" s="2010"/>
    </row>
    <row r="361" spans="1:59" ht="0.75" customHeight="1">
      <c r="A361" s="1084" t="s">
        <v>987</v>
      </c>
      <c r="B361" s="1084"/>
      <c r="C361" s="1084"/>
      <c r="D361" s="1078"/>
      <c r="E361" s="1088"/>
      <c r="F361" s="2790"/>
      <c r="G361" s="2787"/>
      <c r="H361" s="2794"/>
      <c r="I361" s="2795"/>
      <c r="J361" s="2786"/>
      <c r="K361" s="2786"/>
      <c r="L361" s="2788"/>
      <c r="M361" s="2639"/>
      <c r="N361" s="2796"/>
      <c r="O361" s="2797"/>
      <c r="P361" s="2784"/>
      <c r="Q361" s="2786"/>
      <c r="R361" s="2786"/>
      <c r="S361" s="2786"/>
      <c r="T361" s="2786"/>
      <c r="U361" s="2786"/>
      <c r="V361" s="2786"/>
      <c r="W361" s="2786"/>
      <c r="X361" s="2786"/>
      <c r="Y361" s="2786"/>
      <c r="Z361" s="1953"/>
      <c r="AA361" s="1954"/>
      <c r="AB361" s="1955"/>
      <c r="AC361" s="1956"/>
      <c r="AD361" s="1955"/>
      <c r="AE361" s="1956"/>
      <c r="AF361" s="2793"/>
      <c r="AG361" s="2788"/>
      <c r="AH361" s="2788"/>
      <c r="AI361" s="2793"/>
      <c r="AJ361" s="2788"/>
      <c r="AK361" s="2788"/>
      <c r="AL361" s="1900"/>
      <c r="AM361" s="1738"/>
      <c r="AN361" s="1738"/>
      <c r="AO361" s="1738"/>
      <c r="AP361" s="1738"/>
      <c r="AQ361" s="1738"/>
      <c r="AR361" s="1738"/>
      <c r="AS361" s="1738"/>
      <c r="AT361" s="1738"/>
      <c r="AU361" s="1738"/>
      <c r="AV361" s="1738"/>
      <c r="AW361" s="1738"/>
      <c r="AX361" s="1738"/>
      <c r="AY361" s="1738"/>
      <c r="AZ361" s="1738"/>
      <c r="BA361" s="1738"/>
      <c r="BB361" s="1738"/>
      <c r="BC361" s="1738"/>
      <c r="BD361" s="1738"/>
      <c r="BE361" s="1738"/>
      <c r="BF361" s="1738"/>
      <c r="BG361" s="2010"/>
    </row>
    <row r="362" spans="1:59" ht="0.75" customHeight="1">
      <c r="A362" s="1084" t="s">
        <v>987</v>
      </c>
      <c r="B362" s="1084"/>
      <c r="C362" s="1084"/>
      <c r="D362" s="1078"/>
      <c r="E362" s="1088"/>
      <c r="F362" s="2790"/>
      <c r="G362" s="2787"/>
      <c r="H362" s="2794"/>
      <c r="I362" s="2795"/>
      <c r="J362" s="2786"/>
      <c r="K362" s="2786"/>
      <c r="L362" s="2788"/>
      <c r="M362" s="2639"/>
      <c r="N362" s="2796"/>
      <c r="O362" s="2797"/>
      <c r="P362" s="2785"/>
      <c r="Q362" s="2786"/>
      <c r="R362" s="2786"/>
      <c r="S362" s="2786"/>
      <c r="T362" s="2786"/>
      <c r="U362" s="2786"/>
      <c r="V362" s="2786"/>
      <c r="W362" s="2786"/>
      <c r="X362" s="2786"/>
      <c r="Y362" s="2786"/>
      <c r="Z362" s="1949"/>
      <c r="AA362" s="1950"/>
      <c r="AB362" s="1957"/>
      <c r="AC362" s="1951"/>
      <c r="AD362" s="1951"/>
      <c r="AE362" s="1958"/>
      <c r="AF362" s="2793"/>
      <c r="AG362" s="2788"/>
      <c r="AH362" s="2788"/>
      <c r="AI362" s="2793"/>
      <c r="AJ362" s="2788"/>
      <c r="AK362" s="2788"/>
      <c r="AL362" s="1900"/>
      <c r="AM362" s="1738"/>
      <c r="AN362" s="1738"/>
      <c r="AO362" s="1738"/>
      <c r="AP362" s="1738"/>
      <c r="AQ362" s="1738"/>
      <c r="AR362" s="1738"/>
      <c r="AS362" s="1738"/>
      <c r="AT362" s="1738"/>
      <c r="AU362" s="1738"/>
      <c r="AV362" s="1738"/>
      <c r="AW362" s="1738"/>
      <c r="AX362" s="1738"/>
      <c r="AY362" s="1738"/>
      <c r="AZ362" s="1738"/>
      <c r="BA362" s="1738"/>
      <c r="BB362" s="1738"/>
      <c r="BC362" s="1738"/>
      <c r="BD362" s="1738"/>
      <c r="BE362" s="1738"/>
      <c r="BF362" s="1738"/>
      <c r="BG362" s="2010"/>
    </row>
    <row r="363" spans="1:59" ht="0.75" customHeight="1">
      <c r="A363" s="1084" t="s">
        <v>987</v>
      </c>
      <c r="B363" s="1084"/>
      <c r="C363" s="1084"/>
      <c r="D363" s="1078"/>
      <c r="E363" s="1088"/>
      <c r="F363" s="2790"/>
      <c r="G363" s="2787"/>
      <c r="H363" s="2794"/>
      <c r="I363" s="2795"/>
      <c r="J363" s="2786"/>
      <c r="K363" s="2786"/>
      <c r="L363" s="2788"/>
      <c r="M363" s="2639"/>
      <c r="N363" s="1950"/>
      <c r="O363" s="1950"/>
      <c r="P363" s="1957"/>
      <c r="Q363" s="1950"/>
      <c r="R363" s="1950"/>
      <c r="S363" s="1950"/>
      <c r="T363" s="1950"/>
      <c r="U363" s="1950"/>
      <c r="V363" s="1950"/>
      <c r="W363" s="1950"/>
      <c r="X363" s="1950"/>
      <c r="Y363" s="1950"/>
      <c r="Z363" s="1950"/>
      <c r="AA363" s="1950"/>
      <c r="AB363" s="1950"/>
      <c r="AC363" s="1950"/>
      <c r="AD363" s="1950"/>
      <c r="AE363" s="1959"/>
      <c r="AF363" s="2793"/>
      <c r="AG363" s="2788"/>
      <c r="AH363" s="2788"/>
      <c r="AI363" s="2793"/>
      <c r="AJ363" s="2788"/>
      <c r="AK363" s="2788"/>
      <c r="AL363" s="1900"/>
      <c r="AM363" s="1738"/>
      <c r="AN363" s="1738"/>
      <c r="AO363" s="1738"/>
      <c r="AP363" s="1738"/>
      <c r="AQ363" s="1738"/>
      <c r="AR363" s="1738"/>
      <c r="AS363" s="1738"/>
      <c r="AT363" s="1738"/>
      <c r="AU363" s="1738"/>
      <c r="AV363" s="1738"/>
      <c r="AW363" s="1738"/>
      <c r="AX363" s="1738"/>
      <c r="AY363" s="1738"/>
      <c r="AZ363" s="1738"/>
      <c r="BA363" s="1738"/>
      <c r="BB363" s="1738"/>
      <c r="BC363" s="1738"/>
      <c r="BD363" s="1738"/>
      <c r="BE363" s="1738"/>
      <c r="BF363" s="1738"/>
      <c r="BG363" s="2010"/>
    </row>
    <row r="364" spans="1:59" ht="11.25" customHeight="1">
      <c r="A364" s="1084" t="s">
        <v>987</v>
      </c>
      <c r="B364" s="1084" t="s">
        <v>1018</v>
      </c>
      <c r="C364" s="1084"/>
      <c r="D364" s="1078"/>
      <c r="E364" s="1088"/>
      <c r="F364" s="2791"/>
      <c r="G364" s="2776" t="s">
        <v>680</v>
      </c>
      <c r="H364" s="2787" t="s">
        <v>102</v>
      </c>
      <c r="I364" s="2799" t="s">
        <v>1019</v>
      </c>
      <c r="J364" s="2800" t="s">
        <v>1035</v>
      </c>
      <c r="K364" s="2801" t="s">
        <v>1039</v>
      </c>
      <c r="L364" s="2524" t="s">
        <v>19</v>
      </c>
      <c r="M364" s="2525"/>
      <c r="N364" s="1898"/>
      <c r="O364" s="1095" t="s">
        <v>367</v>
      </c>
      <c r="P364" s="1096"/>
      <c r="Q364" s="1096"/>
      <c r="R364" s="1096"/>
      <c r="S364" s="1096"/>
      <c r="T364" s="1096"/>
      <c r="U364" s="1096"/>
      <c r="V364" s="1096"/>
      <c r="W364" s="1096"/>
      <c r="X364" s="1096"/>
      <c r="Y364" s="1096"/>
      <c r="Z364" s="1096"/>
      <c r="AA364" s="1096"/>
      <c r="AB364" s="1096"/>
      <c r="AC364" s="1096"/>
      <c r="AD364" s="1096"/>
      <c r="AE364" s="1096"/>
      <c r="AF364" s="2802">
        <v>4</v>
      </c>
      <c r="AG364" s="2803" t="s">
        <v>1022</v>
      </c>
      <c r="AH364" s="2803" t="s">
        <v>1040</v>
      </c>
      <c r="AI364" s="2802"/>
      <c r="AJ364" s="2803"/>
      <c r="AK364" s="2803"/>
      <c r="AL364" s="1900"/>
      <c r="AM364" s="1738"/>
      <c r="AN364" s="1738"/>
      <c r="AO364" s="1738"/>
      <c r="AP364" s="1738"/>
      <c r="AQ364" s="1738"/>
      <c r="AR364" s="1738"/>
      <c r="AS364" s="1738"/>
      <c r="AT364" s="1738"/>
      <c r="AU364" s="1738"/>
      <c r="AV364" s="1738"/>
      <c r="AW364" s="1738"/>
      <c r="AX364" s="1738"/>
      <c r="AY364" s="1738"/>
      <c r="AZ364" s="1738"/>
      <c r="BA364" s="1738"/>
      <c r="BB364" s="1738"/>
      <c r="BC364" s="1738"/>
      <c r="BD364" s="1738"/>
      <c r="BE364" s="1738"/>
      <c r="BF364" s="1738"/>
      <c r="BG364" s="2010"/>
    </row>
    <row r="365" spans="1:59" ht="11.25" customHeight="1">
      <c r="A365" s="1084" t="s">
        <v>987</v>
      </c>
      <c r="B365" s="1084"/>
      <c r="C365" s="1084"/>
      <c r="D365" s="1078"/>
      <c r="E365" s="1088"/>
      <c r="F365" s="2791"/>
      <c r="G365" s="2798"/>
      <c r="H365" s="2787" t="s">
        <v>367</v>
      </c>
      <c r="I365" s="2799"/>
      <c r="J365" s="2800"/>
      <c r="K365" s="2801"/>
      <c r="L365" s="2524"/>
      <c r="M365" s="2525"/>
      <c r="N365" s="2804"/>
      <c r="O365" s="2805">
        <v>1</v>
      </c>
      <c r="P365" s="2806" t="s">
        <v>65</v>
      </c>
      <c r="Q365" s="2800" t="s">
        <v>1024</v>
      </c>
      <c r="R365" s="2809" t="s">
        <v>1061</v>
      </c>
      <c r="S365" s="2809" t="s">
        <v>1062</v>
      </c>
      <c r="T365" s="2809" t="s">
        <v>1062</v>
      </c>
      <c r="U365" s="2809" t="s">
        <v>1063</v>
      </c>
      <c r="V365" s="2809" t="s">
        <v>1064</v>
      </c>
      <c r="W365" s="2809" t="s">
        <v>1065</v>
      </c>
      <c r="X365" s="2809" t="s">
        <v>1030</v>
      </c>
      <c r="Y365" s="2809" t="s">
        <v>1031</v>
      </c>
      <c r="Z365" s="1093"/>
      <c r="AA365" s="1094"/>
      <c r="AB365" s="1094"/>
      <c r="AC365" s="1098"/>
      <c r="AD365" s="1098"/>
      <c r="AE365" s="1099"/>
      <c r="AF365" s="2802"/>
      <c r="AG365" s="2803"/>
      <c r="AH365" s="2803"/>
      <c r="AI365" s="2802"/>
      <c r="AJ365" s="2803"/>
      <c r="AK365" s="2803"/>
      <c r="AL365" s="1900"/>
      <c r="AM365" s="1738"/>
      <c r="AN365" s="1738"/>
      <c r="AO365" s="1738"/>
      <c r="AP365" s="1738"/>
      <c r="AQ365" s="1738"/>
      <c r="AR365" s="1738"/>
      <c r="AS365" s="1738"/>
      <c r="AT365" s="1738"/>
      <c r="AU365" s="1738"/>
      <c r="AV365" s="1738"/>
      <c r="AW365" s="1738"/>
      <c r="AX365" s="1738"/>
      <c r="AY365" s="1738"/>
      <c r="AZ365" s="1738"/>
      <c r="BA365" s="1738"/>
      <c r="BB365" s="1738"/>
      <c r="BC365" s="1738"/>
      <c r="BD365" s="1738"/>
      <c r="BE365" s="1738"/>
      <c r="BF365" s="1738"/>
      <c r="BG365" s="2010"/>
    </row>
    <row r="366" spans="1:59" ht="11.25" customHeight="1">
      <c r="A366" s="1084" t="s">
        <v>987</v>
      </c>
      <c r="B366" s="1084"/>
      <c r="C366" s="1084"/>
      <c r="D366" s="1078"/>
      <c r="E366" s="1088"/>
      <c r="F366" s="2791"/>
      <c r="G366" s="2798"/>
      <c r="H366" s="2787" t="s">
        <v>367</v>
      </c>
      <c r="I366" s="2799"/>
      <c r="J366" s="2800"/>
      <c r="K366" s="2801"/>
      <c r="L366" s="2524"/>
      <c r="M366" s="2525"/>
      <c r="N366" s="2804"/>
      <c r="O366" s="2805"/>
      <c r="P366" s="2807"/>
      <c r="Q366" s="2800"/>
      <c r="R366" s="2759"/>
      <c r="S366" s="2809"/>
      <c r="T366" s="2759"/>
      <c r="U366" s="2759"/>
      <c r="V366" s="2759"/>
      <c r="W366" s="2759"/>
      <c r="X366" s="2759"/>
      <c r="Y366" s="2759"/>
      <c r="Z366" s="1743"/>
      <c r="AA366" s="1711">
        <v>1</v>
      </c>
      <c r="AB366" s="1097" t="s">
        <v>1032</v>
      </c>
      <c r="AC366" s="1087">
        <v>26313.427680000001</v>
      </c>
      <c r="AD366" s="1097" t="str">
        <f>AB366</f>
        <v xml:space="preserve">      Амортизационные отчисления с выделением результатов переоценки основных средств и нематериальных активов</v>
      </c>
      <c r="AE366" s="1087"/>
      <c r="AF366" s="2802"/>
      <c r="AG366" s="2803"/>
      <c r="AH366" s="2803"/>
      <c r="AI366" s="2802"/>
      <c r="AJ366" s="2803"/>
      <c r="AK366" s="2803"/>
      <c r="AL366" s="1900"/>
      <c r="AM366" s="1738"/>
      <c r="AN366" s="1738"/>
      <c r="AO366" s="1738"/>
      <c r="AP366" s="1738"/>
      <c r="AQ366" s="1738"/>
      <c r="AR366" s="1738"/>
      <c r="AS366" s="1738"/>
      <c r="AT366" s="1738"/>
      <c r="AU366" s="1738"/>
      <c r="AV366" s="1738"/>
      <c r="AW366" s="1738"/>
      <c r="AX366" s="1738"/>
      <c r="AY366" s="1738"/>
      <c r="AZ366" s="1738"/>
      <c r="BA366" s="1738"/>
      <c r="BB366" s="1738"/>
      <c r="BC366" s="1738"/>
      <c r="BD366" s="1738"/>
      <c r="BE366" s="1738"/>
      <c r="BF366" s="1738"/>
      <c r="BG366" s="2010"/>
    </row>
    <row r="367" spans="1:59" ht="11.25" customHeight="1">
      <c r="A367" s="1084" t="s">
        <v>987</v>
      </c>
      <c r="B367" s="1084"/>
      <c r="C367" s="1084"/>
      <c r="D367" s="1078"/>
      <c r="E367" s="1088"/>
      <c r="F367" s="2798"/>
      <c r="G367" s="2798"/>
      <c r="H367" s="2798"/>
      <c r="I367" s="2798"/>
      <c r="J367" s="2798"/>
      <c r="K367" s="2798"/>
      <c r="L367" s="2798"/>
      <c r="M367" s="2798"/>
      <c r="N367" s="2798"/>
      <c r="O367" s="2798"/>
      <c r="P367" s="2798"/>
      <c r="Q367" s="2798"/>
      <c r="R367" s="2798"/>
      <c r="S367" s="2798"/>
      <c r="T367" s="2798"/>
      <c r="U367" s="2798"/>
      <c r="V367" s="2798"/>
      <c r="W367" s="2798"/>
      <c r="X367" s="2798"/>
      <c r="Y367" s="2798"/>
      <c r="Z367" s="2393" t="s">
        <v>680</v>
      </c>
      <c r="AA367" s="1731" t="s">
        <v>103</v>
      </c>
      <c r="AB367" s="1097" t="s">
        <v>1050</v>
      </c>
      <c r="AC367" s="1087">
        <v>8684.7958699999999</v>
      </c>
      <c r="AD367" s="1097" t="str">
        <f>AB367</f>
        <v xml:space="preserve">  Прочие собственные средства</v>
      </c>
      <c r="AE367" s="1087"/>
      <c r="AF367" s="2810"/>
      <c r="AG367" s="2811"/>
      <c r="AH367" s="2811"/>
      <c r="AI367" s="2810"/>
      <c r="AJ367" s="2811"/>
      <c r="AK367" s="2812"/>
      <c r="AL367" s="1900"/>
      <c r="AM367" s="1738"/>
      <c r="AN367" s="1738"/>
      <c r="AO367" s="1738"/>
      <c r="AP367" s="1738"/>
      <c r="AQ367" s="1738"/>
      <c r="AR367" s="1738"/>
      <c r="AS367" s="1738"/>
      <c r="AT367" s="1738"/>
      <c r="AU367" s="1738"/>
      <c r="AV367" s="1738"/>
      <c r="AW367" s="1738"/>
      <c r="AX367" s="1738"/>
      <c r="AY367" s="1738"/>
      <c r="AZ367" s="1738"/>
      <c r="BA367" s="1738"/>
      <c r="BB367" s="1738"/>
      <c r="BC367" s="1738"/>
      <c r="BD367" s="1738"/>
      <c r="BE367" s="1738"/>
      <c r="BF367" s="1738"/>
      <c r="BG367" s="2394"/>
    </row>
    <row r="368" spans="1:59" ht="11.25" customHeight="1">
      <c r="A368" s="1084" t="s">
        <v>987</v>
      </c>
      <c r="B368" s="1084"/>
      <c r="C368" s="1084"/>
      <c r="D368" s="1078"/>
      <c r="E368" s="1088"/>
      <c r="F368" s="2791"/>
      <c r="G368" s="2798"/>
      <c r="H368" s="2787" t="s">
        <v>367</v>
      </c>
      <c r="I368" s="2799"/>
      <c r="J368" s="2800"/>
      <c r="K368" s="2801"/>
      <c r="L368" s="2524"/>
      <c r="M368" s="2525"/>
      <c r="N368" s="2804"/>
      <c r="O368" s="2805"/>
      <c r="P368" s="2808"/>
      <c r="Q368" s="2800"/>
      <c r="R368" s="2759"/>
      <c r="S368" s="2809"/>
      <c r="T368" s="2759"/>
      <c r="U368" s="2759"/>
      <c r="V368" s="2759"/>
      <c r="W368" s="2759"/>
      <c r="X368" s="2759"/>
      <c r="Y368" s="2759"/>
      <c r="Z368" s="1093"/>
      <c r="AA368" s="1094"/>
      <c r="AB368" s="1159" t="s">
        <v>1033</v>
      </c>
      <c r="AC368" s="1098"/>
      <c r="AD368" s="1098"/>
      <c r="AE368" s="1100"/>
      <c r="AF368" s="2802"/>
      <c r="AG368" s="2803"/>
      <c r="AH368" s="2803"/>
      <c r="AI368" s="2802"/>
      <c r="AJ368" s="2803"/>
      <c r="AK368" s="2803"/>
      <c r="AL368" s="1900"/>
      <c r="AM368" s="1738"/>
      <c r="AN368" s="1738"/>
      <c r="AO368" s="1738"/>
      <c r="AP368" s="1738"/>
      <c r="AQ368" s="1738"/>
      <c r="AR368" s="1738"/>
      <c r="AS368" s="1738"/>
      <c r="AT368" s="1738"/>
      <c r="AU368" s="1738"/>
      <c r="AV368" s="1738"/>
      <c r="AW368" s="1738"/>
      <c r="AX368" s="1738"/>
      <c r="AY368" s="1738"/>
      <c r="AZ368" s="1738"/>
      <c r="BA368" s="1738"/>
      <c r="BB368" s="1738"/>
      <c r="BC368" s="1738"/>
      <c r="BD368" s="1738"/>
      <c r="BE368" s="1738"/>
      <c r="BF368" s="1738"/>
      <c r="BG368" s="2010"/>
    </row>
    <row r="369" spans="1:59" ht="11.25" customHeight="1">
      <c r="A369" s="1084" t="s">
        <v>987</v>
      </c>
      <c r="B369" s="1084"/>
      <c r="C369" s="1084"/>
      <c r="D369" s="1078"/>
      <c r="E369" s="1088"/>
      <c r="F369" s="2791"/>
      <c r="G369" s="2798"/>
      <c r="H369" s="2787" t="s">
        <v>367</v>
      </c>
      <c r="I369" s="2799"/>
      <c r="J369" s="2800"/>
      <c r="K369" s="2801"/>
      <c r="L369" s="2524"/>
      <c r="M369" s="2525"/>
      <c r="N369" s="1093"/>
      <c r="O369" s="1094"/>
      <c r="P369" s="1086" t="s">
        <v>1034</v>
      </c>
      <c r="Q369" s="1094"/>
      <c r="R369" s="1094"/>
      <c r="S369" s="1094"/>
      <c r="T369" s="1094"/>
      <c r="U369" s="1094"/>
      <c r="V369" s="1094"/>
      <c r="W369" s="1094"/>
      <c r="X369" s="1094"/>
      <c r="Y369" s="1094"/>
      <c r="Z369" s="1094"/>
      <c r="AA369" s="1094"/>
      <c r="AB369" s="1094"/>
      <c r="AC369" s="1094"/>
      <c r="AD369" s="1094"/>
      <c r="AE369" s="1101"/>
      <c r="AF369" s="2802"/>
      <c r="AG369" s="2803"/>
      <c r="AH369" s="2803"/>
      <c r="AI369" s="2802"/>
      <c r="AJ369" s="2803"/>
      <c r="AK369" s="2803"/>
      <c r="AL369" s="1900"/>
      <c r="AM369" s="1738"/>
      <c r="AN369" s="1738"/>
      <c r="AO369" s="1738"/>
      <c r="AP369" s="1738"/>
      <c r="AQ369" s="1738"/>
      <c r="AR369" s="1738"/>
      <c r="AS369" s="1738"/>
      <c r="AT369" s="1738"/>
      <c r="AU369" s="1738"/>
      <c r="AV369" s="1738"/>
      <c r="AW369" s="1738"/>
      <c r="AX369" s="1738"/>
      <c r="AY369" s="1738"/>
      <c r="AZ369" s="1738"/>
      <c r="BA369" s="1738"/>
      <c r="BB369" s="1738"/>
      <c r="BC369" s="1738"/>
      <c r="BD369" s="1738"/>
      <c r="BE369" s="1738"/>
      <c r="BF369" s="1738"/>
      <c r="BG369" s="2010"/>
    </row>
    <row r="370" spans="1:59" ht="11.25" customHeight="1">
      <c r="A370" s="1084" t="s">
        <v>987</v>
      </c>
      <c r="B370" s="1084" t="s">
        <v>1018</v>
      </c>
      <c r="C370" s="1084"/>
      <c r="D370" s="1078"/>
      <c r="E370" s="1088"/>
      <c r="F370" s="2791"/>
      <c r="G370" s="2776" t="s">
        <v>680</v>
      </c>
      <c r="H370" s="2787" t="s">
        <v>103</v>
      </c>
      <c r="I370" s="2799" t="s">
        <v>1019</v>
      </c>
      <c r="J370" s="2800" t="s">
        <v>1035</v>
      </c>
      <c r="K370" s="2801" t="s">
        <v>1048</v>
      </c>
      <c r="L370" s="2524" t="s">
        <v>19</v>
      </c>
      <c r="M370" s="2525"/>
      <c r="N370" s="1898"/>
      <c r="O370" s="1095" t="s">
        <v>367</v>
      </c>
      <c r="P370" s="1096"/>
      <c r="Q370" s="1096"/>
      <c r="R370" s="1096"/>
      <c r="S370" s="1096"/>
      <c r="T370" s="1096"/>
      <c r="U370" s="1096"/>
      <c r="V370" s="1096"/>
      <c r="W370" s="1096"/>
      <c r="X370" s="1096"/>
      <c r="Y370" s="1096"/>
      <c r="Z370" s="1096"/>
      <c r="AA370" s="1096"/>
      <c r="AB370" s="1096"/>
      <c r="AC370" s="1096"/>
      <c r="AD370" s="1096"/>
      <c r="AE370" s="1096"/>
      <c r="AF370" s="2802">
        <v>4</v>
      </c>
      <c r="AG370" s="2803" t="s">
        <v>1022</v>
      </c>
      <c r="AH370" s="2803" t="s">
        <v>1023</v>
      </c>
      <c r="AI370" s="2802"/>
      <c r="AJ370" s="2803"/>
      <c r="AK370" s="2803"/>
      <c r="AL370" s="1900"/>
      <c r="AM370" s="1738"/>
      <c r="AN370" s="1738"/>
      <c r="AO370" s="1738"/>
      <c r="AP370" s="1738"/>
      <c r="AQ370" s="1738"/>
      <c r="AR370" s="1738"/>
      <c r="AS370" s="1738"/>
      <c r="AT370" s="1738"/>
      <c r="AU370" s="1738"/>
      <c r="AV370" s="1738"/>
      <c r="AW370" s="1738"/>
      <c r="AX370" s="1738"/>
      <c r="AY370" s="1738"/>
      <c r="AZ370" s="1738"/>
      <c r="BA370" s="1738"/>
      <c r="BB370" s="1738"/>
      <c r="BC370" s="1738"/>
      <c r="BD370" s="1738"/>
      <c r="BE370" s="1738"/>
      <c r="BF370" s="1738"/>
      <c r="BG370" s="2010"/>
    </row>
    <row r="371" spans="1:59" ht="11.25" customHeight="1">
      <c r="A371" s="1084" t="s">
        <v>987</v>
      </c>
      <c r="B371" s="1084"/>
      <c r="C371" s="1084"/>
      <c r="D371" s="1078"/>
      <c r="E371" s="1088"/>
      <c r="F371" s="2791"/>
      <c r="G371" s="2798"/>
      <c r="H371" s="2787" t="s">
        <v>102</v>
      </c>
      <c r="I371" s="2799"/>
      <c r="J371" s="2800"/>
      <c r="K371" s="2801"/>
      <c r="L371" s="2524"/>
      <c r="M371" s="2525"/>
      <c r="N371" s="2804"/>
      <c r="O371" s="2805">
        <v>1</v>
      </c>
      <c r="P371" s="2806" t="s">
        <v>65</v>
      </c>
      <c r="Q371" s="2800" t="s">
        <v>1024</v>
      </c>
      <c r="R371" s="2809" t="s">
        <v>1061</v>
      </c>
      <c r="S371" s="2809" t="s">
        <v>1062</v>
      </c>
      <c r="T371" s="2809" t="s">
        <v>1062</v>
      </c>
      <c r="U371" s="2809" t="s">
        <v>1063</v>
      </c>
      <c r="V371" s="2809" t="s">
        <v>1064</v>
      </c>
      <c r="W371" s="2809" t="s">
        <v>1065</v>
      </c>
      <c r="X371" s="2809" t="s">
        <v>1030</v>
      </c>
      <c r="Y371" s="2809" t="s">
        <v>1031</v>
      </c>
      <c r="Z371" s="1093"/>
      <c r="AA371" s="1094"/>
      <c r="AB371" s="1094"/>
      <c r="AC371" s="1098"/>
      <c r="AD371" s="1098"/>
      <c r="AE371" s="1099"/>
      <c r="AF371" s="2802"/>
      <c r="AG371" s="2803"/>
      <c r="AH371" s="2803"/>
      <c r="AI371" s="2802"/>
      <c r="AJ371" s="2803"/>
      <c r="AK371" s="2803"/>
      <c r="AL371" s="1900"/>
      <c r="AM371" s="1738"/>
      <c r="AN371" s="1738"/>
      <c r="AO371" s="1738"/>
      <c r="AP371" s="1738"/>
      <c r="AQ371" s="1738"/>
      <c r="AR371" s="1738"/>
      <c r="AS371" s="1738"/>
      <c r="AT371" s="1738"/>
      <c r="AU371" s="1738"/>
      <c r="AV371" s="1738"/>
      <c r="AW371" s="1738"/>
      <c r="AX371" s="1738"/>
      <c r="AY371" s="1738"/>
      <c r="AZ371" s="1738"/>
      <c r="BA371" s="1738"/>
      <c r="BB371" s="1738"/>
      <c r="BC371" s="1738"/>
      <c r="BD371" s="1738"/>
      <c r="BE371" s="1738"/>
      <c r="BF371" s="1738"/>
      <c r="BG371" s="2010"/>
    </row>
    <row r="372" spans="1:59" ht="11.25" customHeight="1">
      <c r="A372" s="1084" t="s">
        <v>987</v>
      </c>
      <c r="B372" s="1084"/>
      <c r="C372" s="1084"/>
      <c r="D372" s="1078"/>
      <c r="E372" s="1088"/>
      <c r="F372" s="2791"/>
      <c r="G372" s="2798"/>
      <c r="H372" s="2787" t="s">
        <v>102</v>
      </c>
      <c r="I372" s="2799"/>
      <c r="J372" s="2800"/>
      <c r="K372" s="2801"/>
      <c r="L372" s="2524"/>
      <c r="M372" s="2525"/>
      <c r="N372" s="2804"/>
      <c r="O372" s="2805"/>
      <c r="P372" s="2807"/>
      <c r="Q372" s="2800"/>
      <c r="R372" s="2759"/>
      <c r="S372" s="2809"/>
      <c r="T372" s="2759"/>
      <c r="U372" s="2759"/>
      <c r="V372" s="2759"/>
      <c r="W372" s="2759"/>
      <c r="X372" s="2759"/>
      <c r="Y372" s="2759"/>
      <c r="Z372" s="1743"/>
      <c r="AA372" s="1711">
        <v>1</v>
      </c>
      <c r="AB372" s="1097" t="s">
        <v>1050</v>
      </c>
      <c r="AC372" s="1087">
        <v>6281.8757500000002</v>
      </c>
      <c r="AD372" s="1097" t="str">
        <f>AB372</f>
        <v xml:space="preserve">  Прочие собственные средства</v>
      </c>
      <c r="AE372" s="1087"/>
      <c r="AF372" s="2802"/>
      <c r="AG372" s="2803"/>
      <c r="AH372" s="2803"/>
      <c r="AI372" s="2802"/>
      <c r="AJ372" s="2803"/>
      <c r="AK372" s="2803"/>
      <c r="AL372" s="1900"/>
      <c r="AM372" s="1738"/>
      <c r="AN372" s="1738"/>
      <c r="AO372" s="1738"/>
      <c r="AP372" s="1738"/>
      <c r="AQ372" s="1738"/>
      <c r="AR372" s="1738"/>
      <c r="AS372" s="1738"/>
      <c r="AT372" s="1738"/>
      <c r="AU372" s="1738"/>
      <c r="AV372" s="1738"/>
      <c r="AW372" s="1738"/>
      <c r="AX372" s="1738"/>
      <c r="AY372" s="1738"/>
      <c r="AZ372" s="1738"/>
      <c r="BA372" s="1738"/>
      <c r="BB372" s="1738"/>
      <c r="BC372" s="1738"/>
      <c r="BD372" s="1738"/>
      <c r="BE372" s="1738"/>
      <c r="BF372" s="1738"/>
      <c r="BG372" s="2010"/>
    </row>
    <row r="373" spans="1:59" ht="11.25" customHeight="1">
      <c r="A373" s="1084" t="s">
        <v>987</v>
      </c>
      <c r="B373" s="1084"/>
      <c r="C373" s="1084"/>
      <c r="D373" s="1078"/>
      <c r="E373" s="1088"/>
      <c r="F373" s="2791"/>
      <c r="G373" s="2798"/>
      <c r="H373" s="2787" t="s">
        <v>102</v>
      </c>
      <c r="I373" s="2799"/>
      <c r="J373" s="2800"/>
      <c r="K373" s="2801"/>
      <c r="L373" s="2524"/>
      <c r="M373" s="2525"/>
      <c r="N373" s="2804"/>
      <c r="O373" s="2805"/>
      <c r="P373" s="2808"/>
      <c r="Q373" s="2800"/>
      <c r="R373" s="2759"/>
      <c r="S373" s="2809"/>
      <c r="T373" s="2759"/>
      <c r="U373" s="2759"/>
      <c r="V373" s="2759"/>
      <c r="W373" s="2759"/>
      <c r="X373" s="2759"/>
      <c r="Y373" s="2759"/>
      <c r="Z373" s="1093"/>
      <c r="AA373" s="1094"/>
      <c r="AB373" s="1159" t="s">
        <v>1033</v>
      </c>
      <c r="AC373" s="1098"/>
      <c r="AD373" s="1098"/>
      <c r="AE373" s="1100"/>
      <c r="AF373" s="2802"/>
      <c r="AG373" s="2803"/>
      <c r="AH373" s="2803"/>
      <c r="AI373" s="2802"/>
      <c r="AJ373" s="2803"/>
      <c r="AK373" s="2803"/>
      <c r="AL373" s="1900"/>
      <c r="AM373" s="1738"/>
      <c r="AN373" s="1738"/>
      <c r="AO373" s="1738"/>
      <c r="AP373" s="1738"/>
      <c r="AQ373" s="1738"/>
      <c r="AR373" s="1738"/>
      <c r="AS373" s="1738"/>
      <c r="AT373" s="1738"/>
      <c r="AU373" s="1738"/>
      <c r="AV373" s="1738"/>
      <c r="AW373" s="1738"/>
      <c r="AX373" s="1738"/>
      <c r="AY373" s="1738"/>
      <c r="AZ373" s="1738"/>
      <c r="BA373" s="1738"/>
      <c r="BB373" s="1738"/>
      <c r="BC373" s="1738"/>
      <c r="BD373" s="1738"/>
      <c r="BE373" s="1738"/>
      <c r="BF373" s="1738"/>
      <c r="BG373" s="2010"/>
    </row>
    <row r="374" spans="1:59" ht="11.25" customHeight="1">
      <c r="A374" s="1084" t="s">
        <v>987</v>
      </c>
      <c r="B374" s="1084"/>
      <c r="C374" s="1084"/>
      <c r="D374" s="1078"/>
      <c r="E374" s="1088"/>
      <c r="F374" s="2791"/>
      <c r="G374" s="2798"/>
      <c r="H374" s="2787" t="s">
        <v>102</v>
      </c>
      <c r="I374" s="2799"/>
      <c r="J374" s="2800"/>
      <c r="K374" s="2801"/>
      <c r="L374" s="2524"/>
      <c r="M374" s="2525"/>
      <c r="N374" s="1093"/>
      <c r="O374" s="1094"/>
      <c r="P374" s="1086" t="s">
        <v>1034</v>
      </c>
      <c r="Q374" s="1094"/>
      <c r="R374" s="1094"/>
      <c r="S374" s="1094"/>
      <c r="T374" s="1094"/>
      <c r="U374" s="1094"/>
      <c r="V374" s="1094"/>
      <c r="W374" s="1094"/>
      <c r="X374" s="1094"/>
      <c r="Y374" s="1094"/>
      <c r="Z374" s="1094"/>
      <c r="AA374" s="1094"/>
      <c r="AB374" s="1094"/>
      <c r="AC374" s="1094"/>
      <c r="AD374" s="1094"/>
      <c r="AE374" s="1101"/>
      <c r="AF374" s="2802"/>
      <c r="AG374" s="2803"/>
      <c r="AH374" s="2803"/>
      <c r="AI374" s="2802"/>
      <c r="AJ374" s="2803"/>
      <c r="AK374" s="2803"/>
      <c r="AL374" s="1900"/>
      <c r="AM374" s="1738"/>
      <c r="AN374" s="1738"/>
      <c r="AO374" s="1738"/>
      <c r="AP374" s="1738"/>
      <c r="AQ374" s="1738"/>
      <c r="AR374" s="1738"/>
      <c r="AS374" s="1738"/>
      <c r="AT374" s="1738"/>
      <c r="AU374" s="1738"/>
      <c r="AV374" s="1738"/>
      <c r="AW374" s="1738"/>
      <c r="AX374" s="1738"/>
      <c r="AY374" s="1738"/>
      <c r="AZ374" s="1738"/>
      <c r="BA374" s="1738"/>
      <c r="BB374" s="1738"/>
      <c r="BC374" s="1738"/>
      <c r="BD374" s="1738"/>
      <c r="BE374" s="1738"/>
      <c r="BF374" s="1738"/>
      <c r="BG374" s="2010"/>
    </row>
    <row r="375" spans="1:59" ht="11.25" customHeight="1">
      <c r="A375" s="1084" t="s">
        <v>987</v>
      </c>
      <c r="B375" s="1084" t="s">
        <v>1018</v>
      </c>
      <c r="C375" s="1084"/>
      <c r="D375" s="1078"/>
      <c r="E375" s="1088"/>
      <c r="F375" s="2791"/>
      <c r="G375" s="2776" t="s">
        <v>680</v>
      </c>
      <c r="H375" s="2787" t="s">
        <v>86</v>
      </c>
      <c r="I375" s="2799" t="s">
        <v>1019</v>
      </c>
      <c r="J375" s="2800" t="s">
        <v>1035</v>
      </c>
      <c r="K375" s="2801" t="s">
        <v>1043</v>
      </c>
      <c r="L375" s="2524" t="s">
        <v>19</v>
      </c>
      <c r="M375" s="2525"/>
      <c r="N375" s="1898"/>
      <c r="O375" s="1095" t="s">
        <v>367</v>
      </c>
      <c r="P375" s="1096"/>
      <c r="Q375" s="1096"/>
      <c r="R375" s="1096"/>
      <c r="S375" s="1096"/>
      <c r="T375" s="1096"/>
      <c r="U375" s="1096"/>
      <c r="V375" s="1096"/>
      <c r="W375" s="1096"/>
      <c r="X375" s="1096"/>
      <c r="Y375" s="1096"/>
      <c r="Z375" s="1096"/>
      <c r="AA375" s="1096"/>
      <c r="AB375" s="1096"/>
      <c r="AC375" s="1096"/>
      <c r="AD375" s="1096"/>
      <c r="AE375" s="1096"/>
      <c r="AF375" s="2802">
        <v>4</v>
      </c>
      <c r="AG375" s="2803" t="s">
        <v>1022</v>
      </c>
      <c r="AH375" s="2803" t="s">
        <v>1040</v>
      </c>
      <c r="AI375" s="2802"/>
      <c r="AJ375" s="2803"/>
      <c r="AK375" s="2803"/>
      <c r="AL375" s="1900"/>
      <c r="AM375" s="1738"/>
      <c r="AN375" s="1738"/>
      <c r="AO375" s="1738"/>
      <c r="AP375" s="1738"/>
      <c r="AQ375" s="1738"/>
      <c r="AR375" s="1738"/>
      <c r="AS375" s="1738"/>
      <c r="AT375" s="1738"/>
      <c r="AU375" s="1738"/>
      <c r="AV375" s="1738"/>
      <c r="AW375" s="1738"/>
      <c r="AX375" s="1738"/>
      <c r="AY375" s="1738"/>
      <c r="AZ375" s="1738"/>
      <c r="BA375" s="1738"/>
      <c r="BB375" s="1738"/>
      <c r="BC375" s="1738"/>
      <c r="BD375" s="1738"/>
      <c r="BE375" s="1738"/>
      <c r="BF375" s="1738"/>
      <c r="BG375" s="2010"/>
    </row>
    <row r="376" spans="1:59" ht="11.25" customHeight="1">
      <c r="A376" s="1084" t="s">
        <v>987</v>
      </c>
      <c r="B376" s="1084"/>
      <c r="C376" s="1084"/>
      <c r="D376" s="1078"/>
      <c r="E376" s="1088"/>
      <c r="F376" s="2791"/>
      <c r="G376" s="2798"/>
      <c r="H376" s="2787" t="s">
        <v>103</v>
      </c>
      <c r="I376" s="2799"/>
      <c r="J376" s="2800"/>
      <c r="K376" s="2801"/>
      <c r="L376" s="2524"/>
      <c r="M376" s="2525"/>
      <c r="N376" s="2804"/>
      <c r="O376" s="2805">
        <v>1</v>
      </c>
      <c r="P376" s="2806" t="s">
        <v>65</v>
      </c>
      <c r="Q376" s="2800" t="s">
        <v>1024</v>
      </c>
      <c r="R376" s="2809" t="s">
        <v>1061</v>
      </c>
      <c r="S376" s="2809" t="s">
        <v>1062</v>
      </c>
      <c r="T376" s="2809" t="s">
        <v>1062</v>
      </c>
      <c r="U376" s="2809" t="s">
        <v>1063</v>
      </c>
      <c r="V376" s="2809" t="s">
        <v>1064</v>
      </c>
      <c r="W376" s="2809" t="s">
        <v>1065</v>
      </c>
      <c r="X376" s="2809" t="s">
        <v>1030</v>
      </c>
      <c r="Y376" s="2809" t="s">
        <v>1031</v>
      </c>
      <c r="Z376" s="1093"/>
      <c r="AA376" s="1094"/>
      <c r="AB376" s="1094"/>
      <c r="AC376" s="1098"/>
      <c r="AD376" s="1098"/>
      <c r="AE376" s="1099"/>
      <c r="AF376" s="2802"/>
      <c r="AG376" s="2803"/>
      <c r="AH376" s="2803"/>
      <c r="AI376" s="2802"/>
      <c r="AJ376" s="2803"/>
      <c r="AK376" s="2803"/>
      <c r="AL376" s="1900"/>
      <c r="AM376" s="1738"/>
      <c r="AN376" s="1738"/>
      <c r="AO376" s="1738"/>
      <c r="AP376" s="1738"/>
      <c r="AQ376" s="1738"/>
      <c r="AR376" s="1738"/>
      <c r="AS376" s="1738"/>
      <c r="AT376" s="1738"/>
      <c r="AU376" s="1738"/>
      <c r="AV376" s="1738"/>
      <c r="AW376" s="1738"/>
      <c r="AX376" s="1738"/>
      <c r="AY376" s="1738"/>
      <c r="AZ376" s="1738"/>
      <c r="BA376" s="1738"/>
      <c r="BB376" s="1738"/>
      <c r="BC376" s="1738"/>
      <c r="BD376" s="1738"/>
      <c r="BE376" s="1738"/>
      <c r="BF376" s="1738"/>
      <c r="BG376" s="2010"/>
    </row>
    <row r="377" spans="1:59" ht="11.25" customHeight="1">
      <c r="A377" s="1084" t="s">
        <v>987</v>
      </c>
      <c r="B377" s="1084"/>
      <c r="C377" s="1084"/>
      <c r="D377" s="1078"/>
      <c r="E377" s="1088"/>
      <c r="F377" s="2791"/>
      <c r="G377" s="2798"/>
      <c r="H377" s="2787" t="s">
        <v>103</v>
      </c>
      <c r="I377" s="2799"/>
      <c r="J377" s="2800"/>
      <c r="K377" s="2801"/>
      <c r="L377" s="2524"/>
      <c r="M377" s="2525"/>
      <c r="N377" s="2804"/>
      <c r="O377" s="2805"/>
      <c r="P377" s="2807"/>
      <c r="Q377" s="2800"/>
      <c r="R377" s="2759"/>
      <c r="S377" s="2809"/>
      <c r="T377" s="2759"/>
      <c r="U377" s="2759"/>
      <c r="V377" s="2759"/>
      <c r="W377" s="2759"/>
      <c r="X377" s="2759"/>
      <c r="Y377" s="2759"/>
      <c r="Z377" s="1743"/>
      <c r="AA377" s="1711">
        <v>1</v>
      </c>
      <c r="AB377" s="1097" t="s">
        <v>1050</v>
      </c>
      <c r="AC377" s="1087">
        <v>8323.4853700000003</v>
      </c>
      <c r="AD377" s="1097" t="str">
        <f>AB377</f>
        <v xml:space="preserve">  Прочие собственные средства</v>
      </c>
      <c r="AE377" s="1087"/>
      <c r="AF377" s="2802"/>
      <c r="AG377" s="2803"/>
      <c r="AH377" s="2803"/>
      <c r="AI377" s="2802"/>
      <c r="AJ377" s="2803"/>
      <c r="AK377" s="2803"/>
      <c r="AL377" s="1900"/>
      <c r="AM377" s="1738"/>
      <c r="AN377" s="1738"/>
      <c r="AO377" s="1738"/>
      <c r="AP377" s="1738"/>
      <c r="AQ377" s="1738"/>
      <c r="AR377" s="1738"/>
      <c r="AS377" s="1738"/>
      <c r="AT377" s="1738"/>
      <c r="AU377" s="1738"/>
      <c r="AV377" s="1738"/>
      <c r="AW377" s="1738"/>
      <c r="AX377" s="1738"/>
      <c r="AY377" s="1738"/>
      <c r="AZ377" s="1738"/>
      <c r="BA377" s="1738"/>
      <c r="BB377" s="1738"/>
      <c r="BC377" s="1738"/>
      <c r="BD377" s="1738"/>
      <c r="BE377" s="1738"/>
      <c r="BF377" s="1738"/>
      <c r="BG377" s="2010"/>
    </row>
    <row r="378" spans="1:59" ht="11.25" customHeight="1">
      <c r="A378" s="1084" t="s">
        <v>987</v>
      </c>
      <c r="B378" s="1084"/>
      <c r="C378" s="1084"/>
      <c r="D378" s="1078"/>
      <c r="E378" s="1088"/>
      <c r="F378" s="2791"/>
      <c r="G378" s="2798"/>
      <c r="H378" s="2787" t="s">
        <v>103</v>
      </c>
      <c r="I378" s="2799"/>
      <c r="J378" s="2800"/>
      <c r="K378" s="2801"/>
      <c r="L378" s="2524"/>
      <c r="M378" s="2525"/>
      <c r="N378" s="2804"/>
      <c r="O378" s="2805"/>
      <c r="P378" s="2808"/>
      <c r="Q378" s="2800"/>
      <c r="R378" s="2759"/>
      <c r="S378" s="2809"/>
      <c r="T378" s="2759"/>
      <c r="U378" s="2759"/>
      <c r="V378" s="2759"/>
      <c r="W378" s="2759"/>
      <c r="X378" s="2759"/>
      <c r="Y378" s="2759"/>
      <c r="Z378" s="1093"/>
      <c r="AA378" s="1094"/>
      <c r="AB378" s="1159" t="s">
        <v>1033</v>
      </c>
      <c r="AC378" s="1098"/>
      <c r="AD378" s="1098"/>
      <c r="AE378" s="1100"/>
      <c r="AF378" s="2802"/>
      <c r="AG378" s="2803"/>
      <c r="AH378" s="2803"/>
      <c r="AI378" s="2802"/>
      <c r="AJ378" s="2803"/>
      <c r="AK378" s="2803"/>
      <c r="AL378" s="1900"/>
      <c r="AM378" s="1738"/>
      <c r="AN378" s="1738"/>
      <c r="AO378" s="1738"/>
      <c r="AP378" s="1738"/>
      <c r="AQ378" s="1738"/>
      <c r="AR378" s="1738"/>
      <c r="AS378" s="1738"/>
      <c r="AT378" s="1738"/>
      <c r="AU378" s="1738"/>
      <c r="AV378" s="1738"/>
      <c r="AW378" s="1738"/>
      <c r="AX378" s="1738"/>
      <c r="AY378" s="1738"/>
      <c r="AZ378" s="1738"/>
      <c r="BA378" s="1738"/>
      <c r="BB378" s="1738"/>
      <c r="BC378" s="1738"/>
      <c r="BD378" s="1738"/>
      <c r="BE378" s="1738"/>
      <c r="BF378" s="1738"/>
      <c r="BG378" s="2010"/>
    </row>
    <row r="379" spans="1:59" ht="11.25" customHeight="1">
      <c r="A379" s="1084" t="s">
        <v>987</v>
      </c>
      <c r="B379" s="1084"/>
      <c r="C379" s="1084"/>
      <c r="D379" s="1078"/>
      <c r="E379" s="1088"/>
      <c r="F379" s="2791"/>
      <c r="G379" s="2798"/>
      <c r="H379" s="2787" t="s">
        <v>103</v>
      </c>
      <c r="I379" s="2799"/>
      <c r="J379" s="2800"/>
      <c r="K379" s="2801"/>
      <c r="L379" s="2524"/>
      <c r="M379" s="2525"/>
      <c r="N379" s="1093"/>
      <c r="O379" s="1094"/>
      <c r="P379" s="1086" t="s">
        <v>1034</v>
      </c>
      <c r="Q379" s="1094"/>
      <c r="R379" s="1094"/>
      <c r="S379" s="1094"/>
      <c r="T379" s="1094"/>
      <c r="U379" s="1094"/>
      <c r="V379" s="1094"/>
      <c r="W379" s="1094"/>
      <c r="X379" s="1094"/>
      <c r="Y379" s="1094"/>
      <c r="Z379" s="1094"/>
      <c r="AA379" s="1094"/>
      <c r="AB379" s="1094"/>
      <c r="AC379" s="1094"/>
      <c r="AD379" s="1094"/>
      <c r="AE379" s="1101"/>
      <c r="AF379" s="2802"/>
      <c r="AG379" s="2803"/>
      <c r="AH379" s="2803"/>
      <c r="AI379" s="2802"/>
      <c r="AJ379" s="2803"/>
      <c r="AK379" s="2803"/>
      <c r="AL379" s="1900"/>
      <c r="AM379" s="1738"/>
      <c r="AN379" s="1738"/>
      <c r="AO379" s="1738"/>
      <c r="AP379" s="1738"/>
      <c r="AQ379" s="1738"/>
      <c r="AR379" s="1738"/>
      <c r="AS379" s="1738"/>
      <c r="AT379" s="1738"/>
      <c r="AU379" s="1738"/>
      <c r="AV379" s="1738"/>
      <c r="AW379" s="1738"/>
      <c r="AX379" s="1738"/>
      <c r="AY379" s="1738"/>
      <c r="AZ379" s="1738"/>
      <c r="BA379" s="1738"/>
      <c r="BB379" s="1738"/>
      <c r="BC379" s="1738"/>
      <c r="BD379" s="1738"/>
      <c r="BE379" s="1738"/>
      <c r="BF379" s="1738"/>
      <c r="BG379" s="2010"/>
    </row>
    <row r="380" spans="1:59" ht="11.25" customHeight="1">
      <c r="A380" s="1084" t="s">
        <v>987</v>
      </c>
      <c r="B380" s="1084" t="s">
        <v>1018</v>
      </c>
      <c r="C380" s="1084"/>
      <c r="D380" s="1078"/>
      <c r="E380" s="1088"/>
      <c r="F380" s="2791"/>
      <c r="G380" s="2776" t="s">
        <v>680</v>
      </c>
      <c r="H380" s="2787" t="s">
        <v>87</v>
      </c>
      <c r="I380" s="2799" t="s">
        <v>1019</v>
      </c>
      <c r="J380" s="2800" t="s">
        <v>1035</v>
      </c>
      <c r="K380" s="2801" t="s">
        <v>1052</v>
      </c>
      <c r="L380" s="2524" t="s">
        <v>19</v>
      </c>
      <c r="M380" s="2525"/>
      <c r="N380" s="1898"/>
      <c r="O380" s="1095" t="s">
        <v>367</v>
      </c>
      <c r="P380" s="1096"/>
      <c r="Q380" s="1096"/>
      <c r="R380" s="1096"/>
      <c r="S380" s="1096"/>
      <c r="T380" s="1096"/>
      <c r="U380" s="1096"/>
      <c r="V380" s="1096"/>
      <c r="W380" s="1096"/>
      <c r="X380" s="1096"/>
      <c r="Y380" s="1096"/>
      <c r="Z380" s="1096"/>
      <c r="AA380" s="1096"/>
      <c r="AB380" s="1096"/>
      <c r="AC380" s="1096"/>
      <c r="AD380" s="1096"/>
      <c r="AE380" s="1096"/>
      <c r="AF380" s="2802">
        <v>5</v>
      </c>
      <c r="AG380" s="2803" t="s">
        <v>1022</v>
      </c>
      <c r="AH380" s="2803" t="s">
        <v>1045</v>
      </c>
      <c r="AI380" s="2802"/>
      <c r="AJ380" s="2803"/>
      <c r="AK380" s="2803"/>
      <c r="AL380" s="1900"/>
      <c r="AM380" s="1738"/>
      <c r="AN380" s="1738"/>
      <c r="AO380" s="1738"/>
      <c r="AP380" s="1738"/>
      <c r="AQ380" s="1738"/>
      <c r="AR380" s="1738"/>
      <c r="AS380" s="1738"/>
      <c r="AT380" s="1738"/>
      <c r="AU380" s="1738"/>
      <c r="AV380" s="1738"/>
      <c r="AW380" s="1738"/>
      <c r="AX380" s="1738"/>
      <c r="AY380" s="1738"/>
      <c r="AZ380" s="1738"/>
      <c r="BA380" s="1738"/>
      <c r="BB380" s="1738"/>
      <c r="BC380" s="1738"/>
      <c r="BD380" s="1738"/>
      <c r="BE380" s="1738"/>
      <c r="BF380" s="1738"/>
      <c r="BG380" s="2010"/>
    </row>
    <row r="381" spans="1:59" ht="11.25" customHeight="1">
      <c r="A381" s="1084" t="s">
        <v>987</v>
      </c>
      <c r="B381" s="1084"/>
      <c r="C381" s="1084"/>
      <c r="D381" s="1078"/>
      <c r="E381" s="1088"/>
      <c r="F381" s="2791"/>
      <c r="G381" s="2798"/>
      <c r="H381" s="2787" t="s">
        <v>86</v>
      </c>
      <c r="I381" s="2799"/>
      <c r="J381" s="2800"/>
      <c r="K381" s="2801"/>
      <c r="L381" s="2524"/>
      <c r="M381" s="2525"/>
      <c r="N381" s="2804"/>
      <c r="O381" s="2805">
        <v>1</v>
      </c>
      <c r="P381" s="2806" t="s">
        <v>65</v>
      </c>
      <c r="Q381" s="2800" t="s">
        <v>1024</v>
      </c>
      <c r="R381" s="2809" t="s">
        <v>1061</v>
      </c>
      <c r="S381" s="2809" t="s">
        <v>1062</v>
      </c>
      <c r="T381" s="2809" t="s">
        <v>1062</v>
      </c>
      <c r="U381" s="2809" t="s">
        <v>1063</v>
      </c>
      <c r="V381" s="2809" t="s">
        <v>1064</v>
      </c>
      <c r="W381" s="2809" t="s">
        <v>1065</v>
      </c>
      <c r="X381" s="2809" t="s">
        <v>1030</v>
      </c>
      <c r="Y381" s="2809" t="s">
        <v>1031</v>
      </c>
      <c r="Z381" s="1093"/>
      <c r="AA381" s="1094"/>
      <c r="AB381" s="1094"/>
      <c r="AC381" s="1098"/>
      <c r="AD381" s="1098"/>
      <c r="AE381" s="1099"/>
      <c r="AF381" s="2802"/>
      <c r="AG381" s="2803"/>
      <c r="AH381" s="2803"/>
      <c r="AI381" s="2802"/>
      <c r="AJ381" s="2803"/>
      <c r="AK381" s="2803"/>
      <c r="AL381" s="1900"/>
      <c r="AM381" s="1738"/>
      <c r="AN381" s="1738"/>
      <c r="AO381" s="1738"/>
      <c r="AP381" s="1738"/>
      <c r="AQ381" s="1738"/>
      <c r="AR381" s="1738"/>
      <c r="AS381" s="1738"/>
      <c r="AT381" s="1738"/>
      <c r="AU381" s="1738"/>
      <c r="AV381" s="1738"/>
      <c r="AW381" s="1738"/>
      <c r="AX381" s="1738"/>
      <c r="AY381" s="1738"/>
      <c r="AZ381" s="1738"/>
      <c r="BA381" s="1738"/>
      <c r="BB381" s="1738"/>
      <c r="BC381" s="1738"/>
      <c r="BD381" s="1738"/>
      <c r="BE381" s="1738"/>
      <c r="BF381" s="1738"/>
      <c r="BG381" s="2010"/>
    </row>
    <row r="382" spans="1:59" ht="11.25" customHeight="1">
      <c r="A382" s="1084" t="s">
        <v>987</v>
      </c>
      <c r="B382" s="1084"/>
      <c r="C382" s="1084"/>
      <c r="D382" s="1078"/>
      <c r="E382" s="1088"/>
      <c r="F382" s="2791"/>
      <c r="G382" s="2798"/>
      <c r="H382" s="2787" t="s">
        <v>86</v>
      </c>
      <c r="I382" s="2799"/>
      <c r="J382" s="2800"/>
      <c r="K382" s="2801"/>
      <c r="L382" s="2524"/>
      <c r="M382" s="2525"/>
      <c r="N382" s="2804"/>
      <c r="O382" s="2805"/>
      <c r="P382" s="2807"/>
      <c r="Q382" s="2800"/>
      <c r="R382" s="2759"/>
      <c r="S382" s="2809"/>
      <c r="T382" s="2759"/>
      <c r="U382" s="2759"/>
      <c r="V382" s="2759"/>
      <c r="W382" s="2759"/>
      <c r="X382" s="2759"/>
      <c r="Y382" s="2759"/>
      <c r="Z382" s="1743"/>
      <c r="AA382" s="1711">
        <v>1</v>
      </c>
      <c r="AB382" s="1097" t="s">
        <v>1032</v>
      </c>
      <c r="AC382" s="1087">
        <v>9422.8136200000008</v>
      </c>
      <c r="AD382" s="1097" t="str">
        <f>AB382</f>
        <v xml:space="preserve">      Амортизационные отчисления с выделением результатов переоценки основных средств и нематериальных активов</v>
      </c>
      <c r="AE382" s="1087"/>
      <c r="AF382" s="2802"/>
      <c r="AG382" s="2803"/>
      <c r="AH382" s="2803"/>
      <c r="AI382" s="2802"/>
      <c r="AJ382" s="2803"/>
      <c r="AK382" s="2803"/>
      <c r="AL382" s="1900"/>
      <c r="AM382" s="1738"/>
      <c r="AN382" s="1738"/>
      <c r="AO382" s="1738"/>
      <c r="AP382" s="1738"/>
      <c r="AQ382" s="1738"/>
      <c r="AR382" s="1738"/>
      <c r="AS382" s="1738"/>
      <c r="AT382" s="1738"/>
      <c r="AU382" s="1738"/>
      <c r="AV382" s="1738"/>
      <c r="AW382" s="1738"/>
      <c r="AX382" s="1738"/>
      <c r="AY382" s="1738"/>
      <c r="AZ382" s="1738"/>
      <c r="BA382" s="1738"/>
      <c r="BB382" s="1738"/>
      <c r="BC382" s="1738"/>
      <c r="BD382" s="1738"/>
      <c r="BE382" s="1738"/>
      <c r="BF382" s="1738"/>
      <c r="BG382" s="2010"/>
    </row>
    <row r="383" spans="1:59" ht="11.25" customHeight="1">
      <c r="A383" s="1084" t="s">
        <v>987</v>
      </c>
      <c r="B383" s="1084"/>
      <c r="C383" s="1084"/>
      <c r="D383" s="1078"/>
      <c r="E383" s="1088"/>
      <c r="F383" s="2791"/>
      <c r="G383" s="2798"/>
      <c r="H383" s="2787" t="s">
        <v>86</v>
      </c>
      <c r="I383" s="2799"/>
      <c r="J383" s="2800"/>
      <c r="K383" s="2801"/>
      <c r="L383" s="2524"/>
      <c r="M383" s="2525"/>
      <c r="N383" s="2804"/>
      <c r="O383" s="2805"/>
      <c r="P383" s="2808"/>
      <c r="Q383" s="2800"/>
      <c r="R383" s="2759"/>
      <c r="S383" s="2809"/>
      <c r="T383" s="2759"/>
      <c r="U383" s="2759"/>
      <c r="V383" s="2759"/>
      <c r="W383" s="2759"/>
      <c r="X383" s="2759"/>
      <c r="Y383" s="2759"/>
      <c r="Z383" s="1093"/>
      <c r="AA383" s="1094"/>
      <c r="AB383" s="1159" t="s">
        <v>1033</v>
      </c>
      <c r="AC383" s="1098"/>
      <c r="AD383" s="1098"/>
      <c r="AE383" s="1100"/>
      <c r="AF383" s="2802"/>
      <c r="AG383" s="2803"/>
      <c r="AH383" s="2803"/>
      <c r="AI383" s="2802"/>
      <c r="AJ383" s="2803"/>
      <c r="AK383" s="2803"/>
      <c r="AL383" s="1900"/>
      <c r="AM383" s="1738"/>
      <c r="AN383" s="1738"/>
      <c r="AO383" s="1738"/>
      <c r="AP383" s="1738"/>
      <c r="AQ383" s="1738"/>
      <c r="AR383" s="1738"/>
      <c r="AS383" s="1738"/>
      <c r="AT383" s="1738"/>
      <c r="AU383" s="1738"/>
      <c r="AV383" s="1738"/>
      <c r="AW383" s="1738"/>
      <c r="AX383" s="1738"/>
      <c r="AY383" s="1738"/>
      <c r="AZ383" s="1738"/>
      <c r="BA383" s="1738"/>
      <c r="BB383" s="1738"/>
      <c r="BC383" s="1738"/>
      <c r="BD383" s="1738"/>
      <c r="BE383" s="1738"/>
      <c r="BF383" s="1738"/>
      <c r="BG383" s="2010"/>
    </row>
    <row r="384" spans="1:59" ht="11.25" customHeight="1">
      <c r="A384" s="1084" t="s">
        <v>987</v>
      </c>
      <c r="B384" s="1084"/>
      <c r="C384" s="1084"/>
      <c r="D384" s="1078"/>
      <c r="E384" s="1088"/>
      <c r="F384" s="2791"/>
      <c r="G384" s="2798"/>
      <c r="H384" s="2787" t="s">
        <v>86</v>
      </c>
      <c r="I384" s="2799"/>
      <c r="J384" s="2800"/>
      <c r="K384" s="2801"/>
      <c r="L384" s="2524"/>
      <c r="M384" s="2525"/>
      <c r="N384" s="1093"/>
      <c r="O384" s="1094"/>
      <c r="P384" s="1086" t="s">
        <v>1034</v>
      </c>
      <c r="Q384" s="1094"/>
      <c r="R384" s="1094"/>
      <c r="S384" s="1094"/>
      <c r="T384" s="1094"/>
      <c r="U384" s="1094"/>
      <c r="V384" s="1094"/>
      <c r="W384" s="1094"/>
      <c r="X384" s="1094"/>
      <c r="Y384" s="1094"/>
      <c r="Z384" s="1094"/>
      <c r="AA384" s="1094"/>
      <c r="AB384" s="1094"/>
      <c r="AC384" s="1094"/>
      <c r="AD384" s="1094"/>
      <c r="AE384" s="1101"/>
      <c r="AF384" s="2802"/>
      <c r="AG384" s="2803"/>
      <c r="AH384" s="2803"/>
      <c r="AI384" s="2802"/>
      <c r="AJ384" s="2803"/>
      <c r="AK384" s="2803"/>
      <c r="AL384" s="1900"/>
      <c r="AM384" s="1738"/>
      <c r="AN384" s="1738"/>
      <c r="AO384" s="1738"/>
      <c r="AP384" s="1738"/>
      <c r="AQ384" s="1738"/>
      <c r="AR384" s="1738"/>
      <c r="AS384" s="1738"/>
      <c r="AT384" s="1738"/>
      <c r="AU384" s="1738"/>
      <c r="AV384" s="1738"/>
      <c r="AW384" s="1738"/>
      <c r="AX384" s="1738"/>
      <c r="AY384" s="1738"/>
      <c r="AZ384" s="1738"/>
      <c r="BA384" s="1738"/>
      <c r="BB384" s="1738"/>
      <c r="BC384" s="1738"/>
      <c r="BD384" s="1738"/>
      <c r="BE384" s="1738"/>
      <c r="BF384" s="1738"/>
      <c r="BG384" s="2010"/>
    </row>
    <row r="385" spans="1:59" ht="11.25" customHeight="1">
      <c r="A385" s="1084" t="s">
        <v>987</v>
      </c>
      <c r="B385" s="1084" t="s">
        <v>1018</v>
      </c>
      <c r="C385" s="1084"/>
      <c r="D385" s="1078"/>
      <c r="E385" s="1088"/>
      <c r="F385" s="2791"/>
      <c r="G385" s="2776" t="s">
        <v>680</v>
      </c>
      <c r="H385" s="2787" t="s">
        <v>104</v>
      </c>
      <c r="I385" s="2799" t="s">
        <v>1019</v>
      </c>
      <c r="J385" s="2800" t="s">
        <v>1035</v>
      </c>
      <c r="K385" s="2801" t="s">
        <v>1054</v>
      </c>
      <c r="L385" s="2524" t="s">
        <v>19</v>
      </c>
      <c r="M385" s="2525"/>
      <c r="N385" s="1898"/>
      <c r="O385" s="1095" t="s">
        <v>367</v>
      </c>
      <c r="P385" s="1096"/>
      <c r="Q385" s="1096"/>
      <c r="R385" s="1096"/>
      <c r="S385" s="1096"/>
      <c r="T385" s="1096"/>
      <c r="U385" s="1096"/>
      <c r="V385" s="1096"/>
      <c r="W385" s="1096"/>
      <c r="X385" s="1096"/>
      <c r="Y385" s="1096"/>
      <c r="Z385" s="1096"/>
      <c r="AA385" s="1096"/>
      <c r="AB385" s="1096"/>
      <c r="AC385" s="1096"/>
      <c r="AD385" s="1096"/>
      <c r="AE385" s="1096"/>
      <c r="AF385" s="2802">
        <v>3</v>
      </c>
      <c r="AG385" s="2803" t="s">
        <v>1022</v>
      </c>
      <c r="AH385" s="2803" t="s">
        <v>1023</v>
      </c>
      <c r="AI385" s="2802"/>
      <c r="AJ385" s="2803"/>
      <c r="AK385" s="2803"/>
      <c r="AL385" s="1900"/>
      <c r="AM385" s="1738"/>
      <c r="AN385" s="1738"/>
      <c r="AO385" s="1738"/>
      <c r="AP385" s="1738"/>
      <c r="AQ385" s="1738"/>
      <c r="AR385" s="1738"/>
      <c r="AS385" s="1738"/>
      <c r="AT385" s="1738"/>
      <c r="AU385" s="1738"/>
      <c r="AV385" s="1738"/>
      <c r="AW385" s="1738"/>
      <c r="AX385" s="1738"/>
      <c r="AY385" s="1738"/>
      <c r="AZ385" s="1738"/>
      <c r="BA385" s="1738"/>
      <c r="BB385" s="1738"/>
      <c r="BC385" s="1738"/>
      <c r="BD385" s="1738"/>
      <c r="BE385" s="1738"/>
      <c r="BF385" s="1738"/>
      <c r="BG385" s="2010"/>
    </row>
    <row r="386" spans="1:59" ht="11.25" customHeight="1">
      <c r="A386" s="1084" t="s">
        <v>987</v>
      </c>
      <c r="B386" s="1084"/>
      <c r="C386" s="1084"/>
      <c r="D386" s="1078"/>
      <c r="E386" s="1088"/>
      <c r="F386" s="2791"/>
      <c r="G386" s="2798"/>
      <c r="H386" s="2787" t="s">
        <v>87</v>
      </c>
      <c r="I386" s="2799"/>
      <c r="J386" s="2800"/>
      <c r="K386" s="2801"/>
      <c r="L386" s="2524"/>
      <c r="M386" s="2525"/>
      <c r="N386" s="2804"/>
      <c r="O386" s="2805">
        <v>1</v>
      </c>
      <c r="P386" s="2806" t="s">
        <v>65</v>
      </c>
      <c r="Q386" s="2800" t="s">
        <v>1024</v>
      </c>
      <c r="R386" s="2809" t="s">
        <v>1061</v>
      </c>
      <c r="S386" s="2809" t="s">
        <v>1062</v>
      </c>
      <c r="T386" s="2809" t="s">
        <v>1062</v>
      </c>
      <c r="U386" s="2809" t="s">
        <v>1063</v>
      </c>
      <c r="V386" s="2809" t="s">
        <v>1064</v>
      </c>
      <c r="W386" s="2809" t="s">
        <v>1065</v>
      </c>
      <c r="X386" s="2809" t="s">
        <v>1030</v>
      </c>
      <c r="Y386" s="2809" t="s">
        <v>1031</v>
      </c>
      <c r="Z386" s="1093"/>
      <c r="AA386" s="1094"/>
      <c r="AB386" s="1094"/>
      <c r="AC386" s="1098"/>
      <c r="AD386" s="1098"/>
      <c r="AE386" s="1099"/>
      <c r="AF386" s="2802"/>
      <c r="AG386" s="2803"/>
      <c r="AH386" s="2803"/>
      <c r="AI386" s="2802"/>
      <c r="AJ386" s="2803"/>
      <c r="AK386" s="2803"/>
      <c r="AL386" s="1900"/>
      <c r="AM386" s="1738"/>
      <c r="AN386" s="1738"/>
      <c r="AO386" s="1738"/>
      <c r="AP386" s="1738"/>
      <c r="AQ386" s="1738"/>
      <c r="AR386" s="1738"/>
      <c r="AS386" s="1738"/>
      <c r="AT386" s="1738"/>
      <c r="AU386" s="1738"/>
      <c r="AV386" s="1738"/>
      <c r="AW386" s="1738"/>
      <c r="AX386" s="1738"/>
      <c r="AY386" s="1738"/>
      <c r="AZ386" s="1738"/>
      <c r="BA386" s="1738"/>
      <c r="BB386" s="1738"/>
      <c r="BC386" s="1738"/>
      <c r="BD386" s="1738"/>
      <c r="BE386" s="1738"/>
      <c r="BF386" s="1738"/>
      <c r="BG386" s="2010"/>
    </row>
    <row r="387" spans="1:59" ht="11.25" customHeight="1">
      <c r="A387" s="1084" t="s">
        <v>987</v>
      </c>
      <c r="B387" s="1084"/>
      <c r="C387" s="1084"/>
      <c r="D387" s="1078"/>
      <c r="E387" s="1088"/>
      <c r="F387" s="2791"/>
      <c r="G387" s="2798"/>
      <c r="H387" s="2787" t="s">
        <v>87</v>
      </c>
      <c r="I387" s="2799"/>
      <c r="J387" s="2800"/>
      <c r="K387" s="2801"/>
      <c r="L387" s="2524"/>
      <c r="M387" s="2525"/>
      <c r="N387" s="2804"/>
      <c r="O387" s="2805"/>
      <c r="P387" s="2807"/>
      <c r="Q387" s="2800"/>
      <c r="R387" s="2759"/>
      <c r="S387" s="2809"/>
      <c r="T387" s="2759"/>
      <c r="U387" s="2759"/>
      <c r="V387" s="2759"/>
      <c r="W387" s="2759"/>
      <c r="X387" s="2759"/>
      <c r="Y387" s="2759"/>
      <c r="Z387" s="1743"/>
      <c r="AA387" s="1711">
        <v>1</v>
      </c>
      <c r="AB387" s="1097" t="s">
        <v>1050</v>
      </c>
      <c r="AC387" s="1087">
        <v>4711.4068100000004</v>
      </c>
      <c r="AD387" s="1097" t="str">
        <f>AB387</f>
        <v xml:space="preserve">  Прочие собственные средства</v>
      </c>
      <c r="AE387" s="1087"/>
      <c r="AF387" s="2802"/>
      <c r="AG387" s="2803"/>
      <c r="AH387" s="2803"/>
      <c r="AI387" s="2802"/>
      <c r="AJ387" s="2803"/>
      <c r="AK387" s="2803"/>
      <c r="AL387" s="1900"/>
      <c r="AM387" s="1738"/>
      <c r="AN387" s="1738"/>
      <c r="AO387" s="1738"/>
      <c r="AP387" s="1738"/>
      <c r="AQ387" s="1738"/>
      <c r="AR387" s="1738"/>
      <c r="AS387" s="1738"/>
      <c r="AT387" s="1738"/>
      <c r="AU387" s="1738"/>
      <c r="AV387" s="1738"/>
      <c r="AW387" s="1738"/>
      <c r="AX387" s="1738"/>
      <c r="AY387" s="1738"/>
      <c r="AZ387" s="1738"/>
      <c r="BA387" s="1738"/>
      <c r="BB387" s="1738"/>
      <c r="BC387" s="1738"/>
      <c r="BD387" s="1738"/>
      <c r="BE387" s="1738"/>
      <c r="BF387" s="1738"/>
      <c r="BG387" s="2010"/>
    </row>
    <row r="388" spans="1:59" ht="11.25" customHeight="1">
      <c r="A388" s="1084" t="s">
        <v>987</v>
      </c>
      <c r="B388" s="1084"/>
      <c r="C388" s="1084"/>
      <c r="D388" s="1078"/>
      <c r="E388" s="1088"/>
      <c r="F388" s="2791"/>
      <c r="G388" s="2798"/>
      <c r="H388" s="2787" t="s">
        <v>87</v>
      </c>
      <c r="I388" s="2799"/>
      <c r="J388" s="2800"/>
      <c r="K388" s="2801"/>
      <c r="L388" s="2524"/>
      <c r="M388" s="2525"/>
      <c r="N388" s="2804"/>
      <c r="O388" s="2805"/>
      <c r="P388" s="2808"/>
      <c r="Q388" s="2800"/>
      <c r="R388" s="2759"/>
      <c r="S388" s="2809"/>
      <c r="T388" s="2759"/>
      <c r="U388" s="2759"/>
      <c r="V388" s="2759"/>
      <c r="W388" s="2759"/>
      <c r="X388" s="2759"/>
      <c r="Y388" s="2759"/>
      <c r="Z388" s="1093"/>
      <c r="AA388" s="1094"/>
      <c r="AB388" s="1159" t="s">
        <v>1033</v>
      </c>
      <c r="AC388" s="1098"/>
      <c r="AD388" s="1098"/>
      <c r="AE388" s="1100"/>
      <c r="AF388" s="2802"/>
      <c r="AG388" s="2803"/>
      <c r="AH388" s="2803"/>
      <c r="AI388" s="2802"/>
      <c r="AJ388" s="2803"/>
      <c r="AK388" s="2803"/>
      <c r="AL388" s="1900"/>
      <c r="AM388" s="1738"/>
      <c r="AN388" s="1738"/>
      <c r="AO388" s="1738"/>
      <c r="AP388" s="1738"/>
      <c r="AQ388" s="1738"/>
      <c r="AR388" s="1738"/>
      <c r="AS388" s="1738"/>
      <c r="AT388" s="1738"/>
      <c r="AU388" s="1738"/>
      <c r="AV388" s="1738"/>
      <c r="AW388" s="1738"/>
      <c r="AX388" s="1738"/>
      <c r="AY388" s="1738"/>
      <c r="AZ388" s="1738"/>
      <c r="BA388" s="1738"/>
      <c r="BB388" s="1738"/>
      <c r="BC388" s="1738"/>
      <c r="BD388" s="1738"/>
      <c r="BE388" s="1738"/>
      <c r="BF388" s="1738"/>
      <c r="BG388" s="2010"/>
    </row>
    <row r="389" spans="1:59" ht="11.25" customHeight="1">
      <c r="A389" s="1084" t="s">
        <v>987</v>
      </c>
      <c r="B389" s="1084"/>
      <c r="C389" s="1084"/>
      <c r="D389" s="1078"/>
      <c r="E389" s="1088"/>
      <c r="F389" s="2791"/>
      <c r="G389" s="2798"/>
      <c r="H389" s="2787" t="s">
        <v>87</v>
      </c>
      <c r="I389" s="2799"/>
      <c r="J389" s="2800"/>
      <c r="K389" s="2801"/>
      <c r="L389" s="2524"/>
      <c r="M389" s="2525"/>
      <c r="N389" s="1093"/>
      <c r="O389" s="1094"/>
      <c r="P389" s="1086" t="s">
        <v>1034</v>
      </c>
      <c r="Q389" s="1094"/>
      <c r="R389" s="1094"/>
      <c r="S389" s="1094"/>
      <c r="T389" s="1094"/>
      <c r="U389" s="1094"/>
      <c r="V389" s="1094"/>
      <c r="W389" s="1094"/>
      <c r="X389" s="1094"/>
      <c r="Y389" s="1094"/>
      <c r="Z389" s="1094"/>
      <c r="AA389" s="1094"/>
      <c r="AB389" s="1094"/>
      <c r="AC389" s="1094"/>
      <c r="AD389" s="1094"/>
      <c r="AE389" s="1101"/>
      <c r="AF389" s="2802"/>
      <c r="AG389" s="2803"/>
      <c r="AH389" s="2803"/>
      <c r="AI389" s="2802"/>
      <c r="AJ389" s="2803"/>
      <c r="AK389" s="2803"/>
      <c r="AL389" s="1900"/>
      <c r="AM389" s="1738"/>
      <c r="AN389" s="1738"/>
      <c r="AO389" s="1738"/>
      <c r="AP389" s="1738"/>
      <c r="AQ389" s="1738"/>
      <c r="AR389" s="1738"/>
      <c r="AS389" s="1738"/>
      <c r="AT389" s="1738"/>
      <c r="AU389" s="1738"/>
      <c r="AV389" s="1738"/>
      <c r="AW389" s="1738"/>
      <c r="AX389" s="1738"/>
      <c r="AY389" s="1738"/>
      <c r="AZ389" s="1738"/>
      <c r="BA389" s="1738"/>
      <c r="BB389" s="1738"/>
      <c r="BC389" s="1738"/>
      <c r="BD389" s="1738"/>
      <c r="BE389" s="1738"/>
      <c r="BF389" s="1738"/>
      <c r="BG389" s="2010"/>
    </row>
    <row r="390" spans="1:59" ht="11.25" customHeight="1">
      <c r="A390" s="1084" t="s">
        <v>987</v>
      </c>
      <c r="B390" s="1084" t="s">
        <v>1018</v>
      </c>
      <c r="C390" s="1084"/>
      <c r="D390" s="1078"/>
      <c r="E390" s="1088"/>
      <c r="F390" s="2791"/>
      <c r="G390" s="2776" t="s">
        <v>680</v>
      </c>
      <c r="H390" s="2787" t="s">
        <v>88</v>
      </c>
      <c r="I390" s="2799" t="s">
        <v>1019</v>
      </c>
      <c r="J390" s="2800" t="s">
        <v>1035</v>
      </c>
      <c r="K390" s="2801" t="s">
        <v>1055</v>
      </c>
      <c r="L390" s="2524" t="s">
        <v>19</v>
      </c>
      <c r="M390" s="2525"/>
      <c r="N390" s="1898"/>
      <c r="O390" s="1095" t="s">
        <v>367</v>
      </c>
      <c r="P390" s="1096"/>
      <c r="Q390" s="1096"/>
      <c r="R390" s="1096"/>
      <c r="S390" s="1096"/>
      <c r="T390" s="1096"/>
      <c r="U390" s="1096"/>
      <c r="V390" s="1096"/>
      <c r="W390" s="1096"/>
      <c r="X390" s="1096"/>
      <c r="Y390" s="1096"/>
      <c r="Z390" s="1096"/>
      <c r="AA390" s="1096"/>
      <c r="AB390" s="1096"/>
      <c r="AC390" s="1096"/>
      <c r="AD390" s="1096"/>
      <c r="AE390" s="1096"/>
      <c r="AF390" s="2802">
        <v>2</v>
      </c>
      <c r="AG390" s="2803" t="s">
        <v>1022</v>
      </c>
      <c r="AH390" s="2803" t="s">
        <v>1040</v>
      </c>
      <c r="AI390" s="2802"/>
      <c r="AJ390" s="2803"/>
      <c r="AK390" s="2803"/>
      <c r="AL390" s="1900"/>
      <c r="AM390" s="1738"/>
      <c r="AN390" s="1738"/>
      <c r="AO390" s="1738"/>
      <c r="AP390" s="1738"/>
      <c r="AQ390" s="1738"/>
      <c r="AR390" s="1738"/>
      <c r="AS390" s="1738"/>
      <c r="AT390" s="1738"/>
      <c r="AU390" s="1738"/>
      <c r="AV390" s="1738"/>
      <c r="AW390" s="1738"/>
      <c r="AX390" s="1738"/>
      <c r="AY390" s="1738"/>
      <c r="AZ390" s="1738"/>
      <c r="BA390" s="1738"/>
      <c r="BB390" s="1738"/>
      <c r="BC390" s="1738"/>
      <c r="BD390" s="1738"/>
      <c r="BE390" s="1738"/>
      <c r="BF390" s="1738"/>
      <c r="BG390" s="2010"/>
    </row>
    <row r="391" spans="1:59" ht="11.25" customHeight="1">
      <c r="A391" s="1084" t="s">
        <v>987</v>
      </c>
      <c r="B391" s="1084"/>
      <c r="C391" s="1084"/>
      <c r="D391" s="1078"/>
      <c r="E391" s="1088"/>
      <c r="F391" s="2791"/>
      <c r="G391" s="2798"/>
      <c r="H391" s="2787" t="s">
        <v>104</v>
      </c>
      <c r="I391" s="2799"/>
      <c r="J391" s="2800"/>
      <c r="K391" s="2801"/>
      <c r="L391" s="2524"/>
      <c r="M391" s="2525"/>
      <c r="N391" s="2804"/>
      <c r="O391" s="2805">
        <v>1</v>
      </c>
      <c r="P391" s="2806" t="s">
        <v>65</v>
      </c>
      <c r="Q391" s="2800" t="s">
        <v>1024</v>
      </c>
      <c r="R391" s="2809" t="s">
        <v>1061</v>
      </c>
      <c r="S391" s="2809" t="s">
        <v>1062</v>
      </c>
      <c r="T391" s="2809" t="s">
        <v>1062</v>
      </c>
      <c r="U391" s="2809" t="s">
        <v>1063</v>
      </c>
      <c r="V391" s="2809" t="s">
        <v>1064</v>
      </c>
      <c r="W391" s="2809" t="s">
        <v>1065</v>
      </c>
      <c r="X391" s="2809" t="s">
        <v>1030</v>
      </c>
      <c r="Y391" s="2809" t="s">
        <v>1031</v>
      </c>
      <c r="Z391" s="1093"/>
      <c r="AA391" s="1094"/>
      <c r="AB391" s="1094"/>
      <c r="AC391" s="1098"/>
      <c r="AD391" s="1098"/>
      <c r="AE391" s="1099"/>
      <c r="AF391" s="2802"/>
      <c r="AG391" s="2803"/>
      <c r="AH391" s="2803"/>
      <c r="AI391" s="2802"/>
      <c r="AJ391" s="2803"/>
      <c r="AK391" s="2803"/>
      <c r="AL391" s="1900"/>
      <c r="AM391" s="1738"/>
      <c r="AN391" s="1738"/>
      <c r="AO391" s="1738"/>
      <c r="AP391" s="1738"/>
      <c r="AQ391" s="1738"/>
      <c r="AR391" s="1738"/>
      <c r="AS391" s="1738"/>
      <c r="AT391" s="1738"/>
      <c r="AU391" s="1738"/>
      <c r="AV391" s="1738"/>
      <c r="AW391" s="1738"/>
      <c r="AX391" s="1738"/>
      <c r="AY391" s="1738"/>
      <c r="AZ391" s="1738"/>
      <c r="BA391" s="1738"/>
      <c r="BB391" s="1738"/>
      <c r="BC391" s="1738"/>
      <c r="BD391" s="1738"/>
      <c r="BE391" s="1738"/>
      <c r="BF391" s="1738"/>
      <c r="BG391" s="2010"/>
    </row>
    <row r="392" spans="1:59" ht="11.25" customHeight="1">
      <c r="A392" s="1084" t="s">
        <v>987</v>
      </c>
      <c r="B392" s="1084"/>
      <c r="C392" s="1084"/>
      <c r="D392" s="1078"/>
      <c r="E392" s="1088"/>
      <c r="F392" s="2791"/>
      <c r="G392" s="2798"/>
      <c r="H392" s="2787" t="s">
        <v>104</v>
      </c>
      <c r="I392" s="2799"/>
      <c r="J392" s="2800"/>
      <c r="K392" s="2801"/>
      <c r="L392" s="2524"/>
      <c r="M392" s="2525"/>
      <c r="N392" s="2804"/>
      <c r="O392" s="2805"/>
      <c r="P392" s="2807"/>
      <c r="Q392" s="2800"/>
      <c r="R392" s="2759"/>
      <c r="S392" s="2809"/>
      <c r="T392" s="2759"/>
      <c r="U392" s="2759"/>
      <c r="V392" s="2759"/>
      <c r="W392" s="2759"/>
      <c r="X392" s="2759"/>
      <c r="Y392" s="2759"/>
      <c r="Z392" s="1743"/>
      <c r="AA392" s="1711">
        <v>1</v>
      </c>
      <c r="AB392" s="1097" t="s">
        <v>1050</v>
      </c>
      <c r="AC392" s="1087">
        <v>6281.8757500000002</v>
      </c>
      <c r="AD392" s="1097" t="str">
        <f>AB392</f>
        <v xml:space="preserve">  Прочие собственные средства</v>
      </c>
      <c r="AE392" s="1087"/>
      <c r="AF392" s="2802"/>
      <c r="AG392" s="2803"/>
      <c r="AH392" s="2803"/>
      <c r="AI392" s="2802"/>
      <c r="AJ392" s="2803"/>
      <c r="AK392" s="2803"/>
      <c r="AL392" s="1900"/>
      <c r="AM392" s="1738"/>
      <c r="AN392" s="1738"/>
      <c r="AO392" s="1738"/>
      <c r="AP392" s="1738"/>
      <c r="AQ392" s="1738"/>
      <c r="AR392" s="1738"/>
      <c r="AS392" s="1738"/>
      <c r="AT392" s="1738"/>
      <c r="AU392" s="1738"/>
      <c r="AV392" s="1738"/>
      <c r="AW392" s="1738"/>
      <c r="AX392" s="1738"/>
      <c r="AY392" s="1738"/>
      <c r="AZ392" s="1738"/>
      <c r="BA392" s="1738"/>
      <c r="BB392" s="1738"/>
      <c r="BC392" s="1738"/>
      <c r="BD392" s="1738"/>
      <c r="BE392" s="1738"/>
      <c r="BF392" s="1738"/>
      <c r="BG392" s="2010"/>
    </row>
    <row r="393" spans="1:59" ht="11.25" customHeight="1">
      <c r="A393" s="1084" t="s">
        <v>987</v>
      </c>
      <c r="B393" s="1084"/>
      <c r="C393" s="1084"/>
      <c r="D393" s="1078"/>
      <c r="E393" s="1088"/>
      <c r="F393" s="2791"/>
      <c r="G393" s="2798"/>
      <c r="H393" s="2787" t="s">
        <v>104</v>
      </c>
      <c r="I393" s="2799"/>
      <c r="J393" s="2800"/>
      <c r="K393" s="2801"/>
      <c r="L393" s="2524"/>
      <c r="M393" s="2525"/>
      <c r="N393" s="2804"/>
      <c r="O393" s="2805"/>
      <c r="P393" s="2808"/>
      <c r="Q393" s="2800"/>
      <c r="R393" s="2759"/>
      <c r="S393" s="2809"/>
      <c r="T393" s="2759"/>
      <c r="U393" s="2759"/>
      <c r="V393" s="2759"/>
      <c r="W393" s="2759"/>
      <c r="X393" s="2759"/>
      <c r="Y393" s="2759"/>
      <c r="Z393" s="1093"/>
      <c r="AA393" s="1094"/>
      <c r="AB393" s="1159" t="s">
        <v>1033</v>
      </c>
      <c r="AC393" s="1098"/>
      <c r="AD393" s="1098"/>
      <c r="AE393" s="1100"/>
      <c r="AF393" s="2802"/>
      <c r="AG393" s="2803"/>
      <c r="AH393" s="2803"/>
      <c r="AI393" s="2802"/>
      <c r="AJ393" s="2803"/>
      <c r="AK393" s="2803"/>
      <c r="AL393" s="1900"/>
      <c r="AM393" s="1738"/>
      <c r="AN393" s="1738"/>
      <c r="AO393" s="1738"/>
      <c r="AP393" s="1738"/>
      <c r="AQ393" s="1738"/>
      <c r="AR393" s="1738"/>
      <c r="AS393" s="1738"/>
      <c r="AT393" s="1738"/>
      <c r="AU393" s="1738"/>
      <c r="AV393" s="1738"/>
      <c r="AW393" s="1738"/>
      <c r="AX393" s="1738"/>
      <c r="AY393" s="1738"/>
      <c r="AZ393" s="1738"/>
      <c r="BA393" s="1738"/>
      <c r="BB393" s="1738"/>
      <c r="BC393" s="1738"/>
      <c r="BD393" s="1738"/>
      <c r="BE393" s="1738"/>
      <c r="BF393" s="1738"/>
      <c r="BG393" s="2010"/>
    </row>
    <row r="394" spans="1:59" ht="11.25" customHeight="1">
      <c r="A394" s="1084" t="s">
        <v>987</v>
      </c>
      <c r="B394" s="1084"/>
      <c r="C394" s="1084"/>
      <c r="D394" s="1078"/>
      <c r="E394" s="1088"/>
      <c r="F394" s="2791"/>
      <c r="G394" s="2798"/>
      <c r="H394" s="2787" t="s">
        <v>104</v>
      </c>
      <c r="I394" s="2799"/>
      <c r="J394" s="2800"/>
      <c r="K394" s="2801"/>
      <c r="L394" s="2524"/>
      <c r="M394" s="2525"/>
      <c r="N394" s="1093"/>
      <c r="O394" s="1094"/>
      <c r="P394" s="1086" t="s">
        <v>1034</v>
      </c>
      <c r="Q394" s="1094"/>
      <c r="R394" s="1094"/>
      <c r="S394" s="1094"/>
      <c r="T394" s="1094"/>
      <c r="U394" s="1094"/>
      <c r="V394" s="1094"/>
      <c r="W394" s="1094"/>
      <c r="X394" s="1094"/>
      <c r="Y394" s="1094"/>
      <c r="Z394" s="1094"/>
      <c r="AA394" s="1094"/>
      <c r="AB394" s="1094"/>
      <c r="AC394" s="1094"/>
      <c r="AD394" s="1094"/>
      <c r="AE394" s="1101"/>
      <c r="AF394" s="2802"/>
      <c r="AG394" s="2803"/>
      <c r="AH394" s="2803"/>
      <c r="AI394" s="2802"/>
      <c r="AJ394" s="2803"/>
      <c r="AK394" s="2803"/>
      <c r="AL394" s="1900"/>
      <c r="AM394" s="1738"/>
      <c r="AN394" s="1738"/>
      <c r="AO394" s="1738"/>
      <c r="AP394" s="1738"/>
      <c r="AQ394" s="1738"/>
      <c r="AR394" s="1738"/>
      <c r="AS394" s="1738"/>
      <c r="AT394" s="1738"/>
      <c r="AU394" s="1738"/>
      <c r="AV394" s="1738"/>
      <c r="AW394" s="1738"/>
      <c r="AX394" s="1738"/>
      <c r="AY394" s="1738"/>
      <c r="AZ394" s="1738"/>
      <c r="BA394" s="1738"/>
      <c r="BB394" s="1738"/>
      <c r="BC394" s="1738"/>
      <c r="BD394" s="1738"/>
      <c r="BE394" s="1738"/>
      <c r="BF394" s="1738"/>
      <c r="BG394" s="2010"/>
    </row>
    <row r="395" spans="1:59" ht="11.25" customHeight="1">
      <c r="A395" s="1084" t="s">
        <v>987</v>
      </c>
      <c r="B395" s="1084" t="s">
        <v>1018</v>
      </c>
      <c r="C395" s="1084"/>
      <c r="D395" s="1078"/>
      <c r="E395" s="1088"/>
      <c r="F395" s="2791"/>
      <c r="G395" s="2776" t="s">
        <v>680</v>
      </c>
      <c r="H395" s="2787" t="s">
        <v>89</v>
      </c>
      <c r="I395" s="2799" t="s">
        <v>1019</v>
      </c>
      <c r="J395" s="2800" t="s">
        <v>1035</v>
      </c>
      <c r="K395" s="2801" t="s">
        <v>1056</v>
      </c>
      <c r="L395" s="2524" t="s">
        <v>19</v>
      </c>
      <c r="M395" s="2525"/>
      <c r="N395" s="1898"/>
      <c r="O395" s="1095" t="s">
        <v>367</v>
      </c>
      <c r="P395" s="1096"/>
      <c r="Q395" s="1096"/>
      <c r="R395" s="1096"/>
      <c r="S395" s="1096"/>
      <c r="T395" s="1096"/>
      <c r="U395" s="1096"/>
      <c r="V395" s="1096"/>
      <c r="W395" s="1096"/>
      <c r="X395" s="1096"/>
      <c r="Y395" s="1096"/>
      <c r="Z395" s="1096"/>
      <c r="AA395" s="1096"/>
      <c r="AB395" s="1096"/>
      <c r="AC395" s="1096"/>
      <c r="AD395" s="1096"/>
      <c r="AE395" s="1096"/>
      <c r="AF395" s="2802">
        <v>2</v>
      </c>
      <c r="AG395" s="2803" t="s">
        <v>1022</v>
      </c>
      <c r="AH395" s="2803" t="s">
        <v>1040</v>
      </c>
      <c r="AI395" s="2802"/>
      <c r="AJ395" s="2803"/>
      <c r="AK395" s="2803"/>
      <c r="AL395" s="1900"/>
      <c r="AM395" s="1738"/>
      <c r="AN395" s="1738"/>
      <c r="AO395" s="1738"/>
      <c r="AP395" s="1738"/>
      <c r="AQ395" s="1738"/>
      <c r="AR395" s="1738"/>
      <c r="AS395" s="1738"/>
      <c r="AT395" s="1738"/>
      <c r="AU395" s="1738"/>
      <c r="AV395" s="1738"/>
      <c r="AW395" s="1738"/>
      <c r="AX395" s="1738"/>
      <c r="AY395" s="1738"/>
      <c r="AZ395" s="1738"/>
      <c r="BA395" s="1738"/>
      <c r="BB395" s="1738"/>
      <c r="BC395" s="1738"/>
      <c r="BD395" s="1738"/>
      <c r="BE395" s="1738"/>
      <c r="BF395" s="1738"/>
      <c r="BG395" s="2010"/>
    </row>
    <row r="396" spans="1:59" ht="11.25" customHeight="1">
      <c r="A396" s="1084" t="s">
        <v>987</v>
      </c>
      <c r="B396" s="1084"/>
      <c r="C396" s="1084"/>
      <c r="D396" s="1078"/>
      <c r="E396" s="1088"/>
      <c r="F396" s="2791"/>
      <c r="G396" s="2798"/>
      <c r="H396" s="2787" t="s">
        <v>88</v>
      </c>
      <c r="I396" s="2799"/>
      <c r="J396" s="2800"/>
      <c r="K396" s="2801"/>
      <c r="L396" s="2524"/>
      <c r="M396" s="2525"/>
      <c r="N396" s="2804"/>
      <c r="O396" s="2805">
        <v>1</v>
      </c>
      <c r="P396" s="2806" t="s">
        <v>65</v>
      </c>
      <c r="Q396" s="2800" t="s">
        <v>1024</v>
      </c>
      <c r="R396" s="2809" t="s">
        <v>1061</v>
      </c>
      <c r="S396" s="2809" t="s">
        <v>1062</v>
      </c>
      <c r="T396" s="2809" t="s">
        <v>1062</v>
      </c>
      <c r="U396" s="2809" t="s">
        <v>1063</v>
      </c>
      <c r="V396" s="2809" t="s">
        <v>1064</v>
      </c>
      <c r="W396" s="2809" t="s">
        <v>1065</v>
      </c>
      <c r="X396" s="2809" t="s">
        <v>1030</v>
      </c>
      <c r="Y396" s="2809" t="s">
        <v>1031</v>
      </c>
      <c r="Z396" s="1093"/>
      <c r="AA396" s="1094"/>
      <c r="AB396" s="1094"/>
      <c r="AC396" s="1098"/>
      <c r="AD396" s="1098"/>
      <c r="AE396" s="1099"/>
      <c r="AF396" s="2802"/>
      <c r="AG396" s="2803"/>
      <c r="AH396" s="2803"/>
      <c r="AI396" s="2802"/>
      <c r="AJ396" s="2803"/>
      <c r="AK396" s="2803"/>
      <c r="AL396" s="1900"/>
      <c r="AM396" s="1738"/>
      <c r="AN396" s="1738"/>
      <c r="AO396" s="1738"/>
      <c r="AP396" s="1738"/>
      <c r="AQ396" s="1738"/>
      <c r="AR396" s="1738"/>
      <c r="AS396" s="1738"/>
      <c r="AT396" s="1738"/>
      <c r="AU396" s="1738"/>
      <c r="AV396" s="1738"/>
      <c r="AW396" s="1738"/>
      <c r="AX396" s="1738"/>
      <c r="AY396" s="1738"/>
      <c r="AZ396" s="1738"/>
      <c r="BA396" s="1738"/>
      <c r="BB396" s="1738"/>
      <c r="BC396" s="1738"/>
      <c r="BD396" s="1738"/>
      <c r="BE396" s="1738"/>
      <c r="BF396" s="1738"/>
      <c r="BG396" s="2010"/>
    </row>
    <row r="397" spans="1:59" ht="11.25" customHeight="1">
      <c r="A397" s="1084" t="s">
        <v>987</v>
      </c>
      <c r="B397" s="1084"/>
      <c r="C397" s="1084"/>
      <c r="D397" s="1078"/>
      <c r="E397" s="1088"/>
      <c r="F397" s="2791"/>
      <c r="G397" s="2798"/>
      <c r="H397" s="2787" t="s">
        <v>88</v>
      </c>
      <c r="I397" s="2799"/>
      <c r="J397" s="2800"/>
      <c r="K397" s="2801"/>
      <c r="L397" s="2524"/>
      <c r="M397" s="2525"/>
      <c r="N397" s="2804"/>
      <c r="O397" s="2805"/>
      <c r="P397" s="2807"/>
      <c r="Q397" s="2800"/>
      <c r="R397" s="2759"/>
      <c r="S397" s="2809"/>
      <c r="T397" s="2759"/>
      <c r="U397" s="2759"/>
      <c r="V397" s="2759"/>
      <c r="W397" s="2759"/>
      <c r="X397" s="2759"/>
      <c r="Y397" s="2759"/>
      <c r="Z397" s="1743"/>
      <c r="AA397" s="1711">
        <v>1</v>
      </c>
      <c r="AB397" s="1097" t="s">
        <v>1050</v>
      </c>
      <c r="AC397" s="1087">
        <v>9422.8136200000008</v>
      </c>
      <c r="AD397" s="1097" t="str">
        <f>AB397</f>
        <v xml:space="preserve">  Прочие собственные средства</v>
      </c>
      <c r="AE397" s="1087"/>
      <c r="AF397" s="2802"/>
      <c r="AG397" s="2803"/>
      <c r="AH397" s="2803"/>
      <c r="AI397" s="2802"/>
      <c r="AJ397" s="2803"/>
      <c r="AK397" s="2803"/>
      <c r="AL397" s="1900"/>
      <c r="AM397" s="1738"/>
      <c r="AN397" s="1738"/>
      <c r="AO397" s="1738"/>
      <c r="AP397" s="1738"/>
      <c r="AQ397" s="1738"/>
      <c r="AR397" s="1738"/>
      <c r="AS397" s="1738"/>
      <c r="AT397" s="1738"/>
      <c r="AU397" s="1738"/>
      <c r="AV397" s="1738"/>
      <c r="AW397" s="1738"/>
      <c r="AX397" s="1738"/>
      <c r="AY397" s="1738"/>
      <c r="AZ397" s="1738"/>
      <c r="BA397" s="1738"/>
      <c r="BB397" s="1738"/>
      <c r="BC397" s="1738"/>
      <c r="BD397" s="1738"/>
      <c r="BE397" s="1738"/>
      <c r="BF397" s="1738"/>
      <c r="BG397" s="2010"/>
    </row>
    <row r="398" spans="1:59" ht="11.25" customHeight="1">
      <c r="A398" s="1084" t="s">
        <v>987</v>
      </c>
      <c r="B398" s="1084"/>
      <c r="C398" s="1084"/>
      <c r="D398" s="1078"/>
      <c r="E398" s="1088"/>
      <c r="F398" s="2791"/>
      <c r="G398" s="2798"/>
      <c r="H398" s="2787" t="s">
        <v>88</v>
      </c>
      <c r="I398" s="2799"/>
      <c r="J398" s="2800"/>
      <c r="K398" s="2801"/>
      <c r="L398" s="2524"/>
      <c r="M398" s="2525"/>
      <c r="N398" s="2804"/>
      <c r="O398" s="2805"/>
      <c r="P398" s="2808"/>
      <c r="Q398" s="2800"/>
      <c r="R398" s="2759"/>
      <c r="S398" s="2809"/>
      <c r="T398" s="2759"/>
      <c r="U398" s="2759"/>
      <c r="V398" s="2759"/>
      <c r="W398" s="2759"/>
      <c r="X398" s="2759"/>
      <c r="Y398" s="2759"/>
      <c r="Z398" s="1093"/>
      <c r="AA398" s="1094"/>
      <c r="AB398" s="1159" t="s">
        <v>1033</v>
      </c>
      <c r="AC398" s="1098"/>
      <c r="AD398" s="1098"/>
      <c r="AE398" s="1100"/>
      <c r="AF398" s="2802"/>
      <c r="AG398" s="2803"/>
      <c r="AH398" s="2803"/>
      <c r="AI398" s="2802"/>
      <c r="AJ398" s="2803"/>
      <c r="AK398" s="2803"/>
      <c r="AL398" s="1900"/>
      <c r="AM398" s="1738"/>
      <c r="AN398" s="1738"/>
      <c r="AO398" s="1738"/>
      <c r="AP398" s="1738"/>
      <c r="AQ398" s="1738"/>
      <c r="AR398" s="1738"/>
      <c r="AS398" s="1738"/>
      <c r="AT398" s="1738"/>
      <c r="AU398" s="1738"/>
      <c r="AV398" s="1738"/>
      <c r="AW398" s="1738"/>
      <c r="AX398" s="1738"/>
      <c r="AY398" s="1738"/>
      <c r="AZ398" s="1738"/>
      <c r="BA398" s="1738"/>
      <c r="BB398" s="1738"/>
      <c r="BC398" s="1738"/>
      <c r="BD398" s="1738"/>
      <c r="BE398" s="1738"/>
      <c r="BF398" s="1738"/>
      <c r="BG398" s="2010"/>
    </row>
    <row r="399" spans="1:59" ht="11.25" customHeight="1">
      <c r="A399" s="1084" t="s">
        <v>987</v>
      </c>
      <c r="B399" s="1084"/>
      <c r="C399" s="1084"/>
      <c r="D399" s="1078"/>
      <c r="E399" s="1088"/>
      <c r="F399" s="2791"/>
      <c r="G399" s="2798"/>
      <c r="H399" s="2787" t="s">
        <v>88</v>
      </c>
      <c r="I399" s="2799"/>
      <c r="J399" s="2800"/>
      <c r="K399" s="2801"/>
      <c r="L399" s="2524"/>
      <c r="M399" s="2525"/>
      <c r="N399" s="1093"/>
      <c r="O399" s="1094"/>
      <c r="P399" s="1086" t="s">
        <v>1034</v>
      </c>
      <c r="Q399" s="1094"/>
      <c r="R399" s="1094"/>
      <c r="S399" s="1094"/>
      <c r="T399" s="1094"/>
      <c r="U399" s="1094"/>
      <c r="V399" s="1094"/>
      <c r="W399" s="1094"/>
      <c r="X399" s="1094"/>
      <c r="Y399" s="1094"/>
      <c r="Z399" s="1094"/>
      <c r="AA399" s="1094"/>
      <c r="AB399" s="1094"/>
      <c r="AC399" s="1094"/>
      <c r="AD399" s="1094"/>
      <c r="AE399" s="1101"/>
      <c r="AF399" s="2802"/>
      <c r="AG399" s="2803"/>
      <c r="AH399" s="2803"/>
      <c r="AI399" s="2802"/>
      <c r="AJ399" s="2803"/>
      <c r="AK399" s="2803"/>
      <c r="AL399" s="1900"/>
      <c r="AM399" s="1738"/>
      <c r="AN399" s="1738"/>
      <c r="AO399" s="1738"/>
      <c r="AP399" s="1738"/>
      <c r="AQ399" s="1738"/>
      <c r="AR399" s="1738"/>
      <c r="AS399" s="1738"/>
      <c r="AT399" s="1738"/>
      <c r="AU399" s="1738"/>
      <c r="AV399" s="1738"/>
      <c r="AW399" s="1738"/>
      <c r="AX399" s="1738"/>
      <c r="AY399" s="1738"/>
      <c r="AZ399" s="1738"/>
      <c r="BA399" s="1738"/>
      <c r="BB399" s="1738"/>
      <c r="BC399" s="1738"/>
      <c r="BD399" s="1738"/>
      <c r="BE399" s="1738"/>
      <c r="BF399" s="1738"/>
      <c r="BG399" s="2010"/>
    </row>
    <row r="400" spans="1:59" ht="12" customHeight="1">
      <c r="A400" s="1084" t="s">
        <v>987</v>
      </c>
      <c r="B400" s="1084"/>
      <c r="C400" s="1084"/>
      <c r="D400" s="1078"/>
      <c r="E400" s="1088"/>
      <c r="F400" s="2792"/>
      <c r="G400" s="1108"/>
      <c r="H400" s="1108"/>
      <c r="I400" s="2789" t="s">
        <v>1047</v>
      </c>
      <c r="J400" s="2789"/>
      <c r="K400" s="2789"/>
      <c r="L400" s="1091"/>
      <c r="M400" s="1091"/>
      <c r="N400" s="1092"/>
      <c r="O400" s="1092"/>
      <c r="P400" s="1092"/>
      <c r="Q400" s="1092"/>
      <c r="R400" s="1092"/>
      <c r="S400" s="1092"/>
      <c r="T400" s="1092"/>
      <c r="U400" s="1092"/>
      <c r="V400" s="1092"/>
      <c r="W400" s="1092"/>
      <c r="X400" s="1092"/>
      <c r="Y400" s="1092"/>
      <c r="Z400" s="1092"/>
      <c r="AA400" s="1092"/>
      <c r="AB400" s="1092"/>
      <c r="AC400" s="1092"/>
      <c r="AD400" s="1092"/>
      <c r="AE400" s="1092"/>
      <c r="AF400" s="1092"/>
      <c r="AG400" s="1091"/>
      <c r="AH400" s="1091"/>
      <c r="AI400" s="1092"/>
      <c r="AJ400" s="1091"/>
      <c r="AK400" s="1092"/>
      <c r="AL400" s="1900"/>
      <c r="AM400" s="1738"/>
      <c r="AN400" s="1738"/>
      <c r="AO400" s="1738"/>
      <c r="AP400" s="1738"/>
      <c r="AQ400" s="1738"/>
      <c r="AR400" s="1738"/>
      <c r="AS400" s="1738"/>
      <c r="AT400" s="1738"/>
      <c r="AU400" s="1738"/>
      <c r="AV400" s="1738"/>
      <c r="AW400" s="1738"/>
      <c r="AX400" s="1738"/>
      <c r="AY400" s="1738"/>
      <c r="AZ400" s="1738"/>
      <c r="BA400" s="1738"/>
      <c r="BB400" s="1738"/>
      <c r="BC400" s="1738"/>
      <c r="BD400" s="1738"/>
      <c r="BE400" s="1738"/>
      <c r="BF400" s="1738"/>
      <c r="BG400" s="2010"/>
    </row>
    <row r="401" spans="1:59" ht="0.75" customHeight="1">
      <c r="A401" s="1084" t="s">
        <v>987</v>
      </c>
      <c r="B401" s="1084"/>
      <c r="C401" s="1084"/>
      <c r="D401" s="1078"/>
      <c r="E401" s="1088"/>
      <c r="F401" s="2790">
        <v>2027</v>
      </c>
      <c r="G401" s="2787"/>
      <c r="H401" s="2794" t="s">
        <v>367</v>
      </c>
      <c r="I401" s="2795"/>
      <c r="J401" s="2786"/>
      <c r="K401" s="2786"/>
      <c r="L401" s="2788"/>
      <c r="M401" s="2639"/>
      <c r="N401" s="1948"/>
      <c r="O401" s="1947"/>
      <c r="P401" s="1948"/>
      <c r="Q401" s="1948"/>
      <c r="R401" s="1948"/>
      <c r="S401" s="1948"/>
      <c r="T401" s="1948"/>
      <c r="U401" s="1948"/>
      <c r="V401" s="1948"/>
      <c r="W401" s="1948"/>
      <c r="X401" s="1948"/>
      <c r="Y401" s="1948"/>
      <c r="Z401" s="1948"/>
      <c r="AA401" s="1948"/>
      <c r="AB401" s="1948"/>
      <c r="AC401" s="1948"/>
      <c r="AD401" s="1948"/>
      <c r="AE401" s="1948"/>
      <c r="AF401" s="2793"/>
      <c r="AG401" s="2788"/>
      <c r="AH401" s="2788"/>
      <c r="AI401" s="2793"/>
      <c r="AJ401" s="2788"/>
      <c r="AK401" s="2788"/>
      <c r="AL401" s="1900"/>
      <c r="AM401" s="1738"/>
      <c r="AN401" s="1738"/>
      <c r="AO401" s="1738"/>
      <c r="AP401" s="1738"/>
      <c r="AQ401" s="1738"/>
      <c r="AR401" s="1738"/>
      <c r="AS401" s="1738"/>
      <c r="AT401" s="1738"/>
      <c r="AU401" s="1738"/>
      <c r="AV401" s="1738"/>
      <c r="AW401" s="1738"/>
      <c r="AX401" s="1738"/>
      <c r="AY401" s="1738"/>
      <c r="AZ401" s="1738"/>
      <c r="BA401" s="1738"/>
      <c r="BB401" s="1738"/>
      <c r="BC401" s="1738"/>
      <c r="BD401" s="1738"/>
      <c r="BE401" s="1738"/>
      <c r="BF401" s="1738"/>
      <c r="BG401" s="2010"/>
    </row>
    <row r="402" spans="1:59" ht="0.75" customHeight="1">
      <c r="A402" s="1084" t="s">
        <v>987</v>
      </c>
      <c r="B402" s="1084"/>
      <c r="C402" s="1084"/>
      <c r="D402" s="1078"/>
      <c r="E402" s="1088"/>
      <c r="F402" s="2790"/>
      <c r="G402" s="2787"/>
      <c r="H402" s="2794"/>
      <c r="I402" s="2795"/>
      <c r="J402" s="2786"/>
      <c r="K402" s="2786"/>
      <c r="L402" s="2788"/>
      <c r="M402" s="2639"/>
      <c r="N402" s="2796"/>
      <c r="O402" s="2797"/>
      <c r="P402" s="2783"/>
      <c r="Q402" s="2786"/>
      <c r="R402" s="2786"/>
      <c r="S402" s="2786"/>
      <c r="T402" s="2786"/>
      <c r="U402" s="2786"/>
      <c r="V402" s="2786"/>
      <c r="W402" s="2786"/>
      <c r="X402" s="2786"/>
      <c r="Y402" s="2786"/>
      <c r="Z402" s="1949"/>
      <c r="AA402" s="1950"/>
      <c r="AB402" s="1950"/>
      <c r="AC402" s="1951"/>
      <c r="AD402" s="1951"/>
      <c r="AE402" s="1952"/>
      <c r="AF402" s="2793"/>
      <c r="AG402" s="2788"/>
      <c r="AH402" s="2788"/>
      <c r="AI402" s="2793"/>
      <c r="AJ402" s="2788"/>
      <c r="AK402" s="2788"/>
      <c r="AL402" s="1900"/>
      <c r="AM402" s="1738"/>
      <c r="AN402" s="1738"/>
      <c r="AO402" s="1738"/>
      <c r="AP402" s="1738"/>
      <c r="AQ402" s="1738"/>
      <c r="AR402" s="1738"/>
      <c r="AS402" s="1738"/>
      <c r="AT402" s="1738"/>
      <c r="AU402" s="1738"/>
      <c r="AV402" s="1738"/>
      <c r="AW402" s="1738"/>
      <c r="AX402" s="1738"/>
      <c r="AY402" s="1738"/>
      <c r="AZ402" s="1738"/>
      <c r="BA402" s="1738"/>
      <c r="BB402" s="1738"/>
      <c r="BC402" s="1738"/>
      <c r="BD402" s="1738"/>
      <c r="BE402" s="1738"/>
      <c r="BF402" s="1738"/>
      <c r="BG402" s="2010"/>
    </row>
    <row r="403" spans="1:59" ht="0.75" customHeight="1">
      <c r="A403" s="1084" t="s">
        <v>987</v>
      </c>
      <c r="B403" s="1084"/>
      <c r="C403" s="1084"/>
      <c r="D403" s="1078"/>
      <c r="E403" s="1088"/>
      <c r="F403" s="2790"/>
      <c r="G403" s="2787"/>
      <c r="H403" s="2794"/>
      <c r="I403" s="2795"/>
      <c r="J403" s="2786"/>
      <c r="K403" s="2786"/>
      <c r="L403" s="2788"/>
      <c r="M403" s="2639"/>
      <c r="N403" s="2796"/>
      <c r="O403" s="2797"/>
      <c r="P403" s="2784"/>
      <c r="Q403" s="2786"/>
      <c r="R403" s="2786"/>
      <c r="S403" s="2786"/>
      <c r="T403" s="2786"/>
      <c r="U403" s="2786"/>
      <c r="V403" s="2786"/>
      <c r="W403" s="2786"/>
      <c r="X403" s="2786"/>
      <c r="Y403" s="2786"/>
      <c r="Z403" s="1953"/>
      <c r="AA403" s="1954"/>
      <c r="AB403" s="1955"/>
      <c r="AC403" s="1956"/>
      <c r="AD403" s="1955"/>
      <c r="AE403" s="1956"/>
      <c r="AF403" s="2793"/>
      <c r="AG403" s="2788"/>
      <c r="AH403" s="2788"/>
      <c r="AI403" s="2793"/>
      <c r="AJ403" s="2788"/>
      <c r="AK403" s="2788"/>
      <c r="AL403" s="1900"/>
      <c r="AM403" s="1738"/>
      <c r="AN403" s="1738"/>
      <c r="AO403" s="1738"/>
      <c r="AP403" s="1738"/>
      <c r="AQ403" s="1738"/>
      <c r="AR403" s="1738"/>
      <c r="AS403" s="1738"/>
      <c r="AT403" s="1738"/>
      <c r="AU403" s="1738"/>
      <c r="AV403" s="1738"/>
      <c r="AW403" s="1738"/>
      <c r="AX403" s="1738"/>
      <c r="AY403" s="1738"/>
      <c r="AZ403" s="1738"/>
      <c r="BA403" s="1738"/>
      <c r="BB403" s="1738"/>
      <c r="BC403" s="1738"/>
      <c r="BD403" s="1738"/>
      <c r="BE403" s="1738"/>
      <c r="BF403" s="1738"/>
      <c r="BG403" s="2010"/>
    </row>
    <row r="404" spans="1:59" ht="0.75" customHeight="1">
      <c r="A404" s="1084" t="s">
        <v>987</v>
      </c>
      <c r="B404" s="1084"/>
      <c r="C404" s="1084"/>
      <c r="D404" s="1078"/>
      <c r="E404" s="1088"/>
      <c r="F404" s="2790"/>
      <c r="G404" s="2787"/>
      <c r="H404" s="2794"/>
      <c r="I404" s="2795"/>
      <c r="J404" s="2786"/>
      <c r="K404" s="2786"/>
      <c r="L404" s="2788"/>
      <c r="M404" s="2639"/>
      <c r="N404" s="2796"/>
      <c r="O404" s="2797"/>
      <c r="P404" s="2785"/>
      <c r="Q404" s="2786"/>
      <c r="R404" s="2786"/>
      <c r="S404" s="2786"/>
      <c r="T404" s="2786"/>
      <c r="U404" s="2786"/>
      <c r="V404" s="2786"/>
      <c r="W404" s="2786"/>
      <c r="X404" s="2786"/>
      <c r="Y404" s="2786"/>
      <c r="Z404" s="1949"/>
      <c r="AA404" s="1950"/>
      <c r="AB404" s="1957"/>
      <c r="AC404" s="1951"/>
      <c r="AD404" s="1951"/>
      <c r="AE404" s="1958"/>
      <c r="AF404" s="2793"/>
      <c r="AG404" s="2788"/>
      <c r="AH404" s="2788"/>
      <c r="AI404" s="2793"/>
      <c r="AJ404" s="2788"/>
      <c r="AK404" s="2788"/>
      <c r="AL404" s="1900"/>
      <c r="AM404" s="1738"/>
      <c r="AN404" s="1738"/>
      <c r="AO404" s="1738"/>
      <c r="AP404" s="1738"/>
      <c r="AQ404" s="1738"/>
      <c r="AR404" s="1738"/>
      <c r="AS404" s="1738"/>
      <c r="AT404" s="1738"/>
      <c r="AU404" s="1738"/>
      <c r="AV404" s="1738"/>
      <c r="AW404" s="1738"/>
      <c r="AX404" s="1738"/>
      <c r="AY404" s="1738"/>
      <c r="AZ404" s="1738"/>
      <c r="BA404" s="1738"/>
      <c r="BB404" s="1738"/>
      <c r="BC404" s="1738"/>
      <c r="BD404" s="1738"/>
      <c r="BE404" s="1738"/>
      <c r="BF404" s="1738"/>
      <c r="BG404" s="2010"/>
    </row>
    <row r="405" spans="1:59" ht="0.75" customHeight="1">
      <c r="A405" s="1084" t="s">
        <v>987</v>
      </c>
      <c r="B405" s="1084"/>
      <c r="C405" s="1084"/>
      <c r="D405" s="1078"/>
      <c r="E405" s="1088"/>
      <c r="F405" s="2790"/>
      <c r="G405" s="2787"/>
      <c r="H405" s="2794"/>
      <c r="I405" s="2795"/>
      <c r="J405" s="2786"/>
      <c r="K405" s="2786"/>
      <c r="L405" s="2788"/>
      <c r="M405" s="2639"/>
      <c r="N405" s="1950"/>
      <c r="O405" s="1950"/>
      <c r="P405" s="1957"/>
      <c r="Q405" s="1950"/>
      <c r="R405" s="1950"/>
      <c r="S405" s="1950"/>
      <c r="T405" s="1950"/>
      <c r="U405" s="1950"/>
      <c r="V405" s="1950"/>
      <c r="W405" s="1950"/>
      <c r="X405" s="1950"/>
      <c r="Y405" s="1950"/>
      <c r="Z405" s="1950"/>
      <c r="AA405" s="1950"/>
      <c r="AB405" s="1950"/>
      <c r="AC405" s="1950"/>
      <c r="AD405" s="1950"/>
      <c r="AE405" s="1959"/>
      <c r="AF405" s="2793"/>
      <c r="AG405" s="2788"/>
      <c r="AH405" s="2788"/>
      <c r="AI405" s="2793"/>
      <c r="AJ405" s="2788"/>
      <c r="AK405" s="2788"/>
      <c r="AL405" s="1900"/>
      <c r="AM405" s="1738"/>
      <c r="AN405" s="1738"/>
      <c r="AO405" s="1738"/>
      <c r="AP405" s="1738"/>
      <c r="AQ405" s="1738"/>
      <c r="AR405" s="1738"/>
      <c r="AS405" s="1738"/>
      <c r="AT405" s="1738"/>
      <c r="AU405" s="1738"/>
      <c r="AV405" s="1738"/>
      <c r="AW405" s="1738"/>
      <c r="AX405" s="1738"/>
      <c r="AY405" s="1738"/>
      <c r="AZ405" s="1738"/>
      <c r="BA405" s="1738"/>
      <c r="BB405" s="1738"/>
      <c r="BC405" s="1738"/>
      <c r="BD405" s="1738"/>
      <c r="BE405" s="1738"/>
      <c r="BF405" s="1738"/>
      <c r="BG405" s="2010"/>
    </row>
    <row r="406" spans="1:59" ht="11.25" customHeight="1">
      <c r="A406" s="1084" t="s">
        <v>987</v>
      </c>
      <c r="B406" s="1084" t="s">
        <v>1018</v>
      </c>
      <c r="C406" s="1084"/>
      <c r="D406" s="1078"/>
      <c r="E406" s="1088"/>
      <c r="F406" s="2791"/>
      <c r="G406" s="2776" t="s">
        <v>680</v>
      </c>
      <c r="H406" s="2787" t="s">
        <v>102</v>
      </c>
      <c r="I406" s="2799" t="s">
        <v>1019</v>
      </c>
      <c r="J406" s="2800" t="s">
        <v>1035</v>
      </c>
      <c r="K406" s="2801" t="s">
        <v>1059</v>
      </c>
      <c r="L406" s="2524" t="s">
        <v>19</v>
      </c>
      <c r="M406" s="2525"/>
      <c r="N406" s="1898"/>
      <c r="O406" s="1095" t="s">
        <v>367</v>
      </c>
      <c r="P406" s="1096"/>
      <c r="Q406" s="1096"/>
      <c r="R406" s="1096"/>
      <c r="S406" s="1096"/>
      <c r="T406" s="1096"/>
      <c r="U406" s="1096"/>
      <c r="V406" s="1096"/>
      <c r="W406" s="1096"/>
      <c r="X406" s="1096"/>
      <c r="Y406" s="1096"/>
      <c r="Z406" s="1096"/>
      <c r="AA406" s="1096"/>
      <c r="AB406" s="1096"/>
      <c r="AC406" s="1096"/>
      <c r="AD406" s="1096"/>
      <c r="AE406" s="1096"/>
      <c r="AF406" s="2802">
        <v>1</v>
      </c>
      <c r="AG406" s="2803" t="s">
        <v>1022</v>
      </c>
      <c r="AH406" s="2803" t="s">
        <v>1060</v>
      </c>
      <c r="AI406" s="2802"/>
      <c r="AJ406" s="2803"/>
      <c r="AK406" s="2803"/>
      <c r="AL406" s="1900"/>
      <c r="AM406" s="1738"/>
      <c r="AN406" s="1738"/>
      <c r="AO406" s="1738"/>
      <c r="AP406" s="1738"/>
      <c r="AQ406" s="1738"/>
      <c r="AR406" s="1738"/>
      <c r="AS406" s="1738"/>
      <c r="AT406" s="1738"/>
      <c r="AU406" s="1738"/>
      <c r="AV406" s="1738"/>
      <c r="AW406" s="1738"/>
      <c r="AX406" s="1738"/>
      <c r="AY406" s="1738"/>
      <c r="AZ406" s="1738"/>
      <c r="BA406" s="1738"/>
      <c r="BB406" s="1738"/>
      <c r="BC406" s="1738"/>
      <c r="BD406" s="1738"/>
      <c r="BE406" s="1738"/>
      <c r="BF406" s="1738"/>
      <c r="BG406" s="2010"/>
    </row>
    <row r="407" spans="1:59" ht="11.25" customHeight="1">
      <c r="A407" s="1084" t="s">
        <v>987</v>
      </c>
      <c r="B407" s="1084"/>
      <c r="C407" s="1084"/>
      <c r="D407" s="1078"/>
      <c r="E407" s="1088"/>
      <c r="F407" s="2791"/>
      <c r="G407" s="2798"/>
      <c r="H407" s="2787" t="s">
        <v>102</v>
      </c>
      <c r="I407" s="2799"/>
      <c r="J407" s="2800"/>
      <c r="K407" s="2801"/>
      <c r="L407" s="2524"/>
      <c r="M407" s="2525"/>
      <c r="N407" s="2804"/>
      <c r="O407" s="2805">
        <v>1</v>
      </c>
      <c r="P407" s="2806" t="s">
        <v>65</v>
      </c>
      <c r="Q407" s="2800" t="s">
        <v>1024</v>
      </c>
      <c r="R407" s="2809" t="s">
        <v>1061</v>
      </c>
      <c r="S407" s="2809" t="s">
        <v>1062</v>
      </c>
      <c r="T407" s="2809" t="s">
        <v>1062</v>
      </c>
      <c r="U407" s="2809" t="s">
        <v>1063</v>
      </c>
      <c r="V407" s="2809" t="s">
        <v>1064</v>
      </c>
      <c r="W407" s="2809" t="s">
        <v>1065</v>
      </c>
      <c r="X407" s="2809" t="s">
        <v>1030</v>
      </c>
      <c r="Y407" s="2809" t="s">
        <v>1031</v>
      </c>
      <c r="Z407" s="1093"/>
      <c r="AA407" s="1094"/>
      <c r="AB407" s="1094"/>
      <c r="AC407" s="1098"/>
      <c r="AD407" s="1098"/>
      <c r="AE407" s="1099"/>
      <c r="AF407" s="2802"/>
      <c r="AG407" s="2803"/>
      <c r="AH407" s="2803"/>
      <c r="AI407" s="2802"/>
      <c r="AJ407" s="2803"/>
      <c r="AK407" s="2803"/>
      <c r="AL407" s="1900"/>
      <c r="AM407" s="1738"/>
      <c r="AN407" s="1738"/>
      <c r="AO407" s="1738"/>
      <c r="AP407" s="1738"/>
      <c r="AQ407" s="1738"/>
      <c r="AR407" s="1738"/>
      <c r="AS407" s="1738"/>
      <c r="AT407" s="1738"/>
      <c r="AU407" s="1738"/>
      <c r="AV407" s="1738"/>
      <c r="AW407" s="1738"/>
      <c r="AX407" s="1738"/>
      <c r="AY407" s="1738"/>
      <c r="AZ407" s="1738"/>
      <c r="BA407" s="1738"/>
      <c r="BB407" s="1738"/>
      <c r="BC407" s="1738"/>
      <c r="BD407" s="1738"/>
      <c r="BE407" s="1738"/>
      <c r="BF407" s="1738"/>
      <c r="BG407" s="2010"/>
    </row>
    <row r="408" spans="1:59" ht="11.25" customHeight="1">
      <c r="A408" s="1084" t="s">
        <v>987</v>
      </c>
      <c r="B408" s="1084"/>
      <c r="C408" s="1084"/>
      <c r="D408" s="1078"/>
      <c r="E408" s="1088"/>
      <c r="F408" s="2791"/>
      <c r="G408" s="2798"/>
      <c r="H408" s="2787" t="s">
        <v>102</v>
      </c>
      <c r="I408" s="2799"/>
      <c r="J408" s="2800"/>
      <c r="K408" s="2801"/>
      <c r="L408" s="2524"/>
      <c r="M408" s="2525"/>
      <c r="N408" s="2804"/>
      <c r="O408" s="2805"/>
      <c r="P408" s="2807"/>
      <c r="Q408" s="2800"/>
      <c r="R408" s="2759"/>
      <c r="S408" s="2809"/>
      <c r="T408" s="2759"/>
      <c r="U408" s="2759"/>
      <c r="V408" s="2759"/>
      <c r="W408" s="2759"/>
      <c r="X408" s="2759"/>
      <c r="Y408" s="2759"/>
      <c r="Z408" s="1743"/>
      <c r="AA408" s="1711">
        <v>1</v>
      </c>
      <c r="AB408" s="1097" t="s">
        <v>1032</v>
      </c>
      <c r="AC408" s="1087">
        <v>7895.7714299999998</v>
      </c>
      <c r="AD408" s="1097" t="str">
        <f>AB408</f>
        <v xml:space="preserve">      Амортизационные отчисления с выделением результатов переоценки основных средств и нематериальных активов</v>
      </c>
      <c r="AE408" s="1087"/>
      <c r="AF408" s="2802"/>
      <c r="AG408" s="2803"/>
      <c r="AH408" s="2803"/>
      <c r="AI408" s="2802"/>
      <c r="AJ408" s="2803"/>
      <c r="AK408" s="2803"/>
      <c r="AL408" s="1900"/>
      <c r="AM408" s="1738"/>
      <c r="AN408" s="1738"/>
      <c r="AO408" s="1738"/>
      <c r="AP408" s="1738"/>
      <c r="AQ408" s="1738"/>
      <c r="AR408" s="1738"/>
      <c r="AS408" s="1738"/>
      <c r="AT408" s="1738"/>
      <c r="AU408" s="1738"/>
      <c r="AV408" s="1738"/>
      <c r="AW408" s="1738"/>
      <c r="AX408" s="1738"/>
      <c r="AY408" s="1738"/>
      <c r="AZ408" s="1738"/>
      <c r="BA408" s="1738"/>
      <c r="BB408" s="1738"/>
      <c r="BC408" s="1738"/>
      <c r="BD408" s="1738"/>
      <c r="BE408" s="1738"/>
      <c r="BF408" s="1738"/>
      <c r="BG408" s="2010"/>
    </row>
    <row r="409" spans="1:59" ht="11.25" customHeight="1">
      <c r="A409" s="1084" t="s">
        <v>987</v>
      </c>
      <c r="B409" s="1084"/>
      <c r="C409" s="1084"/>
      <c r="D409" s="1078"/>
      <c r="E409" s="1088"/>
      <c r="F409" s="2791"/>
      <c r="G409" s="2798"/>
      <c r="H409" s="2787" t="s">
        <v>102</v>
      </c>
      <c r="I409" s="2799"/>
      <c r="J409" s="2800"/>
      <c r="K409" s="2801"/>
      <c r="L409" s="2524"/>
      <c r="M409" s="2525"/>
      <c r="N409" s="2804"/>
      <c r="O409" s="2805"/>
      <c r="P409" s="2808"/>
      <c r="Q409" s="2800"/>
      <c r="R409" s="2759"/>
      <c r="S409" s="2809"/>
      <c r="T409" s="2759"/>
      <c r="U409" s="2759"/>
      <c r="V409" s="2759"/>
      <c r="W409" s="2759"/>
      <c r="X409" s="2759"/>
      <c r="Y409" s="2759"/>
      <c r="Z409" s="1093"/>
      <c r="AA409" s="1094"/>
      <c r="AB409" s="1159" t="s">
        <v>1033</v>
      </c>
      <c r="AC409" s="1098"/>
      <c r="AD409" s="1098"/>
      <c r="AE409" s="1100"/>
      <c r="AF409" s="2802"/>
      <c r="AG409" s="2803"/>
      <c r="AH409" s="2803"/>
      <c r="AI409" s="2802"/>
      <c r="AJ409" s="2803"/>
      <c r="AK409" s="2803"/>
      <c r="AL409" s="1900"/>
      <c r="AM409" s="1738"/>
      <c r="AN409" s="1738"/>
      <c r="AO409" s="1738"/>
      <c r="AP409" s="1738"/>
      <c r="AQ409" s="1738"/>
      <c r="AR409" s="1738"/>
      <c r="AS409" s="1738"/>
      <c r="AT409" s="1738"/>
      <c r="AU409" s="1738"/>
      <c r="AV409" s="1738"/>
      <c r="AW409" s="1738"/>
      <c r="AX409" s="1738"/>
      <c r="AY409" s="1738"/>
      <c r="AZ409" s="1738"/>
      <c r="BA409" s="1738"/>
      <c r="BB409" s="1738"/>
      <c r="BC409" s="1738"/>
      <c r="BD409" s="1738"/>
      <c r="BE409" s="1738"/>
      <c r="BF409" s="1738"/>
      <c r="BG409" s="2010"/>
    </row>
    <row r="410" spans="1:59" ht="11.25" customHeight="1">
      <c r="A410" s="1084" t="s">
        <v>987</v>
      </c>
      <c r="B410" s="1084"/>
      <c r="C410" s="1084"/>
      <c r="D410" s="1078"/>
      <c r="E410" s="1088"/>
      <c r="F410" s="2791"/>
      <c r="G410" s="2798"/>
      <c r="H410" s="2787" t="s">
        <v>102</v>
      </c>
      <c r="I410" s="2799"/>
      <c r="J410" s="2800"/>
      <c r="K410" s="2801"/>
      <c r="L410" s="2524"/>
      <c r="M410" s="2525"/>
      <c r="N410" s="1093"/>
      <c r="O410" s="1094"/>
      <c r="P410" s="1086" t="s">
        <v>1034</v>
      </c>
      <c r="Q410" s="1094"/>
      <c r="R410" s="1094"/>
      <c r="S410" s="1094"/>
      <c r="T410" s="1094"/>
      <c r="U410" s="1094"/>
      <c r="V410" s="1094"/>
      <c r="W410" s="1094"/>
      <c r="X410" s="1094"/>
      <c r="Y410" s="1094"/>
      <c r="Z410" s="1094"/>
      <c r="AA410" s="1094"/>
      <c r="AB410" s="1094"/>
      <c r="AC410" s="1094"/>
      <c r="AD410" s="1094"/>
      <c r="AE410" s="1101"/>
      <c r="AF410" s="2802"/>
      <c r="AG410" s="2803"/>
      <c r="AH410" s="2803"/>
      <c r="AI410" s="2802"/>
      <c r="AJ410" s="2803"/>
      <c r="AK410" s="2803"/>
      <c r="AL410" s="1900"/>
      <c r="AM410" s="1738"/>
      <c r="AN410" s="1738"/>
      <c r="AO410" s="1738"/>
      <c r="AP410" s="1738"/>
      <c r="AQ410" s="1738"/>
      <c r="AR410" s="1738"/>
      <c r="AS410" s="1738"/>
      <c r="AT410" s="1738"/>
      <c r="AU410" s="1738"/>
      <c r="AV410" s="1738"/>
      <c r="AW410" s="1738"/>
      <c r="AX410" s="1738"/>
      <c r="AY410" s="1738"/>
      <c r="AZ410" s="1738"/>
      <c r="BA410" s="1738"/>
      <c r="BB410" s="1738"/>
      <c r="BC410" s="1738"/>
      <c r="BD410" s="1738"/>
      <c r="BE410" s="1738"/>
      <c r="BF410" s="1738"/>
      <c r="BG410" s="2010"/>
    </row>
    <row r="411" spans="1:59" ht="11.25" customHeight="1">
      <c r="A411" s="1084" t="s">
        <v>987</v>
      </c>
      <c r="B411" s="1084" t="s">
        <v>1018</v>
      </c>
      <c r="C411" s="1084"/>
      <c r="D411" s="1078"/>
      <c r="E411" s="1088"/>
      <c r="F411" s="2791"/>
      <c r="G411" s="2776" t="s">
        <v>680</v>
      </c>
      <c r="H411" s="2787" t="s">
        <v>103</v>
      </c>
      <c r="I411" s="2799" t="s">
        <v>1019</v>
      </c>
      <c r="J411" s="2800" t="s">
        <v>1035</v>
      </c>
      <c r="K411" s="2801" t="s">
        <v>1048</v>
      </c>
      <c r="L411" s="2524" t="s">
        <v>19</v>
      </c>
      <c r="M411" s="2525"/>
      <c r="N411" s="1898"/>
      <c r="O411" s="1095" t="s">
        <v>367</v>
      </c>
      <c r="P411" s="1096"/>
      <c r="Q411" s="1096"/>
      <c r="R411" s="1096"/>
      <c r="S411" s="1096"/>
      <c r="T411" s="1096"/>
      <c r="U411" s="1096"/>
      <c r="V411" s="1096"/>
      <c r="W411" s="1096"/>
      <c r="X411" s="1096"/>
      <c r="Y411" s="1096"/>
      <c r="Z411" s="1096"/>
      <c r="AA411" s="1096"/>
      <c r="AB411" s="1096"/>
      <c r="AC411" s="1096"/>
      <c r="AD411" s="1096"/>
      <c r="AE411" s="1096"/>
      <c r="AF411" s="2802">
        <v>4</v>
      </c>
      <c r="AG411" s="2803" t="s">
        <v>1022</v>
      </c>
      <c r="AH411" s="2803" t="s">
        <v>1023</v>
      </c>
      <c r="AI411" s="2802"/>
      <c r="AJ411" s="2803"/>
      <c r="AK411" s="2803"/>
      <c r="AL411" s="1900"/>
      <c r="AM411" s="1738"/>
      <c r="AN411" s="1738"/>
      <c r="AO411" s="1738"/>
      <c r="AP411" s="1738"/>
      <c r="AQ411" s="1738"/>
      <c r="AR411" s="1738"/>
      <c r="AS411" s="1738"/>
      <c r="AT411" s="1738"/>
      <c r="AU411" s="1738"/>
      <c r="AV411" s="1738"/>
      <c r="AW411" s="1738"/>
      <c r="AX411" s="1738"/>
      <c r="AY411" s="1738"/>
      <c r="AZ411" s="1738"/>
      <c r="BA411" s="1738"/>
      <c r="BB411" s="1738"/>
      <c r="BC411" s="1738"/>
      <c r="BD411" s="1738"/>
      <c r="BE411" s="1738"/>
      <c r="BF411" s="1738"/>
      <c r="BG411" s="2010"/>
    </row>
    <row r="412" spans="1:59" ht="11.25" customHeight="1">
      <c r="A412" s="1084" t="s">
        <v>987</v>
      </c>
      <c r="B412" s="1084"/>
      <c r="C412" s="1084"/>
      <c r="D412" s="1078"/>
      <c r="E412" s="1088"/>
      <c r="F412" s="2791"/>
      <c r="G412" s="2798"/>
      <c r="H412" s="2787" t="s">
        <v>103</v>
      </c>
      <c r="I412" s="2799"/>
      <c r="J412" s="2800"/>
      <c r="K412" s="2801"/>
      <c r="L412" s="2524"/>
      <c r="M412" s="2525"/>
      <c r="N412" s="2804"/>
      <c r="O412" s="2805">
        <v>1</v>
      </c>
      <c r="P412" s="2806" t="s">
        <v>65</v>
      </c>
      <c r="Q412" s="2800" t="s">
        <v>1024</v>
      </c>
      <c r="R412" s="2809" t="s">
        <v>1061</v>
      </c>
      <c r="S412" s="2809" t="s">
        <v>1062</v>
      </c>
      <c r="T412" s="2809" t="s">
        <v>1062</v>
      </c>
      <c r="U412" s="2809" t="s">
        <v>1063</v>
      </c>
      <c r="V412" s="2809" t="s">
        <v>1064</v>
      </c>
      <c r="W412" s="2809" t="s">
        <v>1065</v>
      </c>
      <c r="X412" s="2809" t="s">
        <v>1030</v>
      </c>
      <c r="Y412" s="2809" t="s">
        <v>1031</v>
      </c>
      <c r="Z412" s="1093"/>
      <c r="AA412" s="1094"/>
      <c r="AB412" s="1094"/>
      <c r="AC412" s="1098"/>
      <c r="AD412" s="1098"/>
      <c r="AE412" s="1099"/>
      <c r="AF412" s="2802"/>
      <c r="AG412" s="2803"/>
      <c r="AH412" s="2803"/>
      <c r="AI412" s="2802"/>
      <c r="AJ412" s="2803"/>
      <c r="AK412" s="2803"/>
      <c r="AL412" s="1900"/>
      <c r="AM412" s="1738"/>
      <c r="AN412" s="1738"/>
      <c r="AO412" s="1738"/>
      <c r="AP412" s="1738"/>
      <c r="AQ412" s="1738"/>
      <c r="AR412" s="1738"/>
      <c r="AS412" s="1738"/>
      <c r="AT412" s="1738"/>
      <c r="AU412" s="1738"/>
      <c r="AV412" s="1738"/>
      <c r="AW412" s="1738"/>
      <c r="AX412" s="1738"/>
      <c r="AY412" s="1738"/>
      <c r="AZ412" s="1738"/>
      <c r="BA412" s="1738"/>
      <c r="BB412" s="1738"/>
      <c r="BC412" s="1738"/>
      <c r="BD412" s="1738"/>
      <c r="BE412" s="1738"/>
      <c r="BF412" s="1738"/>
      <c r="BG412" s="2010"/>
    </row>
    <row r="413" spans="1:59" ht="11.25" customHeight="1">
      <c r="A413" s="1084" t="s">
        <v>987</v>
      </c>
      <c r="B413" s="1084"/>
      <c r="C413" s="1084"/>
      <c r="D413" s="1078"/>
      <c r="E413" s="1088"/>
      <c r="F413" s="2791"/>
      <c r="G413" s="2798"/>
      <c r="H413" s="2787" t="s">
        <v>103</v>
      </c>
      <c r="I413" s="2799"/>
      <c r="J413" s="2800"/>
      <c r="K413" s="2801"/>
      <c r="L413" s="2524"/>
      <c r="M413" s="2525"/>
      <c r="N413" s="2804"/>
      <c r="O413" s="2805"/>
      <c r="P413" s="2807"/>
      <c r="Q413" s="2800"/>
      <c r="R413" s="2759"/>
      <c r="S413" s="2809"/>
      <c r="T413" s="2759"/>
      <c r="U413" s="2759"/>
      <c r="V413" s="2759"/>
      <c r="W413" s="2759"/>
      <c r="X413" s="2759"/>
      <c r="Y413" s="2759"/>
      <c r="Z413" s="1743"/>
      <c r="AA413" s="1711">
        <v>1</v>
      </c>
      <c r="AB413" s="1097" t="s">
        <v>1032</v>
      </c>
      <c r="AC413" s="1087">
        <v>6910.0633200000002</v>
      </c>
      <c r="AD413" s="1097" t="str">
        <f>AB413</f>
        <v xml:space="preserve">      Амортизационные отчисления с выделением результатов переоценки основных средств и нематериальных активов</v>
      </c>
      <c r="AE413" s="1087"/>
      <c r="AF413" s="2802"/>
      <c r="AG413" s="2803"/>
      <c r="AH413" s="2803"/>
      <c r="AI413" s="2802"/>
      <c r="AJ413" s="2803"/>
      <c r="AK413" s="2803"/>
      <c r="AL413" s="1900"/>
      <c r="AM413" s="1738"/>
      <c r="AN413" s="1738"/>
      <c r="AO413" s="1738"/>
      <c r="AP413" s="1738"/>
      <c r="AQ413" s="1738"/>
      <c r="AR413" s="1738"/>
      <c r="AS413" s="1738"/>
      <c r="AT413" s="1738"/>
      <c r="AU413" s="1738"/>
      <c r="AV413" s="1738"/>
      <c r="AW413" s="1738"/>
      <c r="AX413" s="1738"/>
      <c r="AY413" s="1738"/>
      <c r="AZ413" s="1738"/>
      <c r="BA413" s="1738"/>
      <c r="BB413" s="1738"/>
      <c r="BC413" s="1738"/>
      <c r="BD413" s="1738"/>
      <c r="BE413" s="1738"/>
      <c r="BF413" s="1738"/>
      <c r="BG413" s="2010"/>
    </row>
    <row r="414" spans="1:59" ht="11.25" customHeight="1">
      <c r="A414" s="1084" t="s">
        <v>987</v>
      </c>
      <c r="B414" s="1084"/>
      <c r="C414" s="1084"/>
      <c r="D414" s="1078"/>
      <c r="E414" s="1088"/>
      <c r="F414" s="2791"/>
      <c r="G414" s="2798"/>
      <c r="H414" s="2787" t="s">
        <v>103</v>
      </c>
      <c r="I414" s="2799"/>
      <c r="J414" s="2800"/>
      <c r="K414" s="2801"/>
      <c r="L414" s="2524"/>
      <c r="M414" s="2525"/>
      <c r="N414" s="2804"/>
      <c r="O414" s="2805"/>
      <c r="P414" s="2808"/>
      <c r="Q414" s="2800"/>
      <c r="R414" s="2759"/>
      <c r="S414" s="2809"/>
      <c r="T414" s="2759"/>
      <c r="U414" s="2759"/>
      <c r="V414" s="2759"/>
      <c r="W414" s="2759"/>
      <c r="X414" s="2759"/>
      <c r="Y414" s="2759"/>
      <c r="Z414" s="1093"/>
      <c r="AA414" s="1094"/>
      <c r="AB414" s="1159" t="s">
        <v>1033</v>
      </c>
      <c r="AC414" s="1098"/>
      <c r="AD414" s="1098"/>
      <c r="AE414" s="1100"/>
      <c r="AF414" s="2802"/>
      <c r="AG414" s="2803"/>
      <c r="AH414" s="2803"/>
      <c r="AI414" s="2802"/>
      <c r="AJ414" s="2803"/>
      <c r="AK414" s="2803"/>
      <c r="AL414" s="1900"/>
      <c r="AM414" s="1738"/>
      <c r="AN414" s="1738"/>
      <c r="AO414" s="1738"/>
      <c r="AP414" s="1738"/>
      <c r="AQ414" s="1738"/>
      <c r="AR414" s="1738"/>
      <c r="AS414" s="1738"/>
      <c r="AT414" s="1738"/>
      <c r="AU414" s="1738"/>
      <c r="AV414" s="1738"/>
      <c r="AW414" s="1738"/>
      <c r="AX414" s="1738"/>
      <c r="AY414" s="1738"/>
      <c r="AZ414" s="1738"/>
      <c r="BA414" s="1738"/>
      <c r="BB414" s="1738"/>
      <c r="BC414" s="1738"/>
      <c r="BD414" s="1738"/>
      <c r="BE414" s="1738"/>
      <c r="BF414" s="1738"/>
      <c r="BG414" s="2010"/>
    </row>
    <row r="415" spans="1:59" ht="11.25" customHeight="1">
      <c r="A415" s="1084" t="s">
        <v>987</v>
      </c>
      <c r="B415" s="1084"/>
      <c r="C415" s="1084"/>
      <c r="D415" s="1078"/>
      <c r="E415" s="1088"/>
      <c r="F415" s="2791"/>
      <c r="G415" s="2798"/>
      <c r="H415" s="2787" t="s">
        <v>103</v>
      </c>
      <c r="I415" s="2799"/>
      <c r="J415" s="2800"/>
      <c r="K415" s="2801"/>
      <c r="L415" s="2524"/>
      <c r="M415" s="2525"/>
      <c r="N415" s="1093"/>
      <c r="O415" s="1094"/>
      <c r="P415" s="1086" t="s">
        <v>1034</v>
      </c>
      <c r="Q415" s="1094"/>
      <c r="R415" s="1094"/>
      <c r="S415" s="1094"/>
      <c r="T415" s="1094"/>
      <c r="U415" s="1094"/>
      <c r="V415" s="1094"/>
      <c r="W415" s="1094"/>
      <c r="X415" s="1094"/>
      <c r="Y415" s="1094"/>
      <c r="Z415" s="1094"/>
      <c r="AA415" s="1094"/>
      <c r="AB415" s="1094"/>
      <c r="AC415" s="1094"/>
      <c r="AD415" s="1094"/>
      <c r="AE415" s="1101"/>
      <c r="AF415" s="2802"/>
      <c r="AG415" s="2803"/>
      <c r="AH415" s="2803"/>
      <c r="AI415" s="2802"/>
      <c r="AJ415" s="2803"/>
      <c r="AK415" s="2803"/>
      <c r="AL415" s="1900"/>
      <c r="AM415" s="1738"/>
      <c r="AN415" s="1738"/>
      <c r="AO415" s="1738"/>
      <c r="AP415" s="1738"/>
      <c r="AQ415" s="1738"/>
      <c r="AR415" s="1738"/>
      <c r="AS415" s="1738"/>
      <c r="AT415" s="1738"/>
      <c r="AU415" s="1738"/>
      <c r="AV415" s="1738"/>
      <c r="AW415" s="1738"/>
      <c r="AX415" s="1738"/>
      <c r="AY415" s="1738"/>
      <c r="AZ415" s="1738"/>
      <c r="BA415" s="1738"/>
      <c r="BB415" s="1738"/>
      <c r="BC415" s="1738"/>
      <c r="BD415" s="1738"/>
      <c r="BE415" s="1738"/>
      <c r="BF415" s="1738"/>
      <c r="BG415" s="2010"/>
    </row>
    <row r="416" spans="1:59" ht="11.25" customHeight="1">
      <c r="A416" s="1084" t="s">
        <v>987</v>
      </c>
      <c r="B416" s="1084" t="s">
        <v>1018</v>
      </c>
      <c r="C416" s="1084"/>
      <c r="D416" s="1078"/>
      <c r="E416" s="1088"/>
      <c r="F416" s="2791"/>
      <c r="G416" s="2776" t="s">
        <v>680</v>
      </c>
      <c r="H416" s="2787" t="s">
        <v>86</v>
      </c>
      <c r="I416" s="2799" t="s">
        <v>1019</v>
      </c>
      <c r="J416" s="2800" t="s">
        <v>1035</v>
      </c>
      <c r="K416" s="2801" t="s">
        <v>1052</v>
      </c>
      <c r="L416" s="2524" t="s">
        <v>19</v>
      </c>
      <c r="M416" s="2525"/>
      <c r="N416" s="1898"/>
      <c r="O416" s="1095" t="s">
        <v>367</v>
      </c>
      <c r="P416" s="1096"/>
      <c r="Q416" s="1096"/>
      <c r="R416" s="1096"/>
      <c r="S416" s="1096"/>
      <c r="T416" s="1096"/>
      <c r="U416" s="1096"/>
      <c r="V416" s="1096"/>
      <c r="W416" s="1096"/>
      <c r="X416" s="1096"/>
      <c r="Y416" s="1096"/>
      <c r="Z416" s="1096"/>
      <c r="AA416" s="1096"/>
      <c r="AB416" s="1096"/>
      <c r="AC416" s="1096"/>
      <c r="AD416" s="1096"/>
      <c r="AE416" s="1096"/>
      <c r="AF416" s="2802">
        <v>5</v>
      </c>
      <c r="AG416" s="2803" t="s">
        <v>1022</v>
      </c>
      <c r="AH416" s="2803" t="s">
        <v>1045</v>
      </c>
      <c r="AI416" s="2802"/>
      <c r="AJ416" s="2803"/>
      <c r="AK416" s="2803"/>
      <c r="AL416" s="1900"/>
      <c r="AM416" s="1738"/>
      <c r="AN416" s="1738"/>
      <c r="AO416" s="1738"/>
      <c r="AP416" s="1738"/>
      <c r="AQ416" s="1738"/>
      <c r="AR416" s="1738"/>
      <c r="AS416" s="1738"/>
      <c r="AT416" s="1738"/>
      <c r="AU416" s="1738"/>
      <c r="AV416" s="1738"/>
      <c r="AW416" s="1738"/>
      <c r="AX416" s="1738"/>
      <c r="AY416" s="1738"/>
      <c r="AZ416" s="1738"/>
      <c r="BA416" s="1738"/>
      <c r="BB416" s="1738"/>
      <c r="BC416" s="1738"/>
      <c r="BD416" s="1738"/>
      <c r="BE416" s="1738"/>
      <c r="BF416" s="1738"/>
      <c r="BG416" s="2010"/>
    </row>
    <row r="417" spans="1:59" ht="11.25" customHeight="1">
      <c r="A417" s="1084" t="s">
        <v>987</v>
      </c>
      <c r="B417" s="1084"/>
      <c r="C417" s="1084"/>
      <c r="D417" s="1078"/>
      <c r="E417" s="1088"/>
      <c r="F417" s="2791"/>
      <c r="G417" s="2798"/>
      <c r="H417" s="2787" t="s">
        <v>86</v>
      </c>
      <c r="I417" s="2799"/>
      <c r="J417" s="2800"/>
      <c r="K417" s="2801"/>
      <c r="L417" s="2524"/>
      <c r="M417" s="2525"/>
      <c r="N417" s="2804"/>
      <c r="O417" s="2805">
        <v>1</v>
      </c>
      <c r="P417" s="2806" t="s">
        <v>65</v>
      </c>
      <c r="Q417" s="2800" t="s">
        <v>1024</v>
      </c>
      <c r="R417" s="2809" t="s">
        <v>1061</v>
      </c>
      <c r="S417" s="2809" t="s">
        <v>1062</v>
      </c>
      <c r="T417" s="2809" t="s">
        <v>1062</v>
      </c>
      <c r="U417" s="2809" t="s">
        <v>1063</v>
      </c>
      <c r="V417" s="2809" t="s">
        <v>1064</v>
      </c>
      <c r="W417" s="2809" t="s">
        <v>1065</v>
      </c>
      <c r="X417" s="2809" t="s">
        <v>1030</v>
      </c>
      <c r="Y417" s="2809" t="s">
        <v>1031</v>
      </c>
      <c r="Z417" s="1093"/>
      <c r="AA417" s="1094"/>
      <c r="AB417" s="1094"/>
      <c r="AC417" s="1098"/>
      <c r="AD417" s="1098"/>
      <c r="AE417" s="1099"/>
      <c r="AF417" s="2802"/>
      <c r="AG417" s="2803"/>
      <c r="AH417" s="2803"/>
      <c r="AI417" s="2802"/>
      <c r="AJ417" s="2803"/>
      <c r="AK417" s="2803"/>
      <c r="AL417" s="1900"/>
      <c r="AM417" s="1738"/>
      <c r="AN417" s="1738"/>
      <c r="AO417" s="1738"/>
      <c r="AP417" s="1738"/>
      <c r="AQ417" s="1738"/>
      <c r="AR417" s="1738"/>
      <c r="AS417" s="1738"/>
      <c r="AT417" s="1738"/>
      <c r="AU417" s="1738"/>
      <c r="AV417" s="1738"/>
      <c r="AW417" s="1738"/>
      <c r="AX417" s="1738"/>
      <c r="AY417" s="1738"/>
      <c r="AZ417" s="1738"/>
      <c r="BA417" s="1738"/>
      <c r="BB417" s="1738"/>
      <c r="BC417" s="1738"/>
      <c r="BD417" s="1738"/>
      <c r="BE417" s="1738"/>
      <c r="BF417" s="1738"/>
      <c r="BG417" s="2010"/>
    </row>
    <row r="418" spans="1:59" ht="11.25" customHeight="1">
      <c r="A418" s="1084" t="s">
        <v>987</v>
      </c>
      <c r="B418" s="1084"/>
      <c r="C418" s="1084"/>
      <c r="D418" s="1078"/>
      <c r="E418" s="1088"/>
      <c r="F418" s="2791"/>
      <c r="G418" s="2798"/>
      <c r="H418" s="2787" t="s">
        <v>86</v>
      </c>
      <c r="I418" s="2799"/>
      <c r="J418" s="2800"/>
      <c r="K418" s="2801"/>
      <c r="L418" s="2524"/>
      <c r="M418" s="2525"/>
      <c r="N418" s="2804"/>
      <c r="O418" s="2805"/>
      <c r="P418" s="2807"/>
      <c r="Q418" s="2800"/>
      <c r="R418" s="2759"/>
      <c r="S418" s="2809"/>
      <c r="T418" s="2759"/>
      <c r="U418" s="2759"/>
      <c r="V418" s="2759"/>
      <c r="W418" s="2759"/>
      <c r="X418" s="2759"/>
      <c r="Y418" s="2759"/>
      <c r="Z418" s="1743"/>
      <c r="AA418" s="1711">
        <v>1</v>
      </c>
      <c r="AB418" s="1097" t="s">
        <v>1032</v>
      </c>
      <c r="AC418" s="1087">
        <v>9422.8136200000008</v>
      </c>
      <c r="AD418" s="1097" t="str">
        <f>AB418</f>
        <v xml:space="preserve">      Амортизационные отчисления с выделением результатов переоценки основных средств и нематериальных активов</v>
      </c>
      <c r="AE418" s="1087"/>
      <c r="AF418" s="2802"/>
      <c r="AG418" s="2803"/>
      <c r="AH418" s="2803"/>
      <c r="AI418" s="2802"/>
      <c r="AJ418" s="2803"/>
      <c r="AK418" s="2803"/>
      <c r="AL418" s="1900"/>
      <c r="AM418" s="1738"/>
      <c r="AN418" s="1738"/>
      <c r="AO418" s="1738"/>
      <c r="AP418" s="1738"/>
      <c r="AQ418" s="1738"/>
      <c r="AR418" s="1738"/>
      <c r="AS418" s="1738"/>
      <c r="AT418" s="1738"/>
      <c r="AU418" s="1738"/>
      <c r="AV418" s="1738"/>
      <c r="AW418" s="1738"/>
      <c r="AX418" s="1738"/>
      <c r="AY418" s="1738"/>
      <c r="AZ418" s="1738"/>
      <c r="BA418" s="1738"/>
      <c r="BB418" s="1738"/>
      <c r="BC418" s="1738"/>
      <c r="BD418" s="1738"/>
      <c r="BE418" s="1738"/>
      <c r="BF418" s="1738"/>
      <c r="BG418" s="2010"/>
    </row>
    <row r="419" spans="1:59" ht="11.25" customHeight="1">
      <c r="A419" s="1084" t="s">
        <v>987</v>
      </c>
      <c r="B419" s="1084"/>
      <c r="C419" s="1084"/>
      <c r="D419" s="1078"/>
      <c r="E419" s="1088"/>
      <c r="F419" s="2791"/>
      <c r="G419" s="2798"/>
      <c r="H419" s="2787" t="s">
        <v>86</v>
      </c>
      <c r="I419" s="2799"/>
      <c r="J419" s="2800"/>
      <c r="K419" s="2801"/>
      <c r="L419" s="2524"/>
      <c r="M419" s="2525"/>
      <c r="N419" s="2804"/>
      <c r="O419" s="2805"/>
      <c r="P419" s="2808"/>
      <c r="Q419" s="2800"/>
      <c r="R419" s="2759"/>
      <c r="S419" s="2809"/>
      <c r="T419" s="2759"/>
      <c r="U419" s="2759"/>
      <c r="V419" s="2759"/>
      <c r="W419" s="2759"/>
      <c r="X419" s="2759"/>
      <c r="Y419" s="2759"/>
      <c r="Z419" s="1093"/>
      <c r="AA419" s="1094"/>
      <c r="AB419" s="1159" t="s">
        <v>1033</v>
      </c>
      <c r="AC419" s="1098"/>
      <c r="AD419" s="1098"/>
      <c r="AE419" s="1100"/>
      <c r="AF419" s="2802"/>
      <c r="AG419" s="2803"/>
      <c r="AH419" s="2803"/>
      <c r="AI419" s="2802"/>
      <c r="AJ419" s="2803"/>
      <c r="AK419" s="2803"/>
      <c r="AL419" s="1900"/>
      <c r="AM419" s="1738"/>
      <c r="AN419" s="1738"/>
      <c r="AO419" s="1738"/>
      <c r="AP419" s="1738"/>
      <c r="AQ419" s="1738"/>
      <c r="AR419" s="1738"/>
      <c r="AS419" s="1738"/>
      <c r="AT419" s="1738"/>
      <c r="AU419" s="1738"/>
      <c r="AV419" s="1738"/>
      <c r="AW419" s="1738"/>
      <c r="AX419" s="1738"/>
      <c r="AY419" s="1738"/>
      <c r="AZ419" s="1738"/>
      <c r="BA419" s="1738"/>
      <c r="BB419" s="1738"/>
      <c r="BC419" s="1738"/>
      <c r="BD419" s="1738"/>
      <c r="BE419" s="1738"/>
      <c r="BF419" s="1738"/>
      <c r="BG419" s="2010"/>
    </row>
    <row r="420" spans="1:59" ht="11.25" customHeight="1">
      <c r="A420" s="1084" t="s">
        <v>987</v>
      </c>
      <c r="B420" s="1084"/>
      <c r="C420" s="1084"/>
      <c r="D420" s="1078"/>
      <c r="E420" s="1088"/>
      <c r="F420" s="2791"/>
      <c r="G420" s="2798"/>
      <c r="H420" s="2787" t="s">
        <v>86</v>
      </c>
      <c r="I420" s="2799"/>
      <c r="J420" s="2800"/>
      <c r="K420" s="2801"/>
      <c r="L420" s="2524"/>
      <c r="M420" s="2525"/>
      <c r="N420" s="1093"/>
      <c r="O420" s="1094"/>
      <c r="P420" s="1086" t="s">
        <v>1034</v>
      </c>
      <c r="Q420" s="1094"/>
      <c r="R420" s="1094"/>
      <c r="S420" s="1094"/>
      <c r="T420" s="1094"/>
      <c r="U420" s="1094"/>
      <c r="V420" s="1094"/>
      <c r="W420" s="1094"/>
      <c r="X420" s="1094"/>
      <c r="Y420" s="1094"/>
      <c r="Z420" s="1094"/>
      <c r="AA420" s="1094"/>
      <c r="AB420" s="1094"/>
      <c r="AC420" s="1094"/>
      <c r="AD420" s="1094"/>
      <c r="AE420" s="1101"/>
      <c r="AF420" s="2802"/>
      <c r="AG420" s="2803"/>
      <c r="AH420" s="2803"/>
      <c r="AI420" s="2802"/>
      <c r="AJ420" s="2803"/>
      <c r="AK420" s="2803"/>
      <c r="AL420" s="1900"/>
      <c r="AM420" s="1738"/>
      <c r="AN420" s="1738"/>
      <c r="AO420" s="1738"/>
      <c r="AP420" s="1738"/>
      <c r="AQ420" s="1738"/>
      <c r="AR420" s="1738"/>
      <c r="AS420" s="1738"/>
      <c r="AT420" s="1738"/>
      <c r="AU420" s="1738"/>
      <c r="AV420" s="1738"/>
      <c r="AW420" s="1738"/>
      <c r="AX420" s="1738"/>
      <c r="AY420" s="1738"/>
      <c r="AZ420" s="1738"/>
      <c r="BA420" s="1738"/>
      <c r="BB420" s="1738"/>
      <c r="BC420" s="1738"/>
      <c r="BD420" s="1738"/>
      <c r="BE420" s="1738"/>
      <c r="BF420" s="1738"/>
      <c r="BG420" s="2010"/>
    </row>
    <row r="421" spans="1:59" ht="11.25" customHeight="1">
      <c r="A421" s="1084" t="s">
        <v>987</v>
      </c>
      <c r="B421" s="1084" t="s">
        <v>1018</v>
      </c>
      <c r="C421" s="1084"/>
      <c r="D421" s="1078"/>
      <c r="E421" s="1088"/>
      <c r="F421" s="2791"/>
      <c r="G421" s="2776" t="s">
        <v>680</v>
      </c>
      <c r="H421" s="2787" t="s">
        <v>87</v>
      </c>
      <c r="I421" s="2799" t="s">
        <v>1019</v>
      </c>
      <c r="J421" s="2800" t="s">
        <v>1035</v>
      </c>
      <c r="K421" s="2801" t="s">
        <v>1054</v>
      </c>
      <c r="L421" s="2524" t="s">
        <v>19</v>
      </c>
      <c r="M421" s="2525"/>
      <c r="N421" s="1898"/>
      <c r="O421" s="1095" t="s">
        <v>367</v>
      </c>
      <c r="P421" s="1096"/>
      <c r="Q421" s="1096"/>
      <c r="R421" s="1096"/>
      <c r="S421" s="1096"/>
      <c r="T421" s="1096"/>
      <c r="U421" s="1096"/>
      <c r="V421" s="1096"/>
      <c r="W421" s="1096"/>
      <c r="X421" s="1096"/>
      <c r="Y421" s="1096"/>
      <c r="Z421" s="1096"/>
      <c r="AA421" s="1096"/>
      <c r="AB421" s="1096"/>
      <c r="AC421" s="1096"/>
      <c r="AD421" s="1096"/>
      <c r="AE421" s="1096"/>
      <c r="AF421" s="2802">
        <v>3</v>
      </c>
      <c r="AG421" s="2803" t="s">
        <v>1022</v>
      </c>
      <c r="AH421" s="2803" t="s">
        <v>1023</v>
      </c>
      <c r="AI421" s="2802"/>
      <c r="AJ421" s="2803"/>
      <c r="AK421" s="2803"/>
      <c r="AL421" s="1900"/>
      <c r="AM421" s="1738"/>
      <c r="AN421" s="1738"/>
      <c r="AO421" s="1738"/>
      <c r="AP421" s="1738"/>
      <c r="AQ421" s="1738"/>
      <c r="AR421" s="1738"/>
      <c r="AS421" s="1738"/>
      <c r="AT421" s="1738"/>
      <c r="AU421" s="1738"/>
      <c r="AV421" s="1738"/>
      <c r="AW421" s="1738"/>
      <c r="AX421" s="1738"/>
      <c r="AY421" s="1738"/>
      <c r="AZ421" s="1738"/>
      <c r="BA421" s="1738"/>
      <c r="BB421" s="1738"/>
      <c r="BC421" s="1738"/>
      <c r="BD421" s="1738"/>
      <c r="BE421" s="1738"/>
      <c r="BF421" s="1738"/>
      <c r="BG421" s="2010"/>
    </row>
    <row r="422" spans="1:59" ht="11.25" customHeight="1">
      <c r="A422" s="1084" t="s">
        <v>987</v>
      </c>
      <c r="B422" s="1084"/>
      <c r="C422" s="1084"/>
      <c r="D422" s="1078"/>
      <c r="E422" s="1088"/>
      <c r="F422" s="2791"/>
      <c r="G422" s="2798"/>
      <c r="H422" s="2787" t="s">
        <v>87</v>
      </c>
      <c r="I422" s="2799"/>
      <c r="J422" s="2800"/>
      <c r="K422" s="2801"/>
      <c r="L422" s="2524"/>
      <c r="M422" s="2525"/>
      <c r="N422" s="2804"/>
      <c r="O422" s="2805">
        <v>1</v>
      </c>
      <c r="P422" s="2806" t="s">
        <v>65</v>
      </c>
      <c r="Q422" s="2800" t="s">
        <v>1024</v>
      </c>
      <c r="R422" s="2809" t="s">
        <v>1061</v>
      </c>
      <c r="S422" s="2809" t="s">
        <v>1062</v>
      </c>
      <c r="T422" s="2809" t="s">
        <v>1062</v>
      </c>
      <c r="U422" s="2809" t="s">
        <v>1063</v>
      </c>
      <c r="V422" s="2809" t="s">
        <v>1064</v>
      </c>
      <c r="W422" s="2809" t="s">
        <v>1065</v>
      </c>
      <c r="X422" s="2809" t="s">
        <v>1030</v>
      </c>
      <c r="Y422" s="2809" t="s">
        <v>1031</v>
      </c>
      <c r="Z422" s="1093"/>
      <c r="AA422" s="1094"/>
      <c r="AB422" s="1094"/>
      <c r="AC422" s="1098"/>
      <c r="AD422" s="1098"/>
      <c r="AE422" s="1099"/>
      <c r="AF422" s="2802"/>
      <c r="AG422" s="2803"/>
      <c r="AH422" s="2803"/>
      <c r="AI422" s="2802"/>
      <c r="AJ422" s="2803"/>
      <c r="AK422" s="2803"/>
      <c r="AL422" s="1900"/>
      <c r="AM422" s="1738"/>
      <c r="AN422" s="1738"/>
      <c r="AO422" s="1738"/>
      <c r="AP422" s="1738"/>
      <c r="AQ422" s="1738"/>
      <c r="AR422" s="1738"/>
      <c r="AS422" s="1738"/>
      <c r="AT422" s="1738"/>
      <c r="AU422" s="1738"/>
      <c r="AV422" s="1738"/>
      <c r="AW422" s="1738"/>
      <c r="AX422" s="1738"/>
      <c r="AY422" s="1738"/>
      <c r="AZ422" s="1738"/>
      <c r="BA422" s="1738"/>
      <c r="BB422" s="1738"/>
      <c r="BC422" s="1738"/>
      <c r="BD422" s="1738"/>
      <c r="BE422" s="1738"/>
      <c r="BF422" s="1738"/>
      <c r="BG422" s="2010"/>
    </row>
    <row r="423" spans="1:59" ht="11.25" customHeight="1">
      <c r="A423" s="1084" t="s">
        <v>987</v>
      </c>
      <c r="B423" s="1084"/>
      <c r="C423" s="1084"/>
      <c r="D423" s="1078"/>
      <c r="E423" s="1088"/>
      <c r="F423" s="2791"/>
      <c r="G423" s="2798"/>
      <c r="H423" s="2787" t="s">
        <v>87</v>
      </c>
      <c r="I423" s="2799"/>
      <c r="J423" s="2800"/>
      <c r="K423" s="2801"/>
      <c r="L423" s="2524"/>
      <c r="M423" s="2525"/>
      <c r="N423" s="2804"/>
      <c r="O423" s="2805"/>
      <c r="P423" s="2807"/>
      <c r="Q423" s="2800"/>
      <c r="R423" s="2759"/>
      <c r="S423" s="2809"/>
      <c r="T423" s="2759"/>
      <c r="U423" s="2759"/>
      <c r="V423" s="2759"/>
      <c r="W423" s="2759"/>
      <c r="X423" s="2759"/>
      <c r="Y423" s="2759"/>
      <c r="Z423" s="1743"/>
      <c r="AA423" s="1711">
        <v>1</v>
      </c>
      <c r="AB423" s="1097" t="s">
        <v>1032</v>
      </c>
      <c r="AC423" s="1087">
        <v>4711.4068100000004</v>
      </c>
      <c r="AD423" s="1097" t="str">
        <f>AB423</f>
        <v xml:space="preserve">      Амортизационные отчисления с выделением результатов переоценки основных средств и нематериальных активов</v>
      </c>
      <c r="AE423" s="1087"/>
      <c r="AF423" s="2802"/>
      <c r="AG423" s="2803"/>
      <c r="AH423" s="2803"/>
      <c r="AI423" s="2802"/>
      <c r="AJ423" s="2803"/>
      <c r="AK423" s="2803"/>
      <c r="AL423" s="1900"/>
      <c r="AM423" s="1738"/>
      <c r="AN423" s="1738"/>
      <c r="AO423" s="1738"/>
      <c r="AP423" s="1738"/>
      <c r="AQ423" s="1738"/>
      <c r="AR423" s="1738"/>
      <c r="AS423" s="1738"/>
      <c r="AT423" s="1738"/>
      <c r="AU423" s="1738"/>
      <c r="AV423" s="1738"/>
      <c r="AW423" s="1738"/>
      <c r="AX423" s="1738"/>
      <c r="AY423" s="1738"/>
      <c r="AZ423" s="1738"/>
      <c r="BA423" s="1738"/>
      <c r="BB423" s="1738"/>
      <c r="BC423" s="1738"/>
      <c r="BD423" s="1738"/>
      <c r="BE423" s="1738"/>
      <c r="BF423" s="1738"/>
      <c r="BG423" s="2010"/>
    </row>
    <row r="424" spans="1:59" ht="11.25" customHeight="1">
      <c r="A424" s="1084" t="s">
        <v>987</v>
      </c>
      <c r="B424" s="1084"/>
      <c r="C424" s="1084"/>
      <c r="D424" s="1078"/>
      <c r="E424" s="1088"/>
      <c r="F424" s="2791"/>
      <c r="G424" s="2798"/>
      <c r="H424" s="2787" t="s">
        <v>87</v>
      </c>
      <c r="I424" s="2799"/>
      <c r="J424" s="2800"/>
      <c r="K424" s="2801"/>
      <c r="L424" s="2524"/>
      <c r="M424" s="2525"/>
      <c r="N424" s="2804"/>
      <c r="O424" s="2805"/>
      <c r="P424" s="2808"/>
      <c r="Q424" s="2800"/>
      <c r="R424" s="2759"/>
      <c r="S424" s="2809"/>
      <c r="T424" s="2759"/>
      <c r="U424" s="2759"/>
      <c r="V424" s="2759"/>
      <c r="W424" s="2759"/>
      <c r="X424" s="2759"/>
      <c r="Y424" s="2759"/>
      <c r="Z424" s="1093"/>
      <c r="AA424" s="1094"/>
      <c r="AB424" s="1159" t="s">
        <v>1033</v>
      </c>
      <c r="AC424" s="1098"/>
      <c r="AD424" s="1098"/>
      <c r="AE424" s="1100"/>
      <c r="AF424" s="2802"/>
      <c r="AG424" s="2803"/>
      <c r="AH424" s="2803"/>
      <c r="AI424" s="2802"/>
      <c r="AJ424" s="2803"/>
      <c r="AK424" s="2803"/>
      <c r="AL424" s="1900"/>
      <c r="AM424" s="1738"/>
      <c r="AN424" s="1738"/>
      <c r="AO424" s="1738"/>
      <c r="AP424" s="1738"/>
      <c r="AQ424" s="1738"/>
      <c r="AR424" s="1738"/>
      <c r="AS424" s="1738"/>
      <c r="AT424" s="1738"/>
      <c r="AU424" s="1738"/>
      <c r="AV424" s="1738"/>
      <c r="AW424" s="1738"/>
      <c r="AX424" s="1738"/>
      <c r="AY424" s="1738"/>
      <c r="AZ424" s="1738"/>
      <c r="BA424" s="1738"/>
      <c r="BB424" s="1738"/>
      <c r="BC424" s="1738"/>
      <c r="BD424" s="1738"/>
      <c r="BE424" s="1738"/>
      <c r="BF424" s="1738"/>
      <c r="BG424" s="2010"/>
    </row>
    <row r="425" spans="1:59" ht="11.25" customHeight="1">
      <c r="A425" s="1084" t="s">
        <v>987</v>
      </c>
      <c r="B425" s="1084"/>
      <c r="C425" s="1084"/>
      <c r="D425" s="1078"/>
      <c r="E425" s="1088"/>
      <c r="F425" s="2791"/>
      <c r="G425" s="2798"/>
      <c r="H425" s="2787" t="s">
        <v>87</v>
      </c>
      <c r="I425" s="2799"/>
      <c r="J425" s="2800"/>
      <c r="K425" s="2801"/>
      <c r="L425" s="2524"/>
      <c r="M425" s="2525"/>
      <c r="N425" s="1093"/>
      <c r="O425" s="1094"/>
      <c r="P425" s="1086" t="s">
        <v>1034</v>
      </c>
      <c r="Q425" s="1094"/>
      <c r="R425" s="1094"/>
      <c r="S425" s="1094"/>
      <c r="T425" s="1094"/>
      <c r="U425" s="1094"/>
      <c r="V425" s="1094"/>
      <c r="W425" s="1094"/>
      <c r="X425" s="1094"/>
      <c r="Y425" s="1094"/>
      <c r="Z425" s="1094"/>
      <c r="AA425" s="1094"/>
      <c r="AB425" s="1094"/>
      <c r="AC425" s="1094"/>
      <c r="AD425" s="1094"/>
      <c r="AE425" s="1101"/>
      <c r="AF425" s="2802"/>
      <c r="AG425" s="2803"/>
      <c r="AH425" s="2803"/>
      <c r="AI425" s="2802"/>
      <c r="AJ425" s="2803"/>
      <c r="AK425" s="2803"/>
      <c r="AL425" s="1900"/>
      <c r="AM425" s="1738"/>
      <c r="AN425" s="1738"/>
      <c r="AO425" s="1738"/>
      <c r="AP425" s="1738"/>
      <c r="AQ425" s="1738"/>
      <c r="AR425" s="1738"/>
      <c r="AS425" s="1738"/>
      <c r="AT425" s="1738"/>
      <c r="AU425" s="1738"/>
      <c r="AV425" s="1738"/>
      <c r="AW425" s="1738"/>
      <c r="AX425" s="1738"/>
      <c r="AY425" s="1738"/>
      <c r="AZ425" s="1738"/>
      <c r="BA425" s="1738"/>
      <c r="BB425" s="1738"/>
      <c r="BC425" s="1738"/>
      <c r="BD425" s="1738"/>
      <c r="BE425" s="1738"/>
      <c r="BF425" s="1738"/>
      <c r="BG425" s="2010"/>
    </row>
    <row r="426" spans="1:59" ht="12" customHeight="1">
      <c r="A426" s="1084" t="s">
        <v>987</v>
      </c>
      <c r="B426" s="1084"/>
      <c r="C426" s="1084"/>
      <c r="D426" s="1078"/>
      <c r="E426" s="1088"/>
      <c r="F426" s="2792"/>
      <c r="G426" s="1108"/>
      <c r="H426" s="1108"/>
      <c r="I426" s="2789" t="s">
        <v>1047</v>
      </c>
      <c r="J426" s="2789"/>
      <c r="K426" s="2789"/>
      <c r="L426" s="1091"/>
      <c r="M426" s="1091"/>
      <c r="N426" s="1092"/>
      <c r="O426" s="1092"/>
      <c r="P426" s="1092"/>
      <c r="Q426" s="1092"/>
      <c r="R426" s="1092"/>
      <c r="S426" s="1092"/>
      <c r="T426" s="1092"/>
      <c r="U426" s="1092"/>
      <c r="V426" s="1092"/>
      <c r="W426" s="1092"/>
      <c r="X426" s="1092"/>
      <c r="Y426" s="1092"/>
      <c r="Z426" s="1092"/>
      <c r="AA426" s="1092"/>
      <c r="AB426" s="1092"/>
      <c r="AC426" s="1092"/>
      <c r="AD426" s="1092"/>
      <c r="AE426" s="1092"/>
      <c r="AF426" s="1092"/>
      <c r="AG426" s="1091"/>
      <c r="AH426" s="1091"/>
      <c r="AI426" s="1092"/>
      <c r="AJ426" s="1091"/>
      <c r="AK426" s="1092"/>
      <c r="AL426" s="1900"/>
      <c r="AM426" s="1738"/>
      <c r="AN426" s="1738"/>
      <c r="AO426" s="1738"/>
      <c r="AP426" s="1738"/>
      <c r="AQ426" s="1738"/>
      <c r="AR426" s="1738"/>
      <c r="AS426" s="1738"/>
      <c r="AT426" s="1738"/>
      <c r="AU426" s="1738"/>
      <c r="AV426" s="1738"/>
      <c r="AW426" s="1738"/>
      <c r="AX426" s="1738"/>
      <c r="AY426" s="1738"/>
      <c r="AZ426" s="1738"/>
      <c r="BA426" s="1738"/>
      <c r="BB426" s="1738"/>
      <c r="BC426" s="1738"/>
      <c r="BD426" s="1738"/>
      <c r="BE426" s="1738"/>
      <c r="BF426" s="1738"/>
      <c r="BG426" s="2010"/>
    </row>
    <row r="427" spans="1:59" ht="10.5" customHeight="1">
      <c r="E427" s="832"/>
      <c r="F427" s="843"/>
      <c r="G427" s="843"/>
      <c r="H427" s="1090"/>
      <c r="I427" s="843"/>
      <c r="J427" s="843"/>
      <c r="K427" s="843"/>
      <c r="L427" s="1050"/>
      <c r="M427" s="1050"/>
      <c r="N427" s="843"/>
      <c r="O427" s="843"/>
      <c r="P427" s="843"/>
      <c r="Q427" s="843"/>
      <c r="R427" s="843"/>
      <c r="S427" s="843"/>
      <c r="T427" s="843"/>
      <c r="U427" s="843"/>
      <c r="V427" s="843"/>
      <c r="W427" s="843"/>
      <c r="X427" s="843"/>
      <c r="Y427" s="843"/>
      <c r="Z427" s="843"/>
      <c r="AA427" s="843"/>
      <c r="AB427" s="843"/>
      <c r="AC427" s="843"/>
      <c r="AD427" s="1050"/>
      <c r="AE427" s="843"/>
      <c r="AF427" s="843"/>
      <c r="AG427" s="843"/>
      <c r="AH427" s="1068"/>
      <c r="AI427" s="1061"/>
      <c r="AJ427" s="843"/>
      <c r="AK427" s="843"/>
      <c r="AL427" s="832"/>
      <c r="AM427" s="832"/>
      <c r="AN427" s="832"/>
      <c r="AO427" s="832"/>
      <c r="AP427" s="832"/>
      <c r="AQ427" s="832"/>
      <c r="AR427" s="832"/>
      <c r="AS427" s="832"/>
      <c r="AT427" s="832"/>
      <c r="AU427" s="832"/>
      <c r="AV427" s="832"/>
      <c r="AW427" s="832"/>
      <c r="AX427" s="832"/>
      <c r="AY427" s="832"/>
      <c r="AZ427" s="832"/>
      <c r="BA427" s="832"/>
      <c r="BB427" s="832"/>
      <c r="BC427" s="832"/>
      <c r="BD427" s="832"/>
      <c r="BE427" s="832"/>
      <c r="BF427" s="832"/>
      <c r="BG427" s="692">
        <v>10</v>
      </c>
    </row>
    <row r="428" spans="1:59" ht="13.5" customHeight="1">
      <c r="E428" s="832"/>
      <c r="F428" s="839" t="s">
        <v>1066</v>
      </c>
      <c r="G428" s="839"/>
      <c r="H428" s="1089"/>
      <c r="I428" s="839"/>
      <c r="J428" s="839"/>
      <c r="K428" s="836"/>
      <c r="L428" s="1046"/>
      <c r="M428" s="1046"/>
      <c r="N428" s="838"/>
      <c r="O428" s="838"/>
      <c r="P428" s="838"/>
      <c r="Q428" s="838"/>
      <c r="R428" s="838"/>
      <c r="S428" s="838"/>
      <c r="T428" s="838"/>
      <c r="U428" s="838"/>
      <c r="V428" s="838"/>
      <c r="W428" s="838"/>
      <c r="X428" s="838"/>
      <c r="Y428" s="838"/>
      <c r="Z428" s="836"/>
      <c r="AA428" s="836"/>
      <c r="AB428" s="836"/>
      <c r="AC428" s="836"/>
      <c r="AD428" s="1046"/>
      <c r="AE428" s="836"/>
      <c r="AF428" s="836"/>
      <c r="AG428" s="836"/>
      <c r="AH428" s="1065"/>
      <c r="AI428" s="1058"/>
      <c r="AJ428" s="836"/>
      <c r="AK428" s="836"/>
      <c r="AL428" s="832"/>
      <c r="AM428" s="832"/>
      <c r="AN428" s="832"/>
      <c r="AO428" s="832"/>
      <c r="AP428" s="832"/>
      <c r="AQ428" s="832"/>
      <c r="AR428" s="832"/>
      <c r="AS428" s="832"/>
      <c r="AT428" s="832"/>
      <c r="AU428" s="832"/>
      <c r="AV428" s="832"/>
      <c r="AW428" s="832"/>
      <c r="AX428" s="832"/>
      <c r="AY428" s="832"/>
      <c r="AZ428" s="832"/>
      <c r="BA428" s="832"/>
      <c r="BB428" s="832"/>
      <c r="BC428" s="832"/>
      <c r="BD428" s="832"/>
      <c r="BE428" s="832"/>
      <c r="BF428" s="832"/>
      <c r="BG428" s="692">
        <v>13</v>
      </c>
    </row>
    <row r="429" spans="1:59" ht="10.5" customHeight="1">
      <c r="BG429" s="692">
        <v>10</v>
      </c>
    </row>
    <row r="430" spans="1:59" ht="10.5" customHeight="1">
      <c r="E430" s="832"/>
      <c r="F430" s="2778"/>
      <c r="G430" s="2778"/>
      <c r="H430" s="2778"/>
      <c r="I430" s="2778"/>
      <c r="J430" s="2778"/>
      <c r="K430" s="836"/>
      <c r="L430" s="1046"/>
      <c r="M430" s="1046"/>
      <c r="N430" s="838"/>
      <c r="O430" s="838"/>
      <c r="P430" s="838"/>
      <c r="Q430" s="838"/>
      <c r="R430" s="838"/>
      <c r="S430" s="838"/>
      <c r="T430" s="838"/>
      <c r="U430" s="838"/>
      <c r="V430" s="838"/>
      <c r="W430" s="838"/>
      <c r="X430" s="838"/>
      <c r="Y430" s="838"/>
      <c r="Z430" s="836"/>
      <c r="AA430" s="836"/>
      <c r="AB430" s="836"/>
      <c r="AC430" s="836"/>
      <c r="AD430" s="1046"/>
      <c r="AE430" s="836"/>
      <c r="AF430" s="836"/>
      <c r="AG430" s="836"/>
      <c r="AH430" s="1065"/>
      <c r="AI430" s="1058"/>
      <c r="AJ430" s="836"/>
      <c r="AK430" s="836"/>
      <c r="AL430" s="832"/>
      <c r="AM430" s="832"/>
      <c r="AN430" s="832"/>
      <c r="AO430" s="832"/>
      <c r="AP430" s="832"/>
      <c r="AQ430" s="832"/>
      <c r="AR430" s="832"/>
      <c r="AS430" s="832"/>
      <c r="AT430" s="832"/>
      <c r="AU430" s="832"/>
      <c r="AV430" s="832"/>
      <c r="AW430" s="832"/>
      <c r="AX430" s="832"/>
      <c r="AY430" s="832"/>
      <c r="AZ430" s="832"/>
      <c r="BA430" s="832"/>
      <c r="BB430" s="832"/>
      <c r="BC430" s="832"/>
      <c r="BD430" s="832"/>
      <c r="BE430" s="832"/>
      <c r="BF430" s="832"/>
      <c r="BG430" s="692">
        <v>10</v>
      </c>
    </row>
    <row r="431" spans="1:59" ht="10.5" customHeight="1">
      <c r="E431" s="832"/>
      <c r="F431" s="2778"/>
      <c r="G431" s="2778"/>
      <c r="H431" s="2778"/>
      <c r="I431" s="2778"/>
      <c r="J431" s="2778"/>
      <c r="K431" s="836"/>
      <c r="L431" s="1046"/>
      <c r="M431" s="1046"/>
      <c r="N431" s="838"/>
      <c r="O431" s="838"/>
      <c r="P431" s="838"/>
      <c r="Q431" s="838"/>
      <c r="R431" s="838"/>
      <c r="S431" s="838"/>
      <c r="T431" s="838"/>
      <c r="U431" s="838"/>
      <c r="V431" s="838"/>
      <c r="W431" s="838"/>
      <c r="X431" s="838"/>
      <c r="Y431" s="838"/>
      <c r="Z431" s="836"/>
      <c r="AA431" s="836"/>
      <c r="AB431" s="836"/>
      <c r="AC431" s="836"/>
      <c r="AD431" s="1046"/>
      <c r="AE431" s="836"/>
      <c r="AF431" s="836"/>
      <c r="AG431" s="836"/>
      <c r="AH431" s="1065"/>
      <c r="AI431" s="1058"/>
      <c r="AJ431" s="836"/>
      <c r="AK431" s="836"/>
      <c r="AL431" s="832"/>
      <c r="AM431" s="832"/>
      <c r="AN431" s="832"/>
      <c r="AO431" s="832"/>
      <c r="AP431" s="832"/>
      <c r="AQ431" s="832"/>
      <c r="AR431" s="832"/>
      <c r="AS431" s="832"/>
      <c r="AT431" s="832"/>
      <c r="AU431" s="832"/>
      <c r="AV431" s="832"/>
      <c r="AW431" s="832"/>
      <c r="AX431" s="832"/>
      <c r="AY431" s="832"/>
      <c r="AZ431" s="832"/>
      <c r="BA431" s="832"/>
      <c r="BB431" s="832"/>
      <c r="BC431" s="832"/>
      <c r="BD431" s="832"/>
      <c r="BE431" s="832"/>
      <c r="BF431" s="832"/>
      <c r="BG431" s="692">
        <v>10</v>
      </c>
    </row>
    <row r="432" spans="1:59" ht="10.5" customHeight="1">
      <c r="E432" s="832"/>
      <c r="F432" s="2778"/>
      <c r="G432" s="2778"/>
      <c r="H432" s="2778"/>
      <c r="I432" s="2778"/>
      <c r="J432" s="2778"/>
      <c r="K432" s="836"/>
      <c r="L432" s="1046"/>
      <c r="M432" s="1046"/>
      <c r="N432" s="838"/>
      <c r="O432" s="838"/>
      <c r="P432" s="838"/>
      <c r="Q432" s="838"/>
      <c r="R432" s="838"/>
      <c r="S432" s="838"/>
      <c r="T432" s="838"/>
      <c r="U432" s="838"/>
      <c r="V432" s="838"/>
      <c r="W432" s="838"/>
      <c r="X432" s="838"/>
      <c r="Y432" s="838"/>
      <c r="Z432" s="836"/>
      <c r="AA432" s="836"/>
      <c r="AB432" s="836"/>
      <c r="AC432" s="836"/>
      <c r="AD432" s="1046"/>
      <c r="AE432" s="836"/>
      <c r="AF432" s="836"/>
      <c r="AG432" s="836"/>
      <c r="AH432" s="1065"/>
      <c r="AI432" s="1058"/>
      <c r="AJ432" s="836"/>
      <c r="AK432" s="836"/>
      <c r="AL432" s="832"/>
      <c r="AM432" s="832"/>
      <c r="AN432" s="832"/>
      <c r="AO432" s="832"/>
      <c r="AP432" s="832"/>
      <c r="AQ432" s="832"/>
      <c r="AR432" s="832"/>
      <c r="AS432" s="832"/>
      <c r="AT432" s="832"/>
      <c r="AU432" s="832"/>
      <c r="AV432" s="832"/>
      <c r="AW432" s="832"/>
      <c r="AX432" s="832"/>
      <c r="AY432" s="832"/>
      <c r="AZ432" s="832"/>
      <c r="BA432" s="832"/>
      <c r="BB432" s="832"/>
      <c r="BC432" s="832"/>
      <c r="BD432" s="832"/>
      <c r="BE432" s="832"/>
      <c r="BF432" s="832"/>
      <c r="BG432" s="692">
        <v>10</v>
      </c>
    </row>
    <row r="433" spans="1:59" ht="10.5" hidden="1" customHeight="1">
      <c r="A433" s="820" t="s">
        <v>78</v>
      </c>
      <c r="B433" s="820">
        <v>0</v>
      </c>
      <c r="C433" s="820">
        <v>0</v>
      </c>
      <c r="D433" s="353">
        <v>0</v>
      </c>
      <c r="E433" s="445">
        <v>3</v>
      </c>
      <c r="F433" s="692">
        <v>14</v>
      </c>
      <c r="G433" s="692">
        <v>3</v>
      </c>
      <c r="H433" s="1073">
        <v>7</v>
      </c>
      <c r="I433" s="692">
        <v>16</v>
      </c>
      <c r="J433" s="692">
        <v>16</v>
      </c>
      <c r="K433" s="692">
        <v>25</v>
      </c>
      <c r="L433" s="1044">
        <v>7</v>
      </c>
      <c r="M433" s="1044">
        <v>15</v>
      </c>
      <c r="N433" s="692">
        <v>3</v>
      </c>
      <c r="O433" s="692">
        <v>4</v>
      </c>
      <c r="P433" s="692">
        <v>8</v>
      </c>
      <c r="Q433" s="692">
        <v>21</v>
      </c>
      <c r="R433" s="692">
        <v>14</v>
      </c>
      <c r="S433" s="692">
        <v>17</v>
      </c>
      <c r="T433" s="692">
        <v>17</v>
      </c>
      <c r="U433" s="692">
        <v>9</v>
      </c>
      <c r="V433" s="692">
        <v>12</v>
      </c>
      <c r="W433" s="692">
        <v>9</v>
      </c>
      <c r="X433" s="692">
        <v>21</v>
      </c>
      <c r="Y433" s="692">
        <v>12</v>
      </c>
      <c r="Z433" s="692">
        <v>3</v>
      </c>
      <c r="AA433" s="692">
        <v>6</v>
      </c>
      <c r="AB433" s="692">
        <v>38</v>
      </c>
      <c r="AC433" s="692">
        <v>15</v>
      </c>
      <c r="AD433" s="1044">
        <v>0</v>
      </c>
      <c r="AE433" s="692">
        <v>0</v>
      </c>
      <c r="AF433" s="692">
        <v>16</v>
      </c>
      <c r="AG433" s="692">
        <v>16</v>
      </c>
      <c r="AH433" s="1063">
        <v>16</v>
      </c>
      <c r="AI433" s="1056">
        <v>0</v>
      </c>
      <c r="AJ433" s="692">
        <v>0</v>
      </c>
      <c r="AK433" s="692">
        <v>0</v>
      </c>
      <c r="AL433" s="692">
        <v>8</v>
      </c>
      <c r="AM433" s="692">
        <v>8</v>
      </c>
      <c r="AN433" s="692">
        <v>8</v>
      </c>
      <c r="AO433" s="692">
        <v>8</v>
      </c>
      <c r="AP433" s="692">
        <v>8</v>
      </c>
      <c r="AQ433" s="692">
        <v>8</v>
      </c>
      <c r="AR433" s="692">
        <v>8</v>
      </c>
      <c r="AS433" s="692">
        <v>8</v>
      </c>
      <c r="AT433" s="692">
        <v>8</v>
      </c>
      <c r="AU433" s="692">
        <v>8</v>
      </c>
      <c r="AV433" s="692">
        <v>8</v>
      </c>
      <c r="AW433" s="692">
        <v>8</v>
      </c>
      <c r="AX433" s="692">
        <v>8</v>
      </c>
      <c r="AY433" s="692">
        <v>8</v>
      </c>
      <c r="AZ433" s="692">
        <v>8</v>
      </c>
      <c r="BA433" s="692">
        <v>8</v>
      </c>
      <c r="BB433" s="692">
        <v>8</v>
      </c>
      <c r="BC433" s="692">
        <v>8</v>
      </c>
      <c r="BD433" s="692">
        <v>8</v>
      </c>
      <c r="BE433" s="692">
        <v>8</v>
      </c>
      <c r="BF433" s="692">
        <v>8</v>
      </c>
      <c r="BG433" s="692">
        <v>10</v>
      </c>
    </row>
  </sheetData>
  <sheetProtection formatColumns="0" formatRows="0" insertRows="0" deleteColumns="0" deleteRows="0" sort="0" autoFilter="0"/>
  <mergeCells count="2023">
    <mergeCell ref="N396:N398"/>
    <mergeCell ref="O396:O398"/>
    <mergeCell ref="P396:P398"/>
    <mergeCell ref="Q396:Q398"/>
    <mergeCell ref="R396:R398"/>
    <mergeCell ref="S396:S398"/>
    <mergeCell ref="T396:T398"/>
    <mergeCell ref="U396:U398"/>
    <mergeCell ref="V396:V398"/>
    <mergeCell ref="W396:W398"/>
    <mergeCell ref="X396:X398"/>
    <mergeCell ref="Y396:Y398"/>
    <mergeCell ref="G395:G399"/>
    <mergeCell ref="G421:G425"/>
    <mergeCell ref="H196:H200"/>
    <mergeCell ref="I196:I200"/>
    <mergeCell ref="J196:J200"/>
    <mergeCell ref="K196:K200"/>
    <mergeCell ref="L196:L200"/>
    <mergeCell ref="M196:M200"/>
    <mergeCell ref="AF196:AF200"/>
    <mergeCell ref="AG196:AG200"/>
    <mergeCell ref="AH196:AH200"/>
    <mergeCell ref="AI196:AI200"/>
    <mergeCell ref="AJ196:AJ200"/>
    <mergeCell ref="AK196:AK200"/>
    <mergeCell ref="N197:N199"/>
    <mergeCell ref="O197:O199"/>
    <mergeCell ref="P197:P199"/>
    <mergeCell ref="Q197:Q199"/>
    <mergeCell ref="R197:R199"/>
    <mergeCell ref="S197:S199"/>
    <mergeCell ref="T197:T199"/>
    <mergeCell ref="U197:U199"/>
    <mergeCell ref="V197:V199"/>
    <mergeCell ref="W197:W199"/>
    <mergeCell ref="X197:X199"/>
    <mergeCell ref="Y197:Y199"/>
    <mergeCell ref="G196:G200"/>
    <mergeCell ref="H395:H399"/>
    <mergeCell ref="I395:I399"/>
    <mergeCell ref="J395:J399"/>
    <mergeCell ref="K395:K399"/>
    <mergeCell ref="L395:L399"/>
    <mergeCell ref="M395:M399"/>
    <mergeCell ref="H421:H425"/>
    <mergeCell ref="I421:I425"/>
    <mergeCell ref="J421:J425"/>
    <mergeCell ref="K421:K425"/>
    <mergeCell ref="L421:L425"/>
    <mergeCell ref="M421:M425"/>
    <mergeCell ref="AF421:AF425"/>
    <mergeCell ref="AG421:AG425"/>
    <mergeCell ref="AH421:AH425"/>
    <mergeCell ref="AI421:AI425"/>
    <mergeCell ref="AJ421:AJ425"/>
    <mergeCell ref="AK421:AK425"/>
    <mergeCell ref="N422:N424"/>
    <mergeCell ref="O422:O424"/>
    <mergeCell ref="P422:P424"/>
    <mergeCell ref="Q422:Q424"/>
    <mergeCell ref="R422:R424"/>
    <mergeCell ref="S422:S424"/>
    <mergeCell ref="T422:T424"/>
    <mergeCell ref="U422:U424"/>
    <mergeCell ref="V422:V424"/>
    <mergeCell ref="W422:W424"/>
    <mergeCell ref="X422:X424"/>
    <mergeCell ref="Y422:Y424"/>
    <mergeCell ref="G411:G415"/>
    <mergeCell ref="H416:H420"/>
    <mergeCell ref="I416:I420"/>
    <mergeCell ref="J416:J420"/>
    <mergeCell ref="K416:K420"/>
    <mergeCell ref="L416:L420"/>
    <mergeCell ref="M416:M420"/>
    <mergeCell ref="AF416:AF420"/>
    <mergeCell ref="AG416:AG420"/>
    <mergeCell ref="AH416:AH420"/>
    <mergeCell ref="AI416:AI420"/>
    <mergeCell ref="AJ416:AJ420"/>
    <mergeCell ref="AK416:AK420"/>
    <mergeCell ref="N417:N419"/>
    <mergeCell ref="O417:O419"/>
    <mergeCell ref="P417:P419"/>
    <mergeCell ref="Q417:Q419"/>
    <mergeCell ref="R417:R419"/>
    <mergeCell ref="S417:S419"/>
    <mergeCell ref="T417:T419"/>
    <mergeCell ref="U417:U419"/>
    <mergeCell ref="V417:V419"/>
    <mergeCell ref="W417:W419"/>
    <mergeCell ref="X417:X419"/>
    <mergeCell ref="Y417:Y419"/>
    <mergeCell ref="G416:G420"/>
    <mergeCell ref="M411:M415"/>
    <mergeCell ref="AF411:AF415"/>
    <mergeCell ref="AG411:AG415"/>
    <mergeCell ref="AH411:AH415"/>
    <mergeCell ref="AI411:AI415"/>
    <mergeCell ref="AJ411:AJ415"/>
    <mergeCell ref="AK411:AK415"/>
    <mergeCell ref="N412:N414"/>
    <mergeCell ref="O412:O414"/>
    <mergeCell ref="P412:P414"/>
    <mergeCell ref="Q412:Q414"/>
    <mergeCell ref="R412:R414"/>
    <mergeCell ref="S412:S414"/>
    <mergeCell ref="T412:T414"/>
    <mergeCell ref="U412:U414"/>
    <mergeCell ref="V412:V414"/>
    <mergeCell ref="W412:W414"/>
    <mergeCell ref="X412:X414"/>
    <mergeCell ref="Y412:Y414"/>
    <mergeCell ref="G390:G394"/>
    <mergeCell ref="H406:H410"/>
    <mergeCell ref="I406:I410"/>
    <mergeCell ref="J406:J410"/>
    <mergeCell ref="K406:K410"/>
    <mergeCell ref="L406:L410"/>
    <mergeCell ref="M406:M410"/>
    <mergeCell ref="AF406:AF410"/>
    <mergeCell ref="AG406:AG410"/>
    <mergeCell ref="AH406:AH410"/>
    <mergeCell ref="AI406:AI410"/>
    <mergeCell ref="AJ406:AJ410"/>
    <mergeCell ref="AK406:AK410"/>
    <mergeCell ref="N407:N409"/>
    <mergeCell ref="O407:O409"/>
    <mergeCell ref="P407:P409"/>
    <mergeCell ref="Q407:Q409"/>
    <mergeCell ref="R407:R409"/>
    <mergeCell ref="S407:S409"/>
    <mergeCell ref="T407:T409"/>
    <mergeCell ref="U407:U409"/>
    <mergeCell ref="V407:V409"/>
    <mergeCell ref="W407:W409"/>
    <mergeCell ref="X407:X409"/>
    <mergeCell ref="Y407:Y409"/>
    <mergeCell ref="G406:G410"/>
    <mergeCell ref="AF395:AF399"/>
    <mergeCell ref="AG395:AG399"/>
    <mergeCell ref="AH395:AH399"/>
    <mergeCell ref="AI395:AI399"/>
    <mergeCell ref="AJ395:AJ399"/>
    <mergeCell ref="AK395:AK399"/>
    <mergeCell ref="H390:H394"/>
    <mergeCell ref="I390:I394"/>
    <mergeCell ref="J390:J394"/>
    <mergeCell ref="K390:K394"/>
    <mergeCell ref="L390:L394"/>
    <mergeCell ref="M390:M394"/>
    <mergeCell ref="AF390:AF394"/>
    <mergeCell ref="AG390:AG394"/>
    <mergeCell ref="AH390:AH394"/>
    <mergeCell ref="AI390:AI394"/>
    <mergeCell ref="AJ390:AJ394"/>
    <mergeCell ref="AK390:AK394"/>
    <mergeCell ref="N391:N393"/>
    <mergeCell ref="O391:O393"/>
    <mergeCell ref="P391:P393"/>
    <mergeCell ref="Q391:Q393"/>
    <mergeCell ref="R391:R393"/>
    <mergeCell ref="S391:S393"/>
    <mergeCell ref="T391:T393"/>
    <mergeCell ref="U391:U393"/>
    <mergeCell ref="V391:V393"/>
    <mergeCell ref="W391:W393"/>
    <mergeCell ref="X391:X393"/>
    <mergeCell ref="Y391:Y393"/>
    <mergeCell ref="G380:G384"/>
    <mergeCell ref="H385:H389"/>
    <mergeCell ref="I385:I389"/>
    <mergeCell ref="J385:J389"/>
    <mergeCell ref="K385:K389"/>
    <mergeCell ref="L385:L389"/>
    <mergeCell ref="M385:M389"/>
    <mergeCell ref="AF385:AF389"/>
    <mergeCell ref="AG385:AG389"/>
    <mergeCell ref="AH385:AH389"/>
    <mergeCell ref="AI385:AI389"/>
    <mergeCell ref="AJ385:AJ389"/>
    <mergeCell ref="AK385:AK389"/>
    <mergeCell ref="N386:N388"/>
    <mergeCell ref="O386:O388"/>
    <mergeCell ref="P386:P388"/>
    <mergeCell ref="Q386:Q388"/>
    <mergeCell ref="R386:R388"/>
    <mergeCell ref="S386:S388"/>
    <mergeCell ref="T386:T388"/>
    <mergeCell ref="U386:U388"/>
    <mergeCell ref="V386:V388"/>
    <mergeCell ref="W386:W388"/>
    <mergeCell ref="X386:X388"/>
    <mergeCell ref="Y386:Y388"/>
    <mergeCell ref="G385:G389"/>
    <mergeCell ref="H380:H384"/>
    <mergeCell ref="I380:I384"/>
    <mergeCell ref="J380:J384"/>
    <mergeCell ref="K380:K384"/>
    <mergeCell ref="L380:L384"/>
    <mergeCell ref="M380:M384"/>
    <mergeCell ref="AF380:AF384"/>
    <mergeCell ref="AG380:AG384"/>
    <mergeCell ref="AH380:AH384"/>
    <mergeCell ref="AI380:AI384"/>
    <mergeCell ref="AJ380:AJ384"/>
    <mergeCell ref="AK380:AK384"/>
    <mergeCell ref="N381:N383"/>
    <mergeCell ref="O381:O383"/>
    <mergeCell ref="P381:P383"/>
    <mergeCell ref="Q381:Q383"/>
    <mergeCell ref="R381:R383"/>
    <mergeCell ref="S381:S383"/>
    <mergeCell ref="T381:T383"/>
    <mergeCell ref="U381:U383"/>
    <mergeCell ref="V381:V383"/>
    <mergeCell ref="W381:W383"/>
    <mergeCell ref="X381:X383"/>
    <mergeCell ref="Y381:Y383"/>
    <mergeCell ref="G370:G374"/>
    <mergeCell ref="H375:H379"/>
    <mergeCell ref="I375:I379"/>
    <mergeCell ref="J375:J379"/>
    <mergeCell ref="K375:K379"/>
    <mergeCell ref="L375:L379"/>
    <mergeCell ref="M375:M379"/>
    <mergeCell ref="AF375:AF379"/>
    <mergeCell ref="AG375:AG379"/>
    <mergeCell ref="AH375:AH379"/>
    <mergeCell ref="AI375:AI379"/>
    <mergeCell ref="AJ375:AJ379"/>
    <mergeCell ref="AK375:AK379"/>
    <mergeCell ref="N376:N378"/>
    <mergeCell ref="O376:O378"/>
    <mergeCell ref="P376:P378"/>
    <mergeCell ref="Q376:Q378"/>
    <mergeCell ref="R376:R378"/>
    <mergeCell ref="S376:S378"/>
    <mergeCell ref="T376:T378"/>
    <mergeCell ref="U376:U378"/>
    <mergeCell ref="V376:V378"/>
    <mergeCell ref="W376:W378"/>
    <mergeCell ref="X376:X378"/>
    <mergeCell ref="Y376:Y378"/>
    <mergeCell ref="G375:G379"/>
    <mergeCell ref="M370:M374"/>
    <mergeCell ref="AF370:AF374"/>
    <mergeCell ref="AG370:AG374"/>
    <mergeCell ref="AH370:AH374"/>
    <mergeCell ref="AI370:AI374"/>
    <mergeCell ref="AJ370:AJ374"/>
    <mergeCell ref="AK370:AK374"/>
    <mergeCell ref="N371:N373"/>
    <mergeCell ref="O371:O373"/>
    <mergeCell ref="P371:P373"/>
    <mergeCell ref="Q371:Q373"/>
    <mergeCell ref="R371:R373"/>
    <mergeCell ref="S371:S373"/>
    <mergeCell ref="T371:T373"/>
    <mergeCell ref="U371:U373"/>
    <mergeCell ref="V371:V373"/>
    <mergeCell ref="W371:W373"/>
    <mergeCell ref="X371:X373"/>
    <mergeCell ref="Y371:Y373"/>
    <mergeCell ref="G353:G357"/>
    <mergeCell ref="H364:H369"/>
    <mergeCell ref="I364:I369"/>
    <mergeCell ref="J364:J369"/>
    <mergeCell ref="K364:K369"/>
    <mergeCell ref="L364:L369"/>
    <mergeCell ref="M364:M369"/>
    <mergeCell ref="AF364:AF369"/>
    <mergeCell ref="AG364:AG369"/>
    <mergeCell ref="AH364:AH369"/>
    <mergeCell ref="AI364:AI369"/>
    <mergeCell ref="AJ364:AJ369"/>
    <mergeCell ref="AK364:AK369"/>
    <mergeCell ref="N365:N368"/>
    <mergeCell ref="O365:O368"/>
    <mergeCell ref="P365:P368"/>
    <mergeCell ref="Q365:Q368"/>
    <mergeCell ref="R365:R368"/>
    <mergeCell ref="S365:S368"/>
    <mergeCell ref="T365:T368"/>
    <mergeCell ref="U365:U368"/>
    <mergeCell ref="V365:V368"/>
    <mergeCell ref="W365:W368"/>
    <mergeCell ref="X365:X368"/>
    <mergeCell ref="Y365:Y368"/>
    <mergeCell ref="G364:G369"/>
    <mergeCell ref="H353:H357"/>
    <mergeCell ref="I353:I357"/>
    <mergeCell ref="J353:J357"/>
    <mergeCell ref="K353:K357"/>
    <mergeCell ref="L353:L357"/>
    <mergeCell ref="M353:M357"/>
    <mergeCell ref="AF353:AF357"/>
    <mergeCell ref="AG353:AG357"/>
    <mergeCell ref="AH353:AH357"/>
    <mergeCell ref="AI353:AI357"/>
    <mergeCell ref="AJ353:AJ357"/>
    <mergeCell ref="AK353:AK357"/>
    <mergeCell ref="N354:N356"/>
    <mergeCell ref="O354:O356"/>
    <mergeCell ref="P354:P356"/>
    <mergeCell ref="Q354:Q356"/>
    <mergeCell ref="R354:R356"/>
    <mergeCell ref="S354:S356"/>
    <mergeCell ref="T354:T356"/>
    <mergeCell ref="U354:U356"/>
    <mergeCell ref="V354:V356"/>
    <mergeCell ref="W354:W356"/>
    <mergeCell ref="X354:X356"/>
    <mergeCell ref="Y354:Y356"/>
    <mergeCell ref="G343:G347"/>
    <mergeCell ref="H348:H352"/>
    <mergeCell ref="I348:I352"/>
    <mergeCell ref="J348:J352"/>
    <mergeCell ref="K348:K352"/>
    <mergeCell ref="L348:L352"/>
    <mergeCell ref="M348:M352"/>
    <mergeCell ref="AF348:AF352"/>
    <mergeCell ref="AG348:AG352"/>
    <mergeCell ref="AH348:AH352"/>
    <mergeCell ref="AI348:AI352"/>
    <mergeCell ref="AJ348:AJ352"/>
    <mergeCell ref="AK348:AK352"/>
    <mergeCell ref="N349:N351"/>
    <mergeCell ref="O349:O351"/>
    <mergeCell ref="P349:P351"/>
    <mergeCell ref="Q349:Q351"/>
    <mergeCell ref="R349:R351"/>
    <mergeCell ref="S349:S351"/>
    <mergeCell ref="T349:T351"/>
    <mergeCell ref="U349:U351"/>
    <mergeCell ref="V349:V351"/>
    <mergeCell ref="W349:W351"/>
    <mergeCell ref="X349:X351"/>
    <mergeCell ref="Y349:Y351"/>
    <mergeCell ref="G348:G352"/>
    <mergeCell ref="H343:H347"/>
    <mergeCell ref="I343:I347"/>
    <mergeCell ref="J343:J347"/>
    <mergeCell ref="K343:K347"/>
    <mergeCell ref="L343:L347"/>
    <mergeCell ref="M343:M347"/>
    <mergeCell ref="AF343:AF347"/>
    <mergeCell ref="AG343:AG347"/>
    <mergeCell ref="AH343:AH347"/>
    <mergeCell ref="AI343:AI347"/>
    <mergeCell ref="AJ343:AJ347"/>
    <mergeCell ref="AK343:AK347"/>
    <mergeCell ref="N344:N346"/>
    <mergeCell ref="O344:O346"/>
    <mergeCell ref="P344:P346"/>
    <mergeCell ref="Q344:Q346"/>
    <mergeCell ref="R344:R346"/>
    <mergeCell ref="S344:S346"/>
    <mergeCell ref="T344:T346"/>
    <mergeCell ref="U344:U346"/>
    <mergeCell ref="V344:V346"/>
    <mergeCell ref="W344:W346"/>
    <mergeCell ref="X344:X346"/>
    <mergeCell ref="Y344:Y346"/>
    <mergeCell ref="G333:G337"/>
    <mergeCell ref="H338:H342"/>
    <mergeCell ref="I338:I342"/>
    <mergeCell ref="J338:J342"/>
    <mergeCell ref="K338:K342"/>
    <mergeCell ref="L338:L342"/>
    <mergeCell ref="M338:M342"/>
    <mergeCell ref="AF338:AF342"/>
    <mergeCell ref="AG338:AG342"/>
    <mergeCell ref="AH338:AH342"/>
    <mergeCell ref="AI338:AI342"/>
    <mergeCell ref="AJ338:AJ342"/>
    <mergeCell ref="AK338:AK342"/>
    <mergeCell ref="N339:N341"/>
    <mergeCell ref="O339:O341"/>
    <mergeCell ref="P339:P341"/>
    <mergeCell ref="Q339:Q341"/>
    <mergeCell ref="R339:R341"/>
    <mergeCell ref="S339:S341"/>
    <mergeCell ref="T339:T341"/>
    <mergeCell ref="U339:U341"/>
    <mergeCell ref="V339:V341"/>
    <mergeCell ref="W339:W341"/>
    <mergeCell ref="X339:X341"/>
    <mergeCell ref="Y339:Y341"/>
    <mergeCell ref="G338:G342"/>
    <mergeCell ref="H333:H337"/>
    <mergeCell ref="I333:I337"/>
    <mergeCell ref="J333:J337"/>
    <mergeCell ref="K333:K337"/>
    <mergeCell ref="L333:L337"/>
    <mergeCell ref="M333:M337"/>
    <mergeCell ref="AF333:AF337"/>
    <mergeCell ref="AG333:AG337"/>
    <mergeCell ref="AH333:AH337"/>
    <mergeCell ref="AI333:AI337"/>
    <mergeCell ref="AJ333:AJ337"/>
    <mergeCell ref="AK333:AK337"/>
    <mergeCell ref="N334:N336"/>
    <mergeCell ref="O334:O336"/>
    <mergeCell ref="P334:P336"/>
    <mergeCell ref="Q334:Q336"/>
    <mergeCell ref="R334:R336"/>
    <mergeCell ref="S334:S336"/>
    <mergeCell ref="T334:T336"/>
    <mergeCell ref="U334:U336"/>
    <mergeCell ref="V334:V336"/>
    <mergeCell ref="W334:W336"/>
    <mergeCell ref="X334:X336"/>
    <mergeCell ref="Y334:Y336"/>
    <mergeCell ref="G322:G326"/>
    <mergeCell ref="H327:H332"/>
    <mergeCell ref="I327:I332"/>
    <mergeCell ref="J327:J332"/>
    <mergeCell ref="K327:K332"/>
    <mergeCell ref="L327:L332"/>
    <mergeCell ref="M327:M332"/>
    <mergeCell ref="AF327:AF332"/>
    <mergeCell ref="AG327:AG332"/>
    <mergeCell ref="AH327:AH332"/>
    <mergeCell ref="AI327:AI332"/>
    <mergeCell ref="AJ327:AJ332"/>
    <mergeCell ref="AK327:AK332"/>
    <mergeCell ref="N328:N331"/>
    <mergeCell ref="O328:O331"/>
    <mergeCell ref="P328:P331"/>
    <mergeCell ref="Q328:Q331"/>
    <mergeCell ref="R328:R331"/>
    <mergeCell ref="S328:S331"/>
    <mergeCell ref="T328:T331"/>
    <mergeCell ref="U328:U331"/>
    <mergeCell ref="V328:V331"/>
    <mergeCell ref="W328:W331"/>
    <mergeCell ref="X328:X331"/>
    <mergeCell ref="Y328:Y331"/>
    <mergeCell ref="G327:G332"/>
    <mergeCell ref="M322:M326"/>
    <mergeCell ref="AF322:AF326"/>
    <mergeCell ref="AG322:AG326"/>
    <mergeCell ref="AH322:AH326"/>
    <mergeCell ref="AI322:AI326"/>
    <mergeCell ref="AJ322:AJ326"/>
    <mergeCell ref="AK322:AK326"/>
    <mergeCell ref="N323:N325"/>
    <mergeCell ref="O323:O325"/>
    <mergeCell ref="P323:P325"/>
    <mergeCell ref="Q323:Q325"/>
    <mergeCell ref="R323:R325"/>
    <mergeCell ref="S323:S325"/>
    <mergeCell ref="T323:T325"/>
    <mergeCell ref="U323:U325"/>
    <mergeCell ref="V323:V325"/>
    <mergeCell ref="W323:W325"/>
    <mergeCell ref="X323:X325"/>
    <mergeCell ref="Y323:Y325"/>
    <mergeCell ref="G305:G310"/>
    <mergeCell ref="H317:H321"/>
    <mergeCell ref="I317:I321"/>
    <mergeCell ref="J317:J321"/>
    <mergeCell ref="K317:K321"/>
    <mergeCell ref="L317:L321"/>
    <mergeCell ref="M317:M321"/>
    <mergeCell ref="AF317:AF321"/>
    <mergeCell ref="AG317:AG321"/>
    <mergeCell ref="AH317:AH321"/>
    <mergeCell ref="AI317:AI321"/>
    <mergeCell ref="AJ317:AJ321"/>
    <mergeCell ref="AK317:AK321"/>
    <mergeCell ref="N318:N320"/>
    <mergeCell ref="O318:O320"/>
    <mergeCell ref="P318:P320"/>
    <mergeCell ref="Q318:Q320"/>
    <mergeCell ref="R318:R320"/>
    <mergeCell ref="S318:S320"/>
    <mergeCell ref="T318:T320"/>
    <mergeCell ref="U318:U320"/>
    <mergeCell ref="V318:V320"/>
    <mergeCell ref="W318:W320"/>
    <mergeCell ref="X318:X320"/>
    <mergeCell ref="Y318:Y320"/>
    <mergeCell ref="G317:G321"/>
    <mergeCell ref="H305:H310"/>
    <mergeCell ref="I305:I310"/>
    <mergeCell ref="J305:J310"/>
    <mergeCell ref="K305:K310"/>
    <mergeCell ref="L305:L310"/>
    <mergeCell ref="M305:M310"/>
    <mergeCell ref="AF305:AF310"/>
    <mergeCell ref="AG305:AG310"/>
    <mergeCell ref="AH305:AH310"/>
    <mergeCell ref="AI305:AI310"/>
    <mergeCell ref="AJ305:AJ310"/>
    <mergeCell ref="AK305:AK310"/>
    <mergeCell ref="N306:N309"/>
    <mergeCell ref="O306:O309"/>
    <mergeCell ref="P306:P309"/>
    <mergeCell ref="Q306:Q309"/>
    <mergeCell ref="R306:R309"/>
    <mergeCell ref="S306:S309"/>
    <mergeCell ref="T306:T309"/>
    <mergeCell ref="U306:U309"/>
    <mergeCell ref="V306:V309"/>
    <mergeCell ref="W306:W309"/>
    <mergeCell ref="X306:X309"/>
    <mergeCell ref="Y306:Y309"/>
    <mergeCell ref="G295:G299"/>
    <mergeCell ref="H300:H304"/>
    <mergeCell ref="I300:I304"/>
    <mergeCell ref="J300:J304"/>
    <mergeCell ref="K300:K304"/>
    <mergeCell ref="L300:L304"/>
    <mergeCell ref="M300:M304"/>
    <mergeCell ref="AF300:AF304"/>
    <mergeCell ref="AG300:AG304"/>
    <mergeCell ref="AH300:AH304"/>
    <mergeCell ref="AI300:AI304"/>
    <mergeCell ref="AJ300:AJ304"/>
    <mergeCell ref="AK300:AK304"/>
    <mergeCell ref="N301:N303"/>
    <mergeCell ref="O301:O303"/>
    <mergeCell ref="P301:P303"/>
    <mergeCell ref="Q301:Q303"/>
    <mergeCell ref="R301:R303"/>
    <mergeCell ref="S301:S303"/>
    <mergeCell ref="T301:T303"/>
    <mergeCell ref="U301:U303"/>
    <mergeCell ref="V301:V303"/>
    <mergeCell ref="W301:W303"/>
    <mergeCell ref="X301:X303"/>
    <mergeCell ref="Y301:Y303"/>
    <mergeCell ref="G300:G304"/>
    <mergeCell ref="H295:H299"/>
    <mergeCell ref="I295:I299"/>
    <mergeCell ref="J295:J299"/>
    <mergeCell ref="K295:K299"/>
    <mergeCell ref="L295:L299"/>
    <mergeCell ref="M295:M299"/>
    <mergeCell ref="AF295:AF299"/>
    <mergeCell ref="AG295:AG299"/>
    <mergeCell ref="AH295:AH299"/>
    <mergeCell ref="AI295:AI299"/>
    <mergeCell ref="AJ295:AJ299"/>
    <mergeCell ref="AK295:AK299"/>
    <mergeCell ref="N296:N298"/>
    <mergeCell ref="O296:O298"/>
    <mergeCell ref="P296:P298"/>
    <mergeCell ref="Q296:Q298"/>
    <mergeCell ref="R296:R298"/>
    <mergeCell ref="S296:S298"/>
    <mergeCell ref="T296:T298"/>
    <mergeCell ref="U296:U298"/>
    <mergeCell ref="V296:V298"/>
    <mergeCell ref="W296:W298"/>
    <mergeCell ref="X296:X298"/>
    <mergeCell ref="Y296:Y298"/>
    <mergeCell ref="G285:G289"/>
    <mergeCell ref="H290:H294"/>
    <mergeCell ref="I290:I294"/>
    <mergeCell ref="J290:J294"/>
    <mergeCell ref="K290:K294"/>
    <mergeCell ref="L290:L294"/>
    <mergeCell ref="M290:M294"/>
    <mergeCell ref="AF290:AF294"/>
    <mergeCell ref="AG290:AG294"/>
    <mergeCell ref="AH290:AH294"/>
    <mergeCell ref="AI290:AI294"/>
    <mergeCell ref="AJ290:AJ294"/>
    <mergeCell ref="AK290:AK294"/>
    <mergeCell ref="N291:N293"/>
    <mergeCell ref="O291:O293"/>
    <mergeCell ref="P291:P293"/>
    <mergeCell ref="Q291:Q293"/>
    <mergeCell ref="R291:R293"/>
    <mergeCell ref="S291:S293"/>
    <mergeCell ref="T291:T293"/>
    <mergeCell ref="U291:U293"/>
    <mergeCell ref="V291:V293"/>
    <mergeCell ref="W291:W293"/>
    <mergeCell ref="X291:X293"/>
    <mergeCell ref="Y291:Y293"/>
    <mergeCell ref="G290:G294"/>
    <mergeCell ref="H285:H289"/>
    <mergeCell ref="I285:I289"/>
    <mergeCell ref="J285:J289"/>
    <mergeCell ref="K285:K289"/>
    <mergeCell ref="L285:L289"/>
    <mergeCell ref="M285:M289"/>
    <mergeCell ref="AF285:AF289"/>
    <mergeCell ref="AG285:AG289"/>
    <mergeCell ref="AH285:AH289"/>
    <mergeCell ref="AI285:AI289"/>
    <mergeCell ref="AJ285:AJ289"/>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275:G279"/>
    <mergeCell ref="H280:H284"/>
    <mergeCell ref="I280:I284"/>
    <mergeCell ref="J280:J284"/>
    <mergeCell ref="K280:K284"/>
    <mergeCell ref="L280:L284"/>
    <mergeCell ref="M280:M28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T281:T283"/>
    <mergeCell ref="U281:U283"/>
    <mergeCell ref="V281:V283"/>
    <mergeCell ref="W281:W283"/>
    <mergeCell ref="X281:X283"/>
    <mergeCell ref="Y281:Y283"/>
    <mergeCell ref="G280:G284"/>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22:G226"/>
    <mergeCell ref="H227:H231"/>
    <mergeCell ref="I227:I231"/>
    <mergeCell ref="J227:J231"/>
    <mergeCell ref="K227:K231"/>
    <mergeCell ref="L227:L231"/>
    <mergeCell ref="M227:M231"/>
    <mergeCell ref="AF227:AF231"/>
    <mergeCell ref="AG227:AG231"/>
    <mergeCell ref="AH227:AH231"/>
    <mergeCell ref="AI227:AI231"/>
    <mergeCell ref="AJ227:AJ231"/>
    <mergeCell ref="AK227:AK231"/>
    <mergeCell ref="N228:N230"/>
    <mergeCell ref="O228:O230"/>
    <mergeCell ref="P228:P230"/>
    <mergeCell ref="Q228:Q230"/>
    <mergeCell ref="R228:R230"/>
    <mergeCell ref="S228:S230"/>
    <mergeCell ref="T228:T230"/>
    <mergeCell ref="U228:U230"/>
    <mergeCell ref="V228:V230"/>
    <mergeCell ref="W228:W230"/>
    <mergeCell ref="X228:X230"/>
    <mergeCell ref="Y228:Y230"/>
    <mergeCell ref="G227:G231"/>
    <mergeCell ref="H222:H226"/>
    <mergeCell ref="I222:I226"/>
    <mergeCell ref="J222:J226"/>
    <mergeCell ref="K222:K226"/>
    <mergeCell ref="L222:L226"/>
    <mergeCell ref="M222:M226"/>
    <mergeCell ref="AF222:AF226"/>
    <mergeCell ref="AG222:AG226"/>
    <mergeCell ref="AH222:AH226"/>
    <mergeCell ref="AI222:AI226"/>
    <mergeCell ref="AJ222:AJ226"/>
    <mergeCell ref="AK222:AK226"/>
    <mergeCell ref="N223:N225"/>
    <mergeCell ref="O223:O225"/>
    <mergeCell ref="P223:P225"/>
    <mergeCell ref="Q223:Q225"/>
    <mergeCell ref="R223:R225"/>
    <mergeCell ref="S223:S225"/>
    <mergeCell ref="T223:T225"/>
    <mergeCell ref="U223:U225"/>
    <mergeCell ref="V223:V225"/>
    <mergeCell ref="W223:W225"/>
    <mergeCell ref="X223:X225"/>
    <mergeCell ref="Y223:Y225"/>
    <mergeCell ref="G212:G216"/>
    <mergeCell ref="H217:H221"/>
    <mergeCell ref="I217:I221"/>
    <mergeCell ref="J217:J221"/>
    <mergeCell ref="K217:K221"/>
    <mergeCell ref="L217:L221"/>
    <mergeCell ref="M217:M221"/>
    <mergeCell ref="AF217:AF221"/>
    <mergeCell ref="AG217:AG221"/>
    <mergeCell ref="AH217:AH221"/>
    <mergeCell ref="AI217:AI221"/>
    <mergeCell ref="AJ217:AJ221"/>
    <mergeCell ref="AK217:AK221"/>
    <mergeCell ref="N218:N220"/>
    <mergeCell ref="O218:O220"/>
    <mergeCell ref="P218:P220"/>
    <mergeCell ref="Q218:Q220"/>
    <mergeCell ref="R218:R220"/>
    <mergeCell ref="S218:S220"/>
    <mergeCell ref="T218:T220"/>
    <mergeCell ref="U218:U220"/>
    <mergeCell ref="V218:V220"/>
    <mergeCell ref="W218:W220"/>
    <mergeCell ref="X218:X220"/>
    <mergeCell ref="Y218:Y220"/>
    <mergeCell ref="G217:G221"/>
    <mergeCell ref="H212:H216"/>
    <mergeCell ref="I212:I216"/>
    <mergeCell ref="J212:J216"/>
    <mergeCell ref="K212:K216"/>
    <mergeCell ref="L212:L216"/>
    <mergeCell ref="M212:M216"/>
    <mergeCell ref="AF212:AF216"/>
    <mergeCell ref="AG212:AG216"/>
    <mergeCell ref="AH212:AH216"/>
    <mergeCell ref="AI212:AI216"/>
    <mergeCell ref="AJ212:AJ216"/>
    <mergeCell ref="AK212:AK216"/>
    <mergeCell ref="N213:N215"/>
    <mergeCell ref="O213:O215"/>
    <mergeCell ref="P213:P215"/>
    <mergeCell ref="Q213:Q215"/>
    <mergeCell ref="R213:R215"/>
    <mergeCell ref="S213:S215"/>
    <mergeCell ref="T213:T215"/>
    <mergeCell ref="U213:U215"/>
    <mergeCell ref="V213:V215"/>
    <mergeCell ref="W213:W215"/>
    <mergeCell ref="X213:X215"/>
    <mergeCell ref="Y213:Y215"/>
    <mergeCell ref="G259:G263"/>
    <mergeCell ref="H264:H268"/>
    <mergeCell ref="I264:I268"/>
    <mergeCell ref="J264:J268"/>
    <mergeCell ref="K264:K268"/>
    <mergeCell ref="L264:L268"/>
    <mergeCell ref="M264:M268"/>
    <mergeCell ref="AF264:AF268"/>
    <mergeCell ref="AG264:AG268"/>
    <mergeCell ref="AH264:AH268"/>
    <mergeCell ref="AI264:AI268"/>
    <mergeCell ref="AJ264:AJ268"/>
    <mergeCell ref="AK264:AK268"/>
    <mergeCell ref="N265:N267"/>
    <mergeCell ref="O265:O267"/>
    <mergeCell ref="P265:P267"/>
    <mergeCell ref="Q265:Q267"/>
    <mergeCell ref="R265:R267"/>
    <mergeCell ref="S265:S267"/>
    <mergeCell ref="T265:T267"/>
    <mergeCell ref="U265:U267"/>
    <mergeCell ref="V265:V267"/>
    <mergeCell ref="W265:W267"/>
    <mergeCell ref="X265:X267"/>
    <mergeCell ref="Y265:Y267"/>
    <mergeCell ref="G264:G268"/>
    <mergeCell ref="H259:H263"/>
    <mergeCell ref="I259:I263"/>
    <mergeCell ref="J259:J263"/>
    <mergeCell ref="K259:K263"/>
    <mergeCell ref="L259:L263"/>
    <mergeCell ref="M259:M263"/>
    <mergeCell ref="AF259:AF263"/>
    <mergeCell ref="AG259:AG263"/>
    <mergeCell ref="AH259:AH263"/>
    <mergeCell ref="AI259:AI263"/>
    <mergeCell ref="AJ259:AJ263"/>
    <mergeCell ref="AK259:AK263"/>
    <mergeCell ref="N260:N262"/>
    <mergeCell ref="O260:O262"/>
    <mergeCell ref="P260:P262"/>
    <mergeCell ref="Q260:Q262"/>
    <mergeCell ref="R260:R262"/>
    <mergeCell ref="S260:S262"/>
    <mergeCell ref="T260:T262"/>
    <mergeCell ref="U260:U262"/>
    <mergeCell ref="V260:V262"/>
    <mergeCell ref="W260:W262"/>
    <mergeCell ref="X260:X262"/>
    <mergeCell ref="Y260:Y262"/>
    <mergeCell ref="G249:G253"/>
    <mergeCell ref="H254:H258"/>
    <mergeCell ref="I254:I258"/>
    <mergeCell ref="J254:J258"/>
    <mergeCell ref="K254:K258"/>
    <mergeCell ref="L254:L258"/>
    <mergeCell ref="M254:M258"/>
    <mergeCell ref="AF254:AF258"/>
    <mergeCell ref="AG254:AG258"/>
    <mergeCell ref="AH254:AH258"/>
    <mergeCell ref="AI254:AI258"/>
    <mergeCell ref="AJ254:AJ258"/>
    <mergeCell ref="AK254:AK258"/>
    <mergeCell ref="N255:N257"/>
    <mergeCell ref="O255:O257"/>
    <mergeCell ref="P255:P257"/>
    <mergeCell ref="Q255:Q257"/>
    <mergeCell ref="R255:R257"/>
    <mergeCell ref="S255:S257"/>
    <mergeCell ref="T255:T257"/>
    <mergeCell ref="U255:U257"/>
    <mergeCell ref="V255:V257"/>
    <mergeCell ref="W255:W257"/>
    <mergeCell ref="X255:X257"/>
    <mergeCell ref="Y255:Y257"/>
    <mergeCell ref="G254:G258"/>
    <mergeCell ref="H249:H253"/>
    <mergeCell ref="I249:I253"/>
    <mergeCell ref="J249:J253"/>
    <mergeCell ref="K249:K253"/>
    <mergeCell ref="L249:L253"/>
    <mergeCell ref="M249:M253"/>
    <mergeCell ref="AF249:AF253"/>
    <mergeCell ref="AG249:AG253"/>
    <mergeCell ref="AH249:AH253"/>
    <mergeCell ref="AI249:AI253"/>
    <mergeCell ref="AJ249:AJ253"/>
    <mergeCell ref="AK249:AK253"/>
    <mergeCell ref="N250:N252"/>
    <mergeCell ref="O250:O252"/>
    <mergeCell ref="P250:P252"/>
    <mergeCell ref="Q250:Q252"/>
    <mergeCell ref="R250:R252"/>
    <mergeCell ref="S250:S252"/>
    <mergeCell ref="T250:T252"/>
    <mergeCell ref="U250:U252"/>
    <mergeCell ref="V250:V252"/>
    <mergeCell ref="W250:W252"/>
    <mergeCell ref="X250:X252"/>
    <mergeCell ref="Y250:Y252"/>
    <mergeCell ref="W240:W242"/>
    <mergeCell ref="X240:X242"/>
    <mergeCell ref="Y240:Y242"/>
    <mergeCell ref="G239:G243"/>
    <mergeCell ref="H244:H248"/>
    <mergeCell ref="I244:I248"/>
    <mergeCell ref="J244:J248"/>
    <mergeCell ref="K244:K248"/>
    <mergeCell ref="L244:L248"/>
    <mergeCell ref="M244:M248"/>
    <mergeCell ref="AF244:AF248"/>
    <mergeCell ref="AG244:AG248"/>
    <mergeCell ref="AH244:AH248"/>
    <mergeCell ref="AI244:AI248"/>
    <mergeCell ref="AJ244:AJ248"/>
    <mergeCell ref="AK244:AK248"/>
    <mergeCell ref="N245:N247"/>
    <mergeCell ref="O245:O247"/>
    <mergeCell ref="P245:P247"/>
    <mergeCell ref="Q245:Q247"/>
    <mergeCell ref="R245:R247"/>
    <mergeCell ref="S245:S247"/>
    <mergeCell ref="T245:T247"/>
    <mergeCell ref="U245:U247"/>
    <mergeCell ref="V245:V247"/>
    <mergeCell ref="W245:W247"/>
    <mergeCell ref="X245:X247"/>
    <mergeCell ref="Y245:Y247"/>
    <mergeCell ref="G244:G248"/>
    <mergeCell ref="AI191:AI195"/>
    <mergeCell ref="AJ191:AJ195"/>
    <mergeCell ref="AK191:AK195"/>
    <mergeCell ref="N192:N194"/>
    <mergeCell ref="O192:O194"/>
    <mergeCell ref="P192:P194"/>
    <mergeCell ref="Q192:Q194"/>
    <mergeCell ref="R192:R194"/>
    <mergeCell ref="S192:S194"/>
    <mergeCell ref="T192:T194"/>
    <mergeCell ref="U192:U194"/>
    <mergeCell ref="V192:V194"/>
    <mergeCell ref="W192:W194"/>
    <mergeCell ref="X192:X194"/>
    <mergeCell ref="Y192:Y194"/>
    <mergeCell ref="G191:G195"/>
    <mergeCell ref="H239:H243"/>
    <mergeCell ref="I239:I243"/>
    <mergeCell ref="J239:J243"/>
    <mergeCell ref="K239:K243"/>
    <mergeCell ref="L239:L243"/>
    <mergeCell ref="M239:M243"/>
    <mergeCell ref="AF239:AF243"/>
    <mergeCell ref="AG239:AG243"/>
    <mergeCell ref="AH239:AH243"/>
    <mergeCell ref="AI239:AI243"/>
    <mergeCell ref="AJ239:AJ243"/>
    <mergeCell ref="AK239:AK243"/>
    <mergeCell ref="N240:N242"/>
    <mergeCell ref="O240:O242"/>
    <mergeCell ref="P240:P242"/>
    <mergeCell ref="Q240:Q242"/>
    <mergeCell ref="S187:S189"/>
    <mergeCell ref="T187:T189"/>
    <mergeCell ref="U187:U189"/>
    <mergeCell ref="V187:V189"/>
    <mergeCell ref="W187:W189"/>
    <mergeCell ref="X187:X189"/>
    <mergeCell ref="Y187:Y189"/>
    <mergeCell ref="G186:G190"/>
    <mergeCell ref="H191:H195"/>
    <mergeCell ref="I191:I195"/>
    <mergeCell ref="J191:J195"/>
    <mergeCell ref="K191:K195"/>
    <mergeCell ref="L191:L195"/>
    <mergeCell ref="M191:M195"/>
    <mergeCell ref="AF191:AF195"/>
    <mergeCell ref="AG191:AG195"/>
    <mergeCell ref="AH191:AH195"/>
    <mergeCell ref="AJ181:AJ185"/>
    <mergeCell ref="AK181:AK185"/>
    <mergeCell ref="N182:N184"/>
    <mergeCell ref="O182:O184"/>
    <mergeCell ref="P182:P184"/>
    <mergeCell ref="Q182:Q184"/>
    <mergeCell ref="R182:R184"/>
    <mergeCell ref="S182:S184"/>
    <mergeCell ref="T182:T184"/>
    <mergeCell ref="U182:U184"/>
    <mergeCell ref="V182:V184"/>
    <mergeCell ref="W182:W184"/>
    <mergeCell ref="X182:X184"/>
    <mergeCell ref="Y182:Y184"/>
    <mergeCell ref="G181:G185"/>
    <mergeCell ref="H186:H190"/>
    <mergeCell ref="I186:I190"/>
    <mergeCell ref="J186:J190"/>
    <mergeCell ref="K186:K190"/>
    <mergeCell ref="L186:L190"/>
    <mergeCell ref="M186:M190"/>
    <mergeCell ref="AF186:AF190"/>
    <mergeCell ref="AG186:AG190"/>
    <mergeCell ref="AH186:AH190"/>
    <mergeCell ref="AI186:AI190"/>
    <mergeCell ref="AJ186:AJ190"/>
    <mergeCell ref="AK186:AK190"/>
    <mergeCell ref="N187:N189"/>
    <mergeCell ref="O187:O189"/>
    <mergeCell ref="P187:P189"/>
    <mergeCell ref="Q187:Q189"/>
    <mergeCell ref="R187:R189"/>
    <mergeCell ref="T177:T179"/>
    <mergeCell ref="U177:U179"/>
    <mergeCell ref="V177:V179"/>
    <mergeCell ref="W177:W179"/>
    <mergeCell ref="X177:X179"/>
    <mergeCell ref="Y177:Y179"/>
    <mergeCell ref="G176:G180"/>
    <mergeCell ref="H181:H185"/>
    <mergeCell ref="I181:I185"/>
    <mergeCell ref="J181:J185"/>
    <mergeCell ref="K181:K185"/>
    <mergeCell ref="L181:L185"/>
    <mergeCell ref="M181:M185"/>
    <mergeCell ref="AF181:AF185"/>
    <mergeCell ref="AG181:AG185"/>
    <mergeCell ref="AH181:AH185"/>
    <mergeCell ref="AI181:AI185"/>
    <mergeCell ref="AK171:AK175"/>
    <mergeCell ref="N172:N174"/>
    <mergeCell ref="O172:O174"/>
    <mergeCell ref="P172:P174"/>
    <mergeCell ref="Q172:Q174"/>
    <mergeCell ref="R172:R174"/>
    <mergeCell ref="S172:S174"/>
    <mergeCell ref="T172:T174"/>
    <mergeCell ref="U172:U174"/>
    <mergeCell ref="V172:V174"/>
    <mergeCell ref="W172:W174"/>
    <mergeCell ref="X172:X174"/>
    <mergeCell ref="Y172:Y174"/>
    <mergeCell ref="G171:G175"/>
    <mergeCell ref="H176:H180"/>
    <mergeCell ref="I176:I180"/>
    <mergeCell ref="J176:J180"/>
    <mergeCell ref="K176:K180"/>
    <mergeCell ref="L176:L180"/>
    <mergeCell ref="M176:M180"/>
    <mergeCell ref="AF176:AF180"/>
    <mergeCell ref="AG176:AG180"/>
    <mergeCell ref="AH176:AH180"/>
    <mergeCell ref="AI176:AI180"/>
    <mergeCell ref="AJ176:AJ180"/>
    <mergeCell ref="AK176:AK180"/>
    <mergeCell ref="N177:N179"/>
    <mergeCell ref="O177:O179"/>
    <mergeCell ref="P177:P179"/>
    <mergeCell ref="Q177:Q179"/>
    <mergeCell ref="R177:R179"/>
    <mergeCell ref="S177:S179"/>
    <mergeCell ref="G207:G211"/>
    <mergeCell ref="H165:H170"/>
    <mergeCell ref="I165:I170"/>
    <mergeCell ref="J165:J170"/>
    <mergeCell ref="K165:K170"/>
    <mergeCell ref="L165:L170"/>
    <mergeCell ref="M165:M170"/>
    <mergeCell ref="AF165:AF170"/>
    <mergeCell ref="AG165:AG170"/>
    <mergeCell ref="AH165:AH170"/>
    <mergeCell ref="AI165:AI170"/>
    <mergeCell ref="AJ165:AJ170"/>
    <mergeCell ref="AK165:AK170"/>
    <mergeCell ref="N166:N169"/>
    <mergeCell ref="O166:O169"/>
    <mergeCell ref="P166:P169"/>
    <mergeCell ref="Q166:Q169"/>
    <mergeCell ref="R166:R169"/>
    <mergeCell ref="S166:S169"/>
    <mergeCell ref="T166:T169"/>
    <mergeCell ref="U166:U169"/>
    <mergeCell ref="V166:V169"/>
    <mergeCell ref="W166:W169"/>
    <mergeCell ref="X166:X169"/>
    <mergeCell ref="Y166:Y169"/>
    <mergeCell ref="G165:G170"/>
    <mergeCell ref="H171:H175"/>
    <mergeCell ref="I171:I175"/>
    <mergeCell ref="J171:J175"/>
    <mergeCell ref="K171:K175"/>
    <mergeCell ref="L171:L175"/>
    <mergeCell ref="M171:M175"/>
    <mergeCell ref="M207:M211"/>
    <mergeCell ref="AF207:AF211"/>
    <mergeCell ref="AG207:AG211"/>
    <mergeCell ref="AH207:AH211"/>
    <mergeCell ref="AI207:AI211"/>
    <mergeCell ref="AJ207:AJ211"/>
    <mergeCell ref="AK207:AK211"/>
    <mergeCell ref="N208:N210"/>
    <mergeCell ref="O208:O210"/>
    <mergeCell ref="P208:P210"/>
    <mergeCell ref="Q208:Q210"/>
    <mergeCell ref="R208:R210"/>
    <mergeCell ref="S208:S210"/>
    <mergeCell ref="T208:T210"/>
    <mergeCell ref="U208:U210"/>
    <mergeCell ref="V208:V210"/>
    <mergeCell ref="W208:W210"/>
    <mergeCell ref="X208:X210"/>
    <mergeCell ref="Y208:Y210"/>
    <mergeCell ref="G149:G153"/>
    <mergeCell ref="H160:H164"/>
    <mergeCell ref="I160:I164"/>
    <mergeCell ref="J160:J164"/>
    <mergeCell ref="K160:K164"/>
    <mergeCell ref="L160:L164"/>
    <mergeCell ref="M160:M164"/>
    <mergeCell ref="AF160:AF164"/>
    <mergeCell ref="AG160:AG164"/>
    <mergeCell ref="AH160:AH164"/>
    <mergeCell ref="AI160:AI164"/>
    <mergeCell ref="AJ160:AJ164"/>
    <mergeCell ref="AK160:AK164"/>
    <mergeCell ref="N161:N163"/>
    <mergeCell ref="O161:O163"/>
    <mergeCell ref="P161:P163"/>
    <mergeCell ref="Q161:Q163"/>
    <mergeCell ref="R161:R163"/>
    <mergeCell ref="S161:S163"/>
    <mergeCell ref="T161:T163"/>
    <mergeCell ref="U161:U163"/>
    <mergeCell ref="V161:V163"/>
    <mergeCell ref="W161:W163"/>
    <mergeCell ref="X161:X163"/>
    <mergeCell ref="Y161:Y163"/>
    <mergeCell ref="G160:G164"/>
    <mergeCell ref="H149:H153"/>
    <mergeCell ref="I149:I153"/>
    <mergeCell ref="J149:J153"/>
    <mergeCell ref="K149:K153"/>
    <mergeCell ref="L149:L153"/>
    <mergeCell ref="M149:M153"/>
    <mergeCell ref="AF149:AF153"/>
    <mergeCell ref="AG149:AG153"/>
    <mergeCell ref="AH149:AH153"/>
    <mergeCell ref="AI149:AI153"/>
    <mergeCell ref="AJ149:AJ153"/>
    <mergeCell ref="AK149:AK153"/>
    <mergeCell ref="N150:N152"/>
    <mergeCell ref="O150:O152"/>
    <mergeCell ref="P150:P152"/>
    <mergeCell ref="Q150:Q152"/>
    <mergeCell ref="R150:R152"/>
    <mergeCell ref="S150:S152"/>
    <mergeCell ref="T150:T152"/>
    <mergeCell ref="U150:U152"/>
    <mergeCell ref="V150:V152"/>
    <mergeCell ref="W150:W152"/>
    <mergeCell ref="X150:X152"/>
    <mergeCell ref="Y150:Y152"/>
    <mergeCell ref="G139:G143"/>
    <mergeCell ref="H144:H148"/>
    <mergeCell ref="I144:I148"/>
    <mergeCell ref="J144:J148"/>
    <mergeCell ref="K144:K148"/>
    <mergeCell ref="L144:L148"/>
    <mergeCell ref="M144:M148"/>
    <mergeCell ref="AF144:AF148"/>
    <mergeCell ref="AG144:AG148"/>
    <mergeCell ref="AH144:AH148"/>
    <mergeCell ref="AI144:AI148"/>
    <mergeCell ref="AJ144:AJ148"/>
    <mergeCell ref="AK144:AK148"/>
    <mergeCell ref="N145:N147"/>
    <mergeCell ref="O145:O147"/>
    <mergeCell ref="P145:P147"/>
    <mergeCell ref="Q145:Q147"/>
    <mergeCell ref="R145:R147"/>
    <mergeCell ref="S145:S147"/>
    <mergeCell ref="T145:T147"/>
    <mergeCell ref="U145:U147"/>
    <mergeCell ref="V145:V147"/>
    <mergeCell ref="W145:W147"/>
    <mergeCell ref="X145:X147"/>
    <mergeCell ref="Y145:Y147"/>
    <mergeCell ref="G144:G148"/>
    <mergeCell ref="H139:H143"/>
    <mergeCell ref="I139:I143"/>
    <mergeCell ref="J139:J143"/>
    <mergeCell ref="K139:K143"/>
    <mergeCell ref="L139:L143"/>
    <mergeCell ref="M139:M143"/>
    <mergeCell ref="AF139:AF143"/>
    <mergeCell ref="AG139:AG143"/>
    <mergeCell ref="AH139:AH143"/>
    <mergeCell ref="AI139:AI143"/>
    <mergeCell ref="AJ139:AJ143"/>
    <mergeCell ref="AK139:AK143"/>
    <mergeCell ref="N140:N142"/>
    <mergeCell ref="O140:O142"/>
    <mergeCell ref="P140:P142"/>
    <mergeCell ref="Q140:Q142"/>
    <mergeCell ref="R140:R142"/>
    <mergeCell ref="S140:S142"/>
    <mergeCell ref="T140:T142"/>
    <mergeCell ref="U140:U142"/>
    <mergeCell ref="V140:V142"/>
    <mergeCell ref="W140:W142"/>
    <mergeCell ref="X140:X142"/>
    <mergeCell ref="Y140:Y142"/>
    <mergeCell ref="G129:G133"/>
    <mergeCell ref="H134:H138"/>
    <mergeCell ref="I134:I138"/>
    <mergeCell ref="J134:J138"/>
    <mergeCell ref="K134:K138"/>
    <mergeCell ref="L134:L138"/>
    <mergeCell ref="M134:M138"/>
    <mergeCell ref="AF134:AF138"/>
    <mergeCell ref="AG134:AG138"/>
    <mergeCell ref="AH134:AH138"/>
    <mergeCell ref="AI134:AI138"/>
    <mergeCell ref="AJ134:AJ138"/>
    <mergeCell ref="AK134:AK138"/>
    <mergeCell ref="N135:N137"/>
    <mergeCell ref="O135:O137"/>
    <mergeCell ref="P135:P137"/>
    <mergeCell ref="Q135:Q137"/>
    <mergeCell ref="R135:R137"/>
    <mergeCell ref="S135:S137"/>
    <mergeCell ref="T135:T137"/>
    <mergeCell ref="U135:U137"/>
    <mergeCell ref="V135:V137"/>
    <mergeCell ref="W135:W137"/>
    <mergeCell ref="X135:X137"/>
    <mergeCell ref="Y135:Y137"/>
    <mergeCell ref="G134:G138"/>
    <mergeCell ref="H129:H133"/>
    <mergeCell ref="I129:I133"/>
    <mergeCell ref="J129:J133"/>
    <mergeCell ref="K129:K133"/>
    <mergeCell ref="L129:L133"/>
    <mergeCell ref="M129:M133"/>
    <mergeCell ref="AF129:AF133"/>
    <mergeCell ref="AG129:AG133"/>
    <mergeCell ref="AH129:AH133"/>
    <mergeCell ref="AI129:AI133"/>
    <mergeCell ref="AJ129:AJ133"/>
    <mergeCell ref="AK129:AK133"/>
    <mergeCell ref="N130:N132"/>
    <mergeCell ref="O130:O132"/>
    <mergeCell ref="P130:P132"/>
    <mergeCell ref="Q130:Q132"/>
    <mergeCell ref="R130:R132"/>
    <mergeCell ref="S130:S132"/>
    <mergeCell ref="T130:T132"/>
    <mergeCell ref="U130:U132"/>
    <mergeCell ref="V130:V132"/>
    <mergeCell ref="W130:W132"/>
    <mergeCell ref="X130:X132"/>
    <mergeCell ref="Y130:Y132"/>
    <mergeCell ref="G118:G122"/>
    <mergeCell ref="H123:H128"/>
    <mergeCell ref="I123:I128"/>
    <mergeCell ref="J123:J128"/>
    <mergeCell ref="K123:K128"/>
    <mergeCell ref="L123:L128"/>
    <mergeCell ref="M123:M128"/>
    <mergeCell ref="AF123:AF128"/>
    <mergeCell ref="AG123:AG128"/>
    <mergeCell ref="AH123:AH128"/>
    <mergeCell ref="AI123:AI128"/>
    <mergeCell ref="AJ123:AJ128"/>
    <mergeCell ref="AK123:AK128"/>
    <mergeCell ref="N124:N127"/>
    <mergeCell ref="O124:O127"/>
    <mergeCell ref="P124:P127"/>
    <mergeCell ref="Q124:Q127"/>
    <mergeCell ref="R124:R127"/>
    <mergeCell ref="S124:S127"/>
    <mergeCell ref="T124:T127"/>
    <mergeCell ref="U124:U127"/>
    <mergeCell ref="V124:V127"/>
    <mergeCell ref="W124:W127"/>
    <mergeCell ref="X124:X127"/>
    <mergeCell ref="Y124:Y127"/>
    <mergeCell ref="G123:G128"/>
    <mergeCell ref="H118:H122"/>
    <mergeCell ref="I118:I122"/>
    <mergeCell ref="J118:J122"/>
    <mergeCell ref="K118:K122"/>
    <mergeCell ref="L118:L122"/>
    <mergeCell ref="M118:M122"/>
    <mergeCell ref="AF118:AF122"/>
    <mergeCell ref="AG118:AG122"/>
    <mergeCell ref="AH118:AH122"/>
    <mergeCell ref="AI118:AI122"/>
    <mergeCell ref="AJ118:AJ122"/>
    <mergeCell ref="AK118:AK122"/>
    <mergeCell ref="N119:N121"/>
    <mergeCell ref="O119:O121"/>
    <mergeCell ref="P119:P121"/>
    <mergeCell ref="Q119:Q121"/>
    <mergeCell ref="R119:R121"/>
    <mergeCell ref="S119:S121"/>
    <mergeCell ref="T119:T121"/>
    <mergeCell ref="U119:U121"/>
    <mergeCell ref="V119:V121"/>
    <mergeCell ref="W119:W121"/>
    <mergeCell ref="X119:X121"/>
    <mergeCell ref="Y119:Y121"/>
    <mergeCell ref="G108:G112"/>
    <mergeCell ref="H113:H117"/>
    <mergeCell ref="I113:I117"/>
    <mergeCell ref="J113:J117"/>
    <mergeCell ref="K113:K117"/>
    <mergeCell ref="L113:L117"/>
    <mergeCell ref="M113:M117"/>
    <mergeCell ref="AF113:AF117"/>
    <mergeCell ref="AG113:AG117"/>
    <mergeCell ref="AH113:AH117"/>
    <mergeCell ref="AI113:AI117"/>
    <mergeCell ref="AJ113:AJ117"/>
    <mergeCell ref="AK113:AK117"/>
    <mergeCell ref="N114:N116"/>
    <mergeCell ref="O114:O116"/>
    <mergeCell ref="P114:P116"/>
    <mergeCell ref="Q114:Q116"/>
    <mergeCell ref="R114:R116"/>
    <mergeCell ref="S114:S116"/>
    <mergeCell ref="T114:T116"/>
    <mergeCell ref="U114:U116"/>
    <mergeCell ref="V114:V116"/>
    <mergeCell ref="W114:W116"/>
    <mergeCell ref="X114:X116"/>
    <mergeCell ref="Y114:Y116"/>
    <mergeCell ref="G113:G117"/>
    <mergeCell ref="M108:M112"/>
    <mergeCell ref="AF108:AF112"/>
    <mergeCell ref="AG108:AG112"/>
    <mergeCell ref="AH108:AH112"/>
    <mergeCell ref="AI108:AI112"/>
    <mergeCell ref="AJ108:AJ112"/>
    <mergeCell ref="AK108:AK112"/>
    <mergeCell ref="N109:N111"/>
    <mergeCell ref="O109:O111"/>
    <mergeCell ref="P109:P111"/>
    <mergeCell ref="Q109:Q111"/>
    <mergeCell ref="R109:R111"/>
    <mergeCell ref="S109:S111"/>
    <mergeCell ref="T109:T111"/>
    <mergeCell ref="U109:U111"/>
    <mergeCell ref="V109:V111"/>
    <mergeCell ref="W109:W111"/>
    <mergeCell ref="X109:X111"/>
    <mergeCell ref="Y109:Y111"/>
    <mergeCell ref="G91:G95"/>
    <mergeCell ref="H96:H101"/>
    <mergeCell ref="I96:I101"/>
    <mergeCell ref="J96:J101"/>
    <mergeCell ref="K96:K101"/>
    <mergeCell ref="L96:L101"/>
    <mergeCell ref="M96:M101"/>
    <mergeCell ref="AF96:AF101"/>
    <mergeCell ref="AG96:AG101"/>
    <mergeCell ref="AH96:AH101"/>
    <mergeCell ref="AI96:AI101"/>
    <mergeCell ref="AJ96:AJ101"/>
    <mergeCell ref="AK96:AK101"/>
    <mergeCell ref="N97:N100"/>
    <mergeCell ref="O97:O100"/>
    <mergeCell ref="P97:P100"/>
    <mergeCell ref="Q97:Q100"/>
    <mergeCell ref="R97:R100"/>
    <mergeCell ref="S97:S100"/>
    <mergeCell ref="T97:T100"/>
    <mergeCell ref="U97:U100"/>
    <mergeCell ref="V97:V100"/>
    <mergeCell ref="W97:W100"/>
    <mergeCell ref="X97:X100"/>
    <mergeCell ref="Y97:Y100"/>
    <mergeCell ref="G96:G101"/>
    <mergeCell ref="H91:H95"/>
    <mergeCell ref="I91:I95"/>
    <mergeCell ref="J91:J95"/>
    <mergeCell ref="K91:K95"/>
    <mergeCell ref="L91:L95"/>
    <mergeCell ref="M91:M95"/>
    <mergeCell ref="AF91:AF95"/>
    <mergeCell ref="AG91:AG95"/>
    <mergeCell ref="AH91:AH95"/>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6:G90"/>
    <mergeCell ref="R82:R8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G86:AG9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S72:S74"/>
    <mergeCell ref="T72:T74"/>
    <mergeCell ref="U72:U74"/>
    <mergeCell ref="V72:V74"/>
    <mergeCell ref="W72:W74"/>
    <mergeCell ref="X72:X74"/>
    <mergeCell ref="Y72:Y74"/>
    <mergeCell ref="G71:G75"/>
    <mergeCell ref="H76:H80"/>
    <mergeCell ref="I76:I80"/>
    <mergeCell ref="J76:J80"/>
    <mergeCell ref="K76:K80"/>
    <mergeCell ref="L76:L80"/>
    <mergeCell ref="M76:M80"/>
    <mergeCell ref="AF76:AF80"/>
    <mergeCell ref="AG76:AG80"/>
    <mergeCell ref="AH76:AH8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G66:G70"/>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G50:G54"/>
    <mergeCell ref="H61:H65"/>
    <mergeCell ref="I61:I65"/>
    <mergeCell ref="J61:J65"/>
    <mergeCell ref="K61:K65"/>
    <mergeCell ref="L61:L65"/>
    <mergeCell ref="M61:M65"/>
    <mergeCell ref="AF61:AF65"/>
    <mergeCell ref="AG61:AG65"/>
    <mergeCell ref="AH61:AH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G61:G65"/>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402:P404"/>
    <mergeCell ref="Q402:Q404"/>
    <mergeCell ref="R402:R404"/>
    <mergeCell ref="G401:G405"/>
    <mergeCell ref="AJ401:AJ405"/>
    <mergeCell ref="AK401:AK405"/>
    <mergeCell ref="I426:K426"/>
    <mergeCell ref="F401:F426"/>
    <mergeCell ref="AF401:AF405"/>
    <mergeCell ref="AG401:AG405"/>
    <mergeCell ref="AH401:AH405"/>
    <mergeCell ref="AI401:AI405"/>
    <mergeCell ref="S402:S404"/>
    <mergeCell ref="T402:T404"/>
    <mergeCell ref="U402:U404"/>
    <mergeCell ref="V402:V404"/>
    <mergeCell ref="W402:W404"/>
    <mergeCell ref="X402:X404"/>
    <mergeCell ref="Y402:Y404"/>
    <mergeCell ref="H401:H405"/>
    <mergeCell ref="I401:I405"/>
    <mergeCell ref="J401:J405"/>
    <mergeCell ref="K401:K405"/>
    <mergeCell ref="L401:L405"/>
    <mergeCell ref="M401:M405"/>
    <mergeCell ref="N402:N404"/>
    <mergeCell ref="O402:O404"/>
    <mergeCell ref="H411:H415"/>
    <mergeCell ref="I411:I415"/>
    <mergeCell ref="J411:J415"/>
    <mergeCell ref="K411:K415"/>
    <mergeCell ref="L411:L415"/>
    <mergeCell ref="P360:P362"/>
    <mergeCell ref="Q360:Q362"/>
    <mergeCell ref="R360:R362"/>
    <mergeCell ref="G359:G363"/>
    <mergeCell ref="AJ359:AJ363"/>
    <mergeCell ref="AK359:AK363"/>
    <mergeCell ref="I400:K400"/>
    <mergeCell ref="F359:F400"/>
    <mergeCell ref="AF359:AF363"/>
    <mergeCell ref="AG359:AG363"/>
    <mergeCell ref="AH359:AH363"/>
    <mergeCell ref="AI359:AI363"/>
    <mergeCell ref="S360:S362"/>
    <mergeCell ref="T360:T362"/>
    <mergeCell ref="U360:U362"/>
    <mergeCell ref="V360:V362"/>
    <mergeCell ref="W360:W362"/>
    <mergeCell ref="X360:X362"/>
    <mergeCell ref="Y360:Y362"/>
    <mergeCell ref="H359:H363"/>
    <mergeCell ref="I359:I363"/>
    <mergeCell ref="J359:J363"/>
    <mergeCell ref="K359:K363"/>
    <mergeCell ref="L359:L363"/>
    <mergeCell ref="M359:M363"/>
    <mergeCell ref="N360:N362"/>
    <mergeCell ref="O360:O362"/>
    <mergeCell ref="H370:H374"/>
    <mergeCell ref="I370:I374"/>
    <mergeCell ref="J370:J374"/>
    <mergeCell ref="K370:K374"/>
    <mergeCell ref="L370:L374"/>
    <mergeCell ref="P313:P315"/>
    <mergeCell ref="Q313:Q315"/>
    <mergeCell ref="R313:R315"/>
    <mergeCell ref="G312:G316"/>
    <mergeCell ref="AJ312:AJ316"/>
    <mergeCell ref="AK312:AK316"/>
    <mergeCell ref="I358:K358"/>
    <mergeCell ref="F312:F358"/>
    <mergeCell ref="AF312:AF316"/>
    <mergeCell ref="AG312:AG316"/>
    <mergeCell ref="AH312:AH316"/>
    <mergeCell ref="AI312:AI316"/>
    <mergeCell ref="S313:S315"/>
    <mergeCell ref="T313:T315"/>
    <mergeCell ref="U313:U315"/>
    <mergeCell ref="V313:V315"/>
    <mergeCell ref="W313:W315"/>
    <mergeCell ref="X313:X315"/>
    <mergeCell ref="Y313:Y315"/>
    <mergeCell ref="H312:H316"/>
    <mergeCell ref="I312:I316"/>
    <mergeCell ref="J312:J316"/>
    <mergeCell ref="K312:K316"/>
    <mergeCell ref="L312:L316"/>
    <mergeCell ref="M312:M316"/>
    <mergeCell ref="N313:N315"/>
    <mergeCell ref="O313:O315"/>
    <mergeCell ref="H322:H326"/>
    <mergeCell ref="I322:I326"/>
    <mergeCell ref="J322:J326"/>
    <mergeCell ref="K322:K326"/>
    <mergeCell ref="L322:L326"/>
    <mergeCell ref="P271:P273"/>
    <mergeCell ref="Q271:Q273"/>
    <mergeCell ref="R271:R273"/>
    <mergeCell ref="G270:G274"/>
    <mergeCell ref="AJ270:AJ274"/>
    <mergeCell ref="AK270:AK274"/>
    <mergeCell ref="I311:K311"/>
    <mergeCell ref="F270:F311"/>
    <mergeCell ref="AF270:AF274"/>
    <mergeCell ref="AG270:AG274"/>
    <mergeCell ref="AH270:AH274"/>
    <mergeCell ref="AI270:AI274"/>
    <mergeCell ref="S271:S273"/>
    <mergeCell ref="T271:T273"/>
    <mergeCell ref="U271:U273"/>
    <mergeCell ref="V271:V273"/>
    <mergeCell ref="W271:W273"/>
    <mergeCell ref="X271:X273"/>
    <mergeCell ref="Y271:Y273"/>
    <mergeCell ref="H270:H274"/>
    <mergeCell ref="I270:I274"/>
    <mergeCell ref="J270:J274"/>
    <mergeCell ref="K270:K274"/>
    <mergeCell ref="L270:L274"/>
    <mergeCell ref="M270:M274"/>
    <mergeCell ref="N271:N273"/>
    <mergeCell ref="O271:O273"/>
    <mergeCell ref="H275:H279"/>
    <mergeCell ref="I275:I279"/>
    <mergeCell ref="J275:J279"/>
    <mergeCell ref="K275:K279"/>
    <mergeCell ref="L275:L279"/>
    <mergeCell ref="P235:P237"/>
    <mergeCell ref="Q235:Q237"/>
    <mergeCell ref="R235:R237"/>
    <mergeCell ref="G234:G238"/>
    <mergeCell ref="AJ234:AJ238"/>
    <mergeCell ref="AK234:AK238"/>
    <mergeCell ref="I269:K269"/>
    <mergeCell ref="F234:F269"/>
    <mergeCell ref="AF234:AF238"/>
    <mergeCell ref="AG234:AG238"/>
    <mergeCell ref="AH234:AH238"/>
    <mergeCell ref="AI234:AI238"/>
    <mergeCell ref="S235:S237"/>
    <mergeCell ref="T235:T237"/>
    <mergeCell ref="U235:U237"/>
    <mergeCell ref="V235:V237"/>
    <mergeCell ref="W235:W237"/>
    <mergeCell ref="X235:X237"/>
    <mergeCell ref="Y235:Y237"/>
    <mergeCell ref="H234:H238"/>
    <mergeCell ref="I234:I238"/>
    <mergeCell ref="J234:J238"/>
    <mergeCell ref="K234:K238"/>
    <mergeCell ref="L234:L238"/>
    <mergeCell ref="M234:M238"/>
    <mergeCell ref="N235:N237"/>
    <mergeCell ref="O235:O237"/>
    <mergeCell ref="R240:R242"/>
    <mergeCell ref="S240:S242"/>
    <mergeCell ref="T240:T242"/>
    <mergeCell ref="U240:U242"/>
    <mergeCell ref="V240:V242"/>
    <mergeCell ref="P203:P205"/>
    <mergeCell ref="Q203:Q205"/>
    <mergeCell ref="R203:R205"/>
    <mergeCell ref="G202:G206"/>
    <mergeCell ref="AJ202:AJ206"/>
    <mergeCell ref="AK202:AK206"/>
    <mergeCell ref="I232:K232"/>
    <mergeCell ref="F202:F232"/>
    <mergeCell ref="AF202:AF206"/>
    <mergeCell ref="AG202:AG206"/>
    <mergeCell ref="AH202:AH206"/>
    <mergeCell ref="AI202:AI206"/>
    <mergeCell ref="S203:S205"/>
    <mergeCell ref="T203:T205"/>
    <mergeCell ref="U203:U205"/>
    <mergeCell ref="V203:V205"/>
    <mergeCell ref="W203:W205"/>
    <mergeCell ref="X203:X205"/>
    <mergeCell ref="Y203:Y205"/>
    <mergeCell ref="H202:H206"/>
    <mergeCell ref="I202:I206"/>
    <mergeCell ref="J202:J206"/>
    <mergeCell ref="K202:K206"/>
    <mergeCell ref="L202:L206"/>
    <mergeCell ref="M202:M206"/>
    <mergeCell ref="N203:N205"/>
    <mergeCell ref="O203:O205"/>
    <mergeCell ref="H207:H211"/>
    <mergeCell ref="I207:I211"/>
    <mergeCell ref="J207:J211"/>
    <mergeCell ref="K207:K211"/>
    <mergeCell ref="L207:L211"/>
    <mergeCell ref="P156:P158"/>
    <mergeCell ref="Q156:Q158"/>
    <mergeCell ref="R156:R158"/>
    <mergeCell ref="G155:G159"/>
    <mergeCell ref="AJ155:AJ159"/>
    <mergeCell ref="AK155:AK159"/>
    <mergeCell ref="I201:K201"/>
    <mergeCell ref="F155:F201"/>
    <mergeCell ref="AF155:AF159"/>
    <mergeCell ref="AG155:AG159"/>
    <mergeCell ref="AH155:AH159"/>
    <mergeCell ref="AI155:AI159"/>
    <mergeCell ref="S156:S158"/>
    <mergeCell ref="T156:T158"/>
    <mergeCell ref="U156:U158"/>
    <mergeCell ref="V156:V158"/>
    <mergeCell ref="W156:W158"/>
    <mergeCell ref="X156:X158"/>
    <mergeCell ref="Y156:Y158"/>
    <mergeCell ref="H155:H159"/>
    <mergeCell ref="I155:I159"/>
    <mergeCell ref="J155:J159"/>
    <mergeCell ref="K155:K159"/>
    <mergeCell ref="L155:L159"/>
    <mergeCell ref="M155:M159"/>
    <mergeCell ref="N156:N158"/>
    <mergeCell ref="O156:O158"/>
    <mergeCell ref="AF171:AF175"/>
    <mergeCell ref="AG171:AG175"/>
    <mergeCell ref="AH171:AH175"/>
    <mergeCell ref="AI171:AI175"/>
    <mergeCell ref="AJ171:AJ175"/>
    <mergeCell ref="P104:P106"/>
    <mergeCell ref="Q104:Q106"/>
    <mergeCell ref="R104:R106"/>
    <mergeCell ref="G103:G107"/>
    <mergeCell ref="AJ103:AJ107"/>
    <mergeCell ref="AK103:AK107"/>
    <mergeCell ref="I154:K154"/>
    <mergeCell ref="F103:F154"/>
    <mergeCell ref="AF103:AF107"/>
    <mergeCell ref="AG103:AG107"/>
    <mergeCell ref="AH103:AH107"/>
    <mergeCell ref="AI103:AI107"/>
    <mergeCell ref="S104:S106"/>
    <mergeCell ref="T104:T106"/>
    <mergeCell ref="U104:U106"/>
    <mergeCell ref="V104:V106"/>
    <mergeCell ref="W104:W106"/>
    <mergeCell ref="X104:X106"/>
    <mergeCell ref="Y104:Y106"/>
    <mergeCell ref="H103:H107"/>
    <mergeCell ref="I103:I107"/>
    <mergeCell ref="J103:J107"/>
    <mergeCell ref="K103:K107"/>
    <mergeCell ref="L103:L107"/>
    <mergeCell ref="M103:M107"/>
    <mergeCell ref="N104:N106"/>
    <mergeCell ref="O104:O106"/>
    <mergeCell ref="H108:H112"/>
    <mergeCell ref="I108:I112"/>
    <mergeCell ref="J108:J112"/>
    <mergeCell ref="K108:K112"/>
    <mergeCell ref="L108:L112"/>
    <mergeCell ref="AK56:AK60"/>
    <mergeCell ref="I102:K102"/>
    <mergeCell ref="F56:F102"/>
    <mergeCell ref="AF56:AF60"/>
    <mergeCell ref="AG56:AG60"/>
    <mergeCell ref="AH56:AH60"/>
    <mergeCell ref="AI56:AI60"/>
    <mergeCell ref="S57:S59"/>
    <mergeCell ref="T57:T59"/>
    <mergeCell ref="U57:U59"/>
    <mergeCell ref="V57:V59"/>
    <mergeCell ref="W57:W59"/>
    <mergeCell ref="X57:X59"/>
    <mergeCell ref="Y57:Y59"/>
    <mergeCell ref="H56:H60"/>
    <mergeCell ref="I56:I60"/>
    <mergeCell ref="J56:J60"/>
    <mergeCell ref="K56:K60"/>
    <mergeCell ref="L56:L60"/>
    <mergeCell ref="M56:M60"/>
    <mergeCell ref="N57:N59"/>
    <mergeCell ref="O57:O59"/>
    <mergeCell ref="H66:H70"/>
    <mergeCell ref="I66:I70"/>
    <mergeCell ref="J66:J70"/>
    <mergeCell ref="K66:K70"/>
    <mergeCell ref="L66:L70"/>
    <mergeCell ref="M66:M70"/>
    <mergeCell ref="AF66:AF70"/>
    <mergeCell ref="AG66:AG70"/>
    <mergeCell ref="AH66:AH70"/>
    <mergeCell ref="AI66:AI70"/>
    <mergeCell ref="F5:K5"/>
    <mergeCell ref="P16:P18"/>
    <mergeCell ref="Q16:Q18"/>
    <mergeCell ref="R16:R18"/>
    <mergeCell ref="G15:G19"/>
    <mergeCell ref="AJ15:AJ19"/>
    <mergeCell ref="AK15:AK19"/>
    <mergeCell ref="I55:K55"/>
    <mergeCell ref="F15:F5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432:J432"/>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431:J431"/>
    <mergeCell ref="F430:J430"/>
    <mergeCell ref="P57:P59"/>
    <mergeCell ref="Q57:Q59"/>
    <mergeCell ref="R57:R59"/>
    <mergeCell ref="G56:G60"/>
    <mergeCell ref="AJ56:AJ60"/>
  </mergeCells>
  <dataValidations count="2017">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decimal" allowBlank="1" showErrorMessage="1" errorTitle="Ошибка" error="Допускается ввод только неотрицательных чисел!" sqref="AE367">
      <formula1>0</formula1>
      <formula2>9.99999999999999E+23</formula2>
    </dataValidation>
    <dataValidation type="decimal" allowBlank="1" showErrorMessage="1" errorTitle="Ошибка" error="Допускается ввод только неотрицательных чисел!" sqref="AC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decimal" allowBlank="1" showErrorMessage="1" errorTitle="Ошибка" error="Допускается ввод только неотрицательных чисел!" sqref="AE126">
      <formula1>0</formula1>
      <formula2>9.99999999999999E+23</formula2>
    </dataValidation>
    <dataValidation type="decimal" allowBlank="1" showErrorMessage="1" errorTitle="Ошибка" error="Допускается ввод только неотрицательных чисел!" sqref="AC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decimal" allowBlank="1" showErrorMessage="1" errorTitle="Ошибка" error="Допускается ввод только неотрицательных чисел!" sqref="AE397">
      <formula1>0</formula1>
      <formula2>9.99999999999999E+23</formula2>
    </dataValidation>
    <dataValidation type="decimal" allowBlank="1" showErrorMessage="1" errorTitle="Ошибка" error="Допускается ввод только неотрицательных чисел!" sqref="AC397">
      <formula1>0</formula1>
      <formula2>9.99999999999999E+23</formula2>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textLength" operator="lessThanOrEqual" allowBlank="1" showInputMessage="1" showErrorMessage="1" errorTitle="Ошибка" error="Допускается ввод не более 900 символов!" sqref="M395">
      <formula1>900</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decimal" allowBlank="1" showErrorMessage="1" errorTitle="Ошибка" error="Допускается ввод только неотрицательных чисел!" sqref="AE198">
      <formula1>0</formula1>
      <formula2>9.99999999999999E+23</formula2>
    </dataValidation>
    <dataValidation type="decimal" allowBlank="1" showErrorMessage="1" errorTitle="Ошибка" error="Допускается ввод только неотрицательных чисел!" sqref="AC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textLength" operator="lessThanOrEqual" allowBlank="1" showInputMessage="1" showErrorMessage="1" errorTitle="Ошибка" error="Допускается ввод не более 900 символов!" sqref="M196">
      <formula1>900</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M421">
      <formula1>900</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textLength" operator="lessThanOrEqual" allowBlank="1" showInputMessage="1" showErrorMessage="1" errorTitle="Ошибка" error="Допускается ввод не более 900 символов!" sqref="M416">
      <formula1>900</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M411">
      <formula1>900</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decimal" allowBlank="1" showErrorMessage="1" errorTitle="Ошибка" error="Допускается ввод только неотрицательных чисел!" sqref="AE408">
      <formula1>0</formula1>
      <formula2>9.99999999999999E+23</formula2>
    </dataValidation>
    <dataValidation type="decimal" allowBlank="1" showErrorMessage="1" errorTitle="Ошибка" error="Допускается ввод только неотрицательных чисел!" sqref="AC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textLength" operator="lessThanOrEqual" allowBlank="1" showInputMessage="1" showErrorMessage="1" errorTitle="Ошибка" error="Допускается ввод не более 900 символов!" sqref="M406">
      <formula1>900</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decimal" allowBlank="1" showErrorMessage="1" errorTitle="Ошибка" error="Допускается ввод только неотрицательных чисел!" sqref="AE392">
      <formula1>0</formula1>
      <formula2>9.99999999999999E+23</formula2>
    </dataValidation>
    <dataValidation type="decimal" allowBlank="1" showErrorMessage="1" errorTitle="Ошибка" error="Допускается ввод только неотрицательных чисел!" sqref="AC392">
      <formula1>0</formula1>
      <formula2>9.99999999999999E+23</formula2>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textLength" operator="lessThanOrEqual" allowBlank="1" showInputMessage="1" showErrorMessage="1" errorTitle="Ошибка" error="Допускается ввод не более 900 символов!" sqref="K3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M390">
      <formula1>900</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decimal" allowBlank="1" showErrorMessage="1" errorTitle="Ошибка" error="Допускается ввод только неотрицательных чисел!" sqref="AE387">
      <formula1>0</formula1>
      <formula2>9.99999999999999E+23</formula2>
    </dataValidation>
    <dataValidation type="decimal" allowBlank="1" showErrorMessage="1" errorTitle="Ошибка" error="Допускается ввод только неотрицательных чисел!" sqref="AC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textLength" operator="lessThanOrEqual" allowBlank="1" showInputMessage="1" showErrorMessage="1" errorTitle="Ошибка" error="Допускается ввод не более 900 символов!" sqref="M385">
      <formula1>900</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decimal" allowBlank="1" showErrorMessage="1" errorTitle="Ошибка" error="Допускается ввод только неотрицательных чисел!" sqref="AE382">
      <formula1>0</formula1>
      <formula2>9.99999999999999E+23</formula2>
    </dataValidation>
    <dataValidation type="decimal" allowBlank="1" showErrorMessage="1" errorTitle="Ошибка" error="Допускается ввод только неотрицательных чисел!" sqref="AC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textLength" operator="lessThanOrEqual" allowBlank="1" showInputMessage="1" showErrorMessage="1" errorTitle="Ошибка" error="Допускается ввод не более 900 символов!" sqref="M380">
      <formula1>900</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textLength" operator="lessThanOrEqual" allowBlank="1" showInputMessage="1" showErrorMessage="1" errorTitle="Ошибка" error="Допускается ввод не более 900 символов!" sqref="M375">
      <formula1>900</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M370">
      <formula1>900</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decimal" allowBlank="1" showErrorMessage="1" errorTitle="Ошибка" error="Допускается ввод только неотрицательных чисел!" sqref="AE366">
      <formula1>0</formula1>
      <formula2>9.99999999999999E+23</formula2>
    </dataValidation>
    <dataValidation type="decimal" allowBlank="1" showErrorMessage="1" errorTitle="Ошибка" error="Допускается ввод только неотрицательных чисел!" sqref="AC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M364">
      <formula1>900</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M353">
      <formula1>900</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textLength" operator="lessThanOrEqual" allowBlank="1" showInputMessage="1" showErrorMessage="1" errorTitle="Ошибка" error="Допускается ввод не более 900 символов!" sqref="M348">
      <formula1>900</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M343">
      <formula1>900</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M338">
      <formula1>900</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M333">
      <formula1>900</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M327">
      <formula1>900</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textLength" operator="lessThanOrEqual" allowBlank="1" showInputMessage="1" showErrorMessage="1" errorTitle="Ошибка" error="Допускается ввод не более 900 символов!" sqref="M322">
      <formula1>900</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textLength" operator="lessThanOrEqual" allowBlank="1" showInputMessage="1" showErrorMessage="1" errorTitle="Ошибка" error="Допускается ввод не более 900 символов!" sqref="M317">
      <formula1>900</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decimal" allowBlank="1" showErrorMessage="1" errorTitle="Ошибка" error="Допускается ввод только неотрицательных чисел!" sqref="AE307">
      <formula1>0</formula1>
      <formula2>9.99999999999999E+23</formula2>
    </dataValidation>
    <dataValidation type="decimal" allowBlank="1" showErrorMessage="1" errorTitle="Ошибка" error="Допускается ввод только неотрицательных чисел!" sqref="AC307">
      <formula1>0</formula1>
      <formula2>9.99999999999999E+23</formula2>
    </dataValidation>
    <dataValidation type="textLength" operator="lessThanOrEqual" allowBlank="1" showInputMessage="1" showErrorMessage="1" errorTitle="Ошибка" error="Допускается ввод не более 900 символов!" sqref="K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textLength" operator="lessThanOrEqual" allowBlank="1" showInputMessage="1" showErrorMessage="1" errorTitle="Ошибка" error="Допускается ввод не более 900 символов!" sqref="M305">
      <formula1>900</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decimal" allowBlank="1" showErrorMessage="1" errorTitle="Ошибка" error="Допускается ввод только неотрицательных чисел!" sqref="AE302">
      <formula1>0</formula1>
      <formula2>9.99999999999999E+23</formula2>
    </dataValidation>
    <dataValidation type="decimal" allowBlank="1" showErrorMessage="1" errorTitle="Ошибка" error="Допускается ввод только неотрицательных чисел!" sqref="AC302">
      <formula1>0</formula1>
      <formula2>9.99999999999999E+23</formula2>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textLength" operator="lessThanOrEqual" allowBlank="1" showInputMessage="1" showErrorMessage="1" errorTitle="Ошибка" error="Допускается ввод не более 900 символов!" sqref="K3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textLength" operator="lessThanOrEqual" allowBlank="1" showInputMessage="1" showErrorMessage="1" errorTitle="Ошибка" error="Допускается ввод не более 900 символов!" sqref="M300">
      <formula1>900</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textLength" operator="lessThanOrEqual" allowBlank="1" showInputMessage="1" showErrorMessage="1" errorTitle="Ошибка" error="Допускается ввод не более 900 символов!" sqref="M295">
      <formula1>900</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textLength" operator="lessThanOrEqual" allowBlank="1" showInputMessage="1" showErrorMessage="1" errorTitle="Ошибка" error="Допускается ввод не более 900 символов!" sqref="M290">
      <formula1>900</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decimal" allowBlank="1" showErrorMessage="1" errorTitle="Ошибка" error="Допускается ввод только неотрицательных чисел!" sqref="AE287">
      <formula1>0</formula1>
      <formula2>9.99999999999999E+23</formula2>
    </dataValidation>
    <dataValidation type="decimal" allowBlank="1" showErrorMessage="1" errorTitle="Ошибка" error="Допускается ввод только неотрицательных чисел!" sqref="AC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M285">
      <formula1>900</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decimal" allowBlank="1" showErrorMessage="1" errorTitle="Ошибка" error="Допускается ввод только неотрицательных чисел!" sqref="AE282">
      <formula1>0</formula1>
      <formula2>9.99999999999999E+23</formula2>
    </dataValidation>
    <dataValidation type="decimal" allowBlank="1" showErrorMessage="1" errorTitle="Ошибка" error="Допускается ввод только неотрицательных чисел!" sqref="AC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M280">
      <formula1>900</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M275">
      <formula1>900</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decimal" allowBlank="1" showErrorMessage="1" errorTitle="Ошибка" error="Допускается ввод только неотрицательных чисел!" sqref="AE229">
      <formula1>0</formula1>
      <formula2>9.99999999999999E+23</formula2>
    </dataValidation>
    <dataValidation type="decimal" allowBlank="1" showErrorMessage="1" errorTitle="Ошибка" error="Допускается ввод только неотрицательных чисел!" sqref="AC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textLength" operator="lessThanOrEqual" allowBlank="1" showInputMessage="1" showErrorMessage="1" errorTitle="Ошибка" error="Допускается ввод не более 900 символов!" sqref="M227">
      <formula1>900</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decimal" allowBlank="1" showErrorMessage="1" errorTitle="Ошибка" error="Допускается ввод только неотрицательных чисел!" sqref="AE224">
      <formula1>0</formula1>
      <formula2>9.99999999999999E+23</formula2>
    </dataValidation>
    <dataValidation type="decimal" allowBlank="1" showErrorMessage="1" errorTitle="Ошибка" error="Допускается ввод только неотрицательных чисел!" sqref="AC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textLength" operator="lessThanOrEqual" allowBlank="1" showInputMessage="1" showErrorMessage="1" errorTitle="Ошибка" error="Допускается ввод не более 900 символов!" sqref="M222">
      <formula1>900</formula1>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M217">
      <formula1>900</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M212">
      <formula1>900</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M264">
      <formula1>900</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textLength" operator="lessThanOrEqual" allowBlank="1" showInputMessage="1" showErrorMessage="1" errorTitle="Ошибка" error="Допускается ввод не более 900 символов!" sqref="M259">
      <formula1>900</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textLength" operator="lessThanOrEqual" allowBlank="1" showInputMessage="1" showErrorMessage="1" errorTitle="Ошибка" error="Допускается ввод не более 900 символов!" sqref="M254">
      <formula1>900</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decimal" allowBlank="1" showErrorMessage="1" errorTitle="Ошибка" error="Допускается ввод только неотрицательных чисел!" sqref="AE251">
      <formula1>0</formula1>
      <formula2>9.99999999999999E+23</formula2>
    </dataValidation>
    <dataValidation type="decimal" allowBlank="1" showErrorMessage="1" errorTitle="Ошибка" error="Допускается ввод только неотрицательных чисел!" sqref="AC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M249">
      <formula1>900</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M244">
      <formula1>900</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M239">
      <formula1>900</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M191">
      <formula1>900</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M181">
      <formula1>900</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M176">
      <formula1>900</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textLength" operator="lessThanOrEqual" allowBlank="1" showInputMessage="1" showErrorMessage="1" errorTitle="Ошибка"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decimal" allowBlank="1" showErrorMessage="1" errorTitle="Ошибка" error="Допускается ввод только неотрицательных чисел!" sqref="AE167">
      <formula1>0</formula1>
      <formula2>9.99999999999999E+23</formula2>
    </dataValidation>
    <dataValidation type="decimal" allowBlank="1" showErrorMessage="1" errorTitle="Ошибка" error="Допускается ввод только неотрицательных чисел!" sqref="AC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M165">
      <formula1>900</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textLength" operator="lessThanOrEqual" allowBlank="1" showInputMessage="1" showErrorMessage="1" errorTitle="Ошибка" error="Допускается ввод не более 900 символов!" sqref="M207">
      <formula1>900</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M160">
      <formula1>900</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M149">
      <formula1>900</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textLength" operator="lessThanOrEqual" allowBlank="1" showInputMessage="1" showErrorMessage="1" errorTitle="Ошибка" error="Допускается ввод не более 900 символов!" sqref="K1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M144">
      <formula1>900</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decimal" allowBlank="1" showErrorMessage="1" errorTitle="Ошибка" error="Допускается ввод только неотрицательных чисел!" sqref="AE141">
      <formula1>0</formula1>
      <formula2>9.99999999999999E+23</formula2>
    </dataValidation>
    <dataValidation type="decimal" allowBlank="1" showErrorMessage="1" errorTitle="Ошибка" error="Допускается ввод только неотрицательных чисел!" sqref="AC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textLength" operator="lessThanOrEqual" allowBlank="1" showInputMessage="1" showErrorMessage="1" errorTitle="Ошибка" error="Допускается ввод не более 900 символов!" sqref="M139">
      <formula1>900</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M134">
      <formula1>900</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M129">
      <formula1>900</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M123">
      <formula1>900</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decimal" allowBlank="1" showErrorMessage="1" errorTitle="Ошибка" error="Допускается ввод только неотрицательных чисел!" sqref="AE120">
      <formula1>0</formula1>
      <formula2>9.99999999999999E+23</formula2>
    </dataValidation>
    <dataValidation type="decimal" allowBlank="1" showErrorMessage="1" errorTitle="Ошибка" error="Допускается ввод только неотрицательных чисел!" sqref="AC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M118">
      <formula1>900</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decimal" allowBlank="1" showErrorMessage="1" errorTitle="Ошибка" error="Допускается ввод только неотрицательных чисел!" sqref="AE115">
      <formula1>0</formula1>
      <formula2>9.99999999999999E+23</formula2>
    </dataValidation>
    <dataValidation type="decimal" allowBlank="1" showErrorMessage="1" errorTitle="Ошибка" error="Допускается ввод только неотрицательных чисел!" sqref="AC115">
      <formula1>0</formula1>
      <formula2>9.99999999999999E+23</formula2>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M113">
      <formula1>900</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decimal" allowBlank="1" showErrorMessage="1" errorTitle="Ошибка" error="Допускается ввод только неотрицательных чисел!" sqref="AE110">
      <formula1>0</formula1>
      <formula2>9.99999999999999E+23</formula2>
    </dataValidation>
    <dataValidation type="decimal" allowBlank="1" showErrorMessage="1" errorTitle="Ошибка" error="Допускается ввод только неотрицательных чисел!" sqref="AC110">
      <formula1>0</formula1>
      <formula2>9.99999999999999E+23</formula2>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M108">
      <formula1>900</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M96">
      <formula1>900</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M91">
      <formula1>900</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M86">
      <formula1>900</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M81">
      <formula1>900</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M66">
      <formula1>900</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M61">
      <formula1>900</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decimal" allowBlank="1" showErrorMessage="1" errorTitle="Ошибка" error="Допускается ввод только неотрицательных чисел!" sqref="AE403">
      <formula1>0</formula1>
      <formula2>9.99999999999999E+23</formula2>
    </dataValidation>
    <dataValidation type="decimal" allowBlank="1" showErrorMessage="1" errorTitle="Ошибка" error="Допускается ввод только неотрицательных чисел!" sqref="AC403">
      <formula1>0</formula1>
      <formula2>9.99999999999999E+23</formula2>
    </dataValidation>
    <dataValidation type="textLength" operator="lessThanOrEqual" allowBlank="1" showInputMessage="1" showErrorMessage="1" errorTitle="Ошибка" error="Допускается ввод не более 900 символов!" sqref="K4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textLength" operator="lessThanOrEqual" allowBlank="1" showInputMessage="1" showErrorMessage="1" errorTitle="Ошибка" error="Допускается ввод не более 900 символов!" sqref="M401">
      <formula1>900</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decimal" allowBlank="1" showErrorMessage="1" errorTitle="Ошибка" error="Допускается ввод только неотрицательных чисел!" sqref="AE361">
      <formula1>0</formula1>
      <formula2>9.99999999999999E+23</formula2>
    </dataValidation>
    <dataValidation type="decimal" allowBlank="1" showErrorMessage="1" errorTitle="Ошибка" error="Допускается ввод только неотрицательных чисел!" sqref="AC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M359">
      <formula1>900</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decimal" allowBlank="1" showErrorMessage="1" errorTitle="Ошибка" error="Допускается ввод только неотрицательных чисел!" sqref="AE314">
      <formula1>0</formula1>
      <formula2>9.99999999999999E+23</formula2>
    </dataValidation>
    <dataValidation type="decimal" allowBlank="1" showErrorMessage="1" errorTitle="Ошибка" error="Допускается ввод только неотрицательных чисел!" sqref="AC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textLength" operator="lessThanOrEqual" allowBlank="1" showInputMessage="1" showErrorMessage="1" errorTitle="Ошибка" error="Допускается ввод не более 900 символов!" sqref="K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M312">
      <formula1>900</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M270">
      <formula1>900</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decimal" allowBlank="1" showErrorMessage="1" errorTitle="Ошибка" error="Допускается ввод только неотрицательных чисел!" sqref="AE236">
      <formula1>0</formula1>
      <formula2>9.99999999999999E+23</formula2>
    </dataValidation>
    <dataValidation type="decimal" allowBlank="1" showErrorMessage="1" errorTitle="Ошибка" error="Допускается ввод только неотрицательных чисел!" sqref="AC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M234">
      <formula1>900</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decimal" allowBlank="1" showErrorMessage="1" errorTitle="Ошибка" error="Допускается ввод только неотрицательных чисел!" sqref="AE204">
      <formula1>0</formula1>
      <formula2>9.99999999999999E+23</formula2>
    </dataValidation>
    <dataValidation type="decimal" allowBlank="1" showErrorMessage="1" errorTitle="Ошибка" error="Допускается ввод только неотрицательных чисел!" sqref="AC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textLength" operator="lessThanOrEqual" allowBlank="1" showInputMessage="1" showErrorMessage="1" errorTitle="Ошибка" error="Допускается ввод не более 900 символов!" sqref="M202">
      <formula1>900</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M155">
      <formula1>900</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M103">
      <formula1>900</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59"/>
  <sheetViews>
    <sheetView showGridLines="0" topLeftCell="E4" zoomScale="85" workbookViewId="0">
      <selection activeCell="W1" sqref="W1:W59"/>
    </sheetView>
  </sheetViews>
  <sheetFormatPr defaultColWidth="9.140625" defaultRowHeight="10.5" customHeight="1"/>
  <cols>
    <col min="1" max="3" width="4.140625" style="2443" hidden="1" customWidth="1"/>
    <col min="4" max="4" width="4.140625" style="2406" hidden="1" customWidth="1"/>
    <col min="5" max="5" width="3" style="2400" customWidth="1"/>
    <col min="6" max="6" width="6" style="2400" customWidth="1"/>
    <col min="7" max="7" width="60" style="2400" customWidth="1"/>
    <col min="8" max="9" width="21.7109375" style="2400" hidden="1" customWidth="1"/>
    <col min="10" max="10" width="0.140625" style="2400" customWidth="1"/>
    <col min="11" max="16" width="21.7109375" style="2446" hidden="1" customWidth="1"/>
    <col min="17" max="17" width="0.140625" style="2446" customWidth="1"/>
    <col min="18" max="23" width="21.7109375" style="2446" hidden="1" customWidth="1"/>
    <col min="24" max="24" width="0.140625" style="2446" customWidth="1"/>
    <col min="25" max="25" width="1" style="2400" customWidth="1"/>
    <col min="26" max="36" width="8" style="2400" customWidth="1"/>
    <col min="37" max="37" width="9.140625" style="2400" hidden="1"/>
  </cols>
  <sheetData>
    <row r="1" spans="1:37" s="2406" customFormat="1" ht="10.5" hidden="1" customHeight="1">
      <c r="A1" s="1084"/>
      <c r="B1" s="1084"/>
      <c r="C1" s="1084"/>
      <c r="E1" s="473"/>
      <c r="K1" s="2011"/>
      <c r="L1" s="2011"/>
      <c r="M1" s="2011"/>
      <c r="N1" s="2011"/>
      <c r="O1" s="2011"/>
      <c r="P1" s="2011"/>
      <c r="Q1" s="2011"/>
      <c r="R1" s="2011"/>
      <c r="S1" s="2011"/>
      <c r="T1" s="2011"/>
      <c r="U1" s="2011"/>
      <c r="V1" s="2011"/>
      <c r="W1" s="2011"/>
      <c r="X1" s="2011"/>
      <c r="AK1" s="1078" t="s">
        <v>14</v>
      </c>
    </row>
    <row r="2" spans="1:37" ht="10.5" hidden="1" customHeight="1">
      <c r="K2" s="2010"/>
      <c r="L2" s="2010"/>
      <c r="M2" s="2010"/>
      <c r="N2" s="2010"/>
      <c r="O2" s="2010"/>
      <c r="P2" s="2010"/>
      <c r="Q2" s="2010"/>
      <c r="R2" s="2010"/>
      <c r="S2" s="2010"/>
      <c r="T2" s="2010"/>
      <c r="U2" s="2010"/>
      <c r="V2" s="2010"/>
      <c r="W2" s="2010"/>
      <c r="X2" s="2010"/>
      <c r="AK2" s="1073">
        <v>0</v>
      </c>
    </row>
    <row r="3" spans="1:37" s="2398" customFormat="1" ht="10.5" hidden="1" customHeight="1">
      <c r="A3" s="1084"/>
      <c r="B3" s="1084"/>
      <c r="C3" s="1084"/>
      <c r="D3" s="1078"/>
      <c r="E3" s="298"/>
      <c r="K3" s="2012"/>
      <c r="L3" s="2012"/>
      <c r="M3" s="2012"/>
      <c r="N3" s="2012"/>
      <c r="O3" s="2012"/>
      <c r="P3" s="2012"/>
      <c r="Q3" s="2012"/>
      <c r="R3" s="2012"/>
      <c r="S3" s="2012"/>
      <c r="T3" s="2012"/>
      <c r="U3" s="2012"/>
      <c r="V3" s="2012"/>
      <c r="W3" s="2012"/>
      <c r="X3" s="2012"/>
      <c r="AK3" s="1074">
        <v>0</v>
      </c>
    </row>
    <row r="4" spans="1:37" ht="3" customHeight="1">
      <c r="K4" s="2010"/>
      <c r="L4" s="2010"/>
      <c r="M4" s="2010"/>
      <c r="N4" s="2010"/>
      <c r="O4" s="2010"/>
      <c r="P4" s="2010"/>
      <c r="Q4" s="2010"/>
      <c r="R4" s="2010"/>
      <c r="S4" s="2010"/>
      <c r="T4" s="2010"/>
      <c r="U4" s="2010"/>
      <c r="V4" s="2010"/>
      <c r="W4" s="2010"/>
      <c r="X4" s="2010"/>
      <c r="AK4" s="1073">
        <v>3</v>
      </c>
    </row>
    <row r="5" spans="1:37" ht="27.4" customHeight="1">
      <c r="F5" s="262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23"/>
      <c r="H5" s="2623"/>
      <c r="I5" s="2623"/>
      <c r="J5" s="2623"/>
      <c r="K5" s="2013"/>
      <c r="L5" s="2013"/>
      <c r="M5" s="2013"/>
      <c r="N5" s="2013"/>
      <c r="O5" s="2013"/>
      <c r="P5" s="2013"/>
      <c r="Q5" s="2013"/>
      <c r="R5" s="2013"/>
      <c r="S5" s="2013"/>
      <c r="T5" s="2013"/>
      <c r="U5" s="2013"/>
      <c r="V5" s="2013"/>
      <c r="W5" s="2013"/>
      <c r="X5" s="2013"/>
      <c r="AK5" s="1073">
        <v>26</v>
      </c>
    </row>
    <row r="6" spans="1:37" ht="10.5" customHeight="1">
      <c r="F6" s="2595" t="str">
        <f>IF(org=0,"Не определено",org)</f>
        <v>ПАО "ТГК-1" (филиал "Кольский")</v>
      </c>
      <c r="G6" s="2595"/>
      <c r="H6" s="2595"/>
      <c r="I6" s="2595"/>
      <c r="J6" s="2595"/>
      <c r="K6" s="2014"/>
      <c r="L6" s="2014"/>
      <c r="M6" s="2014"/>
      <c r="N6" s="2014"/>
      <c r="O6" s="2014"/>
      <c r="P6" s="2014"/>
      <c r="Q6" s="2014"/>
      <c r="R6" s="2014"/>
      <c r="S6" s="2014"/>
      <c r="T6" s="2014"/>
      <c r="U6" s="2014"/>
      <c r="V6" s="2014"/>
      <c r="W6" s="2014"/>
      <c r="X6" s="2014"/>
      <c r="AK6" s="1073">
        <v>10</v>
      </c>
    </row>
    <row r="7" spans="1:37" ht="11.45" customHeight="1">
      <c r="E7" s="1088"/>
      <c r="F7" s="1145"/>
      <c r="G7" s="1145"/>
      <c r="H7" s="1145"/>
      <c r="I7" s="1145"/>
      <c r="J7" s="1145"/>
      <c r="K7" s="2015" t="s">
        <v>22</v>
      </c>
      <c r="L7" s="2015"/>
      <c r="M7" s="2015" t="s">
        <v>22</v>
      </c>
      <c r="N7" s="2015" t="s">
        <v>22</v>
      </c>
      <c r="O7" s="2015" t="s">
        <v>22</v>
      </c>
      <c r="P7" s="2015" t="s">
        <v>22</v>
      </c>
      <c r="Q7" s="2015"/>
      <c r="R7" s="2015" t="s">
        <v>22</v>
      </c>
      <c r="S7" s="2015"/>
      <c r="T7" s="2015" t="s">
        <v>22</v>
      </c>
      <c r="U7" s="2015" t="s">
        <v>22</v>
      </c>
      <c r="V7" s="2015" t="s">
        <v>22</v>
      </c>
      <c r="W7" s="2015" t="s">
        <v>22</v>
      </c>
      <c r="X7" s="2015"/>
      <c r="Y7" s="1075"/>
      <c r="Z7" s="1075"/>
      <c r="AA7" s="1075"/>
      <c r="AB7" s="1075"/>
      <c r="AC7" s="1075"/>
      <c r="AD7" s="1075"/>
      <c r="AE7" s="1075"/>
      <c r="AF7" s="1075"/>
      <c r="AG7" s="1075"/>
      <c r="AH7" s="1075"/>
      <c r="AI7" s="1075"/>
      <c r="AJ7" s="1075"/>
      <c r="AK7" s="1073">
        <v>11</v>
      </c>
    </row>
    <row r="8" spans="1:37" s="2407" customFormat="1" ht="4.1500000000000004" customHeight="1">
      <c r="A8" s="1085"/>
      <c r="B8" s="1085"/>
      <c r="C8" s="1085"/>
      <c r="E8" s="1146"/>
      <c r="F8" s="1147"/>
      <c r="G8" s="1147"/>
      <c r="H8" s="1147"/>
      <c r="I8" s="1147"/>
      <c r="J8" s="1147"/>
      <c r="K8" s="2016" t="s">
        <v>984</v>
      </c>
      <c r="L8" s="2016"/>
      <c r="M8" s="2016"/>
      <c r="N8" s="2016"/>
      <c r="O8" s="2016"/>
      <c r="P8" s="2016"/>
      <c r="Q8" s="2016"/>
      <c r="R8" s="2016" t="s">
        <v>987</v>
      </c>
      <c r="S8" s="2016"/>
      <c r="T8" s="2016"/>
      <c r="U8" s="2016"/>
      <c r="V8" s="2016"/>
      <c r="W8" s="2016"/>
      <c r="X8" s="2016"/>
      <c r="Y8" s="1146"/>
      <c r="Z8" s="1146"/>
      <c r="AA8" s="1146"/>
      <c r="AB8" s="1146"/>
      <c r="AC8" s="1146"/>
      <c r="AD8" s="1146"/>
      <c r="AE8" s="1146"/>
      <c r="AF8" s="1146"/>
      <c r="AG8" s="1146"/>
      <c r="AH8" s="1146"/>
      <c r="AI8" s="1146"/>
      <c r="AJ8" s="1146"/>
      <c r="AK8" s="447">
        <v>4</v>
      </c>
    </row>
    <row r="9" spans="1:37" ht="10.5" customHeight="1">
      <c r="E9" s="1088"/>
      <c r="F9" s="2813" t="s">
        <v>291</v>
      </c>
      <c r="G9" s="2814"/>
      <c r="H9" s="2814"/>
      <c r="I9" s="2814"/>
      <c r="J9" s="2814"/>
      <c r="K9" s="2017"/>
      <c r="L9" s="2017"/>
      <c r="M9" s="2017"/>
      <c r="N9" s="2017"/>
      <c r="O9" s="2017"/>
      <c r="P9" s="2017"/>
      <c r="Q9" s="2017"/>
      <c r="R9" s="2017"/>
      <c r="S9" s="2017"/>
      <c r="T9" s="2017"/>
      <c r="U9" s="2017"/>
      <c r="V9" s="2017"/>
      <c r="W9" s="2017"/>
      <c r="X9" s="2017"/>
      <c r="Y9" s="1158"/>
      <c r="Z9" s="1075"/>
      <c r="AA9" s="1075"/>
      <c r="AB9" s="1075"/>
      <c r="AC9" s="1075"/>
      <c r="AD9" s="1075"/>
      <c r="AE9" s="1075"/>
      <c r="AF9" s="1075"/>
      <c r="AG9" s="1075"/>
      <c r="AH9" s="1075"/>
      <c r="AI9" s="1075"/>
      <c r="AJ9" s="1075"/>
      <c r="AK9" s="1073">
        <v>10</v>
      </c>
    </row>
    <row r="10" spans="1:37" ht="25.15" customHeight="1">
      <c r="E10" s="1075"/>
      <c r="F10" s="2817" t="s">
        <v>84</v>
      </c>
      <c r="G10" s="2821" t="s">
        <v>1067</v>
      </c>
      <c r="H10" s="2756" t="s">
        <v>1068</v>
      </c>
      <c r="I10" s="2756"/>
      <c r="J10" s="2756"/>
      <c r="K10" s="2756" t="s">
        <v>1068</v>
      </c>
      <c r="L10" s="2756"/>
      <c r="M10" s="2756"/>
      <c r="N10" s="2756"/>
      <c r="O10" s="2756"/>
      <c r="P10" s="2756"/>
      <c r="Q10" s="2756"/>
      <c r="R10" s="2756" t="s">
        <v>1068</v>
      </c>
      <c r="S10" s="2756"/>
      <c r="T10" s="2756"/>
      <c r="U10" s="2756"/>
      <c r="V10" s="2756"/>
      <c r="W10" s="2756"/>
      <c r="X10" s="2756"/>
      <c r="Y10" s="1151"/>
      <c r="Z10" s="1075"/>
      <c r="AA10" s="1075"/>
      <c r="AB10" s="1075"/>
      <c r="AC10" s="1075"/>
      <c r="AD10" s="1075"/>
      <c r="AE10" s="1075"/>
      <c r="AF10" s="1075"/>
      <c r="AG10" s="1075"/>
      <c r="AH10" s="1075"/>
      <c r="AI10" s="1075"/>
      <c r="AJ10" s="1075"/>
      <c r="AK10" s="1073">
        <v>24</v>
      </c>
    </row>
    <row r="11" spans="1:37" ht="25.5" customHeight="1">
      <c r="E11" s="1075"/>
      <c r="F11" s="2818"/>
      <c r="G11" s="2821"/>
      <c r="H11" s="2820" t="e">
        <f>INDEX(IP_MAIN_LIST_NAME_IP,MATCH(H8,IP_MAIN_LIST_IP_ID,0))&amp;" ("&amp;INDEX(IP_MAIN_START_DATE,MATCH(H8,IP_MAIN_LIST_IP_ID,0))&amp;"-"&amp;INDEX(IP_MAIN_END_DATE,MATCH(H8,IP_MAIN_LIST_IP_ID,0))&amp;")"</f>
        <v>#N/A</v>
      </c>
      <c r="I11" s="2820"/>
      <c r="J11" s="2820"/>
      <c r="K11" s="2820" t="str">
        <f>INDEX(IP_MAIN_LIST_NAME_IP,MATCH(K8,IP_MAIN_LIST_IP_ID,0))&amp;" ("&amp;INDEX(IP_MAIN_START_DATE,MATCH(K8,IP_MAIN_LIST_IP_ID,0))&amp;"-"&amp;INDEX(IP_MAIN_END_DATE,MATCH(K8,IP_MAIN_LIST_IP_ID,0))&amp;")"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L11" s="2820"/>
      <c r="M11" s="2820"/>
      <c r="N11" s="2820"/>
      <c r="O11" s="2820"/>
      <c r="P11" s="2820"/>
      <c r="Q11" s="2820"/>
      <c r="R11" s="2820" t="str">
        <f>INDEX(IP_MAIN_LIST_NAME_IP,MATCH(R8,IP_MAIN_LIST_IP_ID,0))&amp;" ("&amp;INDEX(IP_MAIN_START_DATE,MATCH(R8,IP_MAIN_LIST_IP_ID,0))&amp;"-"&amp;INDEX(IP_MAIN_END_DATE,MATCH(R8,IP_MAIN_LIST_IP_ID,0))&amp;")"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S11" s="2820"/>
      <c r="T11" s="2820"/>
      <c r="U11" s="2820"/>
      <c r="V11" s="2820"/>
      <c r="W11" s="2820"/>
      <c r="X11" s="2820"/>
      <c r="Y11" s="1151"/>
      <c r="Z11" s="1075"/>
      <c r="AA11" s="1075"/>
      <c r="AB11" s="1075"/>
      <c r="AC11" s="1075"/>
      <c r="AD11" s="1075"/>
      <c r="AE11" s="1075"/>
      <c r="AF11" s="1075"/>
      <c r="AG11" s="1075"/>
      <c r="AH11" s="1075"/>
      <c r="AI11" s="1075"/>
      <c r="AJ11" s="1075"/>
      <c r="AK11" s="1073">
        <v>24</v>
      </c>
    </row>
    <row r="12" spans="1:37" ht="10.5" customHeight="1">
      <c r="F12" s="2819"/>
      <c r="G12" s="2821"/>
      <c r="H12" s="1144" t="s">
        <v>1069</v>
      </c>
      <c r="I12" s="1150"/>
      <c r="J12" s="1144"/>
      <c r="K12" s="2019" t="s">
        <v>1069</v>
      </c>
      <c r="L12" s="2020">
        <v>2023</v>
      </c>
      <c r="M12" s="2020">
        <v>2024</v>
      </c>
      <c r="N12" s="2020">
        <v>2025</v>
      </c>
      <c r="O12" s="2020">
        <v>2026</v>
      </c>
      <c r="P12" s="2020">
        <v>2027</v>
      </c>
      <c r="Q12" s="2019"/>
      <c r="R12" s="2019" t="s">
        <v>1069</v>
      </c>
      <c r="S12" s="2020">
        <v>2023</v>
      </c>
      <c r="T12" s="2020">
        <v>2024</v>
      </c>
      <c r="U12" s="2020">
        <v>2025</v>
      </c>
      <c r="V12" s="2020">
        <v>2026</v>
      </c>
      <c r="W12" s="2020">
        <v>2027</v>
      </c>
      <c r="X12" s="2019"/>
      <c r="Y12" s="1152"/>
      <c r="AK12" s="1073">
        <v>10</v>
      </c>
    </row>
    <row r="13" spans="1:37" ht="10.5" hidden="1" customHeight="1">
      <c r="F13" s="1144">
        <v>1</v>
      </c>
      <c r="G13" s="1144">
        <v>2</v>
      </c>
      <c r="H13" s="1144">
        <v>3</v>
      </c>
      <c r="I13" s="1144">
        <v>4</v>
      </c>
      <c r="J13" s="1144">
        <v>5</v>
      </c>
      <c r="K13" s="2019">
        <v>3</v>
      </c>
      <c r="L13" s="2019">
        <v>4</v>
      </c>
      <c r="M13" s="2019">
        <v>4</v>
      </c>
      <c r="N13" s="2019">
        <v>4</v>
      </c>
      <c r="O13" s="2019">
        <v>4</v>
      </c>
      <c r="P13" s="2019">
        <v>4</v>
      </c>
      <c r="Q13" s="2019">
        <v>5</v>
      </c>
      <c r="R13" s="2019">
        <v>3</v>
      </c>
      <c r="S13" s="2019">
        <v>4</v>
      </c>
      <c r="T13" s="2019">
        <v>4</v>
      </c>
      <c r="U13" s="2019">
        <v>4</v>
      </c>
      <c r="V13" s="2019">
        <v>4</v>
      </c>
      <c r="W13" s="2019">
        <v>4</v>
      </c>
      <c r="X13" s="2019">
        <v>5</v>
      </c>
      <c r="Y13" s="1152"/>
      <c r="AK13" s="1073">
        <v>0</v>
      </c>
    </row>
    <row r="14" spans="1:37" ht="11.45" customHeight="1">
      <c r="F14" s="1143" t="s">
        <v>1070</v>
      </c>
      <c r="G14" s="2815" t="s">
        <v>1071</v>
      </c>
      <c r="H14" s="2815"/>
      <c r="I14" s="2815"/>
      <c r="J14" s="2815"/>
      <c r="K14" s="2021"/>
      <c r="L14" s="2021"/>
      <c r="M14" s="2021"/>
      <c r="N14" s="2021"/>
      <c r="O14" s="2021"/>
      <c r="P14" s="2021"/>
      <c r="Q14" s="2021"/>
      <c r="R14" s="2021"/>
      <c r="S14" s="2021"/>
      <c r="T14" s="2021"/>
      <c r="U14" s="2021"/>
      <c r="V14" s="2021"/>
      <c r="W14" s="2021"/>
      <c r="X14" s="2021"/>
      <c r="Y14" s="1152"/>
      <c r="AK14" s="1073">
        <v>11</v>
      </c>
    </row>
    <row r="15" spans="1:37" ht="11.45" customHeight="1">
      <c r="F15" s="1148">
        <v>1</v>
      </c>
      <c r="G15" s="626" t="s">
        <v>1072</v>
      </c>
      <c r="H15" s="1154">
        <f t="shared" ref="H15:H36" si="0">SUM(I15:J15)</f>
        <v>0</v>
      </c>
      <c r="I15" s="1154">
        <f>SUM(I16:I27)</f>
        <v>0</v>
      </c>
      <c r="J15" s="1143"/>
      <c r="K15" s="2022">
        <f t="shared" ref="K15:K36" si="1">SUM(L15:Q15)</f>
        <v>0</v>
      </c>
      <c r="L15" s="2022">
        <f>SUM(L16:L27)</f>
        <v>0</v>
      </c>
      <c r="M15" s="2022">
        <f>SUM(M16:M27)</f>
        <v>0</v>
      </c>
      <c r="N15" s="2022">
        <f>SUM(N16:N27)</f>
        <v>0</v>
      </c>
      <c r="O15" s="2022">
        <f>SUM(O16:O27)</f>
        <v>0</v>
      </c>
      <c r="P15" s="2022">
        <f>SUM(P16:P27)</f>
        <v>0</v>
      </c>
      <c r="Q15" s="2018"/>
      <c r="R15" s="2022">
        <f t="shared" ref="R15:R36" si="2">SUM(S15:X15)</f>
        <v>0</v>
      </c>
      <c r="S15" s="2022">
        <f>SUM(S16:S27)</f>
        <v>0</v>
      </c>
      <c r="T15" s="2022">
        <f>SUM(T16:T27)</f>
        <v>0</v>
      </c>
      <c r="U15" s="2022">
        <f>SUM(U16:U27)</f>
        <v>0</v>
      </c>
      <c r="V15" s="2022">
        <f>SUM(V16:V27)</f>
        <v>0</v>
      </c>
      <c r="W15" s="2022">
        <f>SUM(W16:W27)</f>
        <v>0</v>
      </c>
      <c r="X15" s="2018"/>
      <c r="Y15" s="1152"/>
      <c r="AK15" s="1073">
        <v>11</v>
      </c>
    </row>
    <row r="16" spans="1:37" ht="24" customHeight="1">
      <c r="F16" s="1148" t="s">
        <v>1073</v>
      </c>
      <c r="G16" s="1155" t="s">
        <v>1074</v>
      </c>
      <c r="H16" s="1154">
        <f t="shared" si="0"/>
        <v>0</v>
      </c>
      <c r="I16" s="1153"/>
      <c r="J16" s="1143"/>
      <c r="K16" s="2022">
        <f t="shared" si="1"/>
        <v>0</v>
      </c>
      <c r="L16" s="2023"/>
      <c r="M16" s="2023"/>
      <c r="N16" s="2023"/>
      <c r="O16" s="2023"/>
      <c r="P16" s="2023"/>
      <c r="Q16" s="2018"/>
      <c r="R16" s="2022">
        <f t="shared" si="2"/>
        <v>0</v>
      </c>
      <c r="S16" s="2023"/>
      <c r="T16" s="2023"/>
      <c r="U16" s="2023"/>
      <c r="V16" s="2023"/>
      <c r="W16" s="2023"/>
      <c r="X16" s="2018"/>
      <c r="Y16" s="1152"/>
      <c r="AK16" s="1073">
        <v>23</v>
      </c>
    </row>
    <row r="17" spans="6:37" ht="24" customHeight="1">
      <c r="F17" s="1148" t="s">
        <v>1075</v>
      </c>
      <c r="G17" s="1155" t="s">
        <v>1076</v>
      </c>
      <c r="H17" s="1154">
        <f t="shared" si="0"/>
        <v>0</v>
      </c>
      <c r="I17" s="1153"/>
      <c r="J17" s="1143"/>
      <c r="K17" s="2022">
        <f t="shared" si="1"/>
        <v>0</v>
      </c>
      <c r="L17" s="2023"/>
      <c r="M17" s="2023"/>
      <c r="N17" s="2023"/>
      <c r="O17" s="2023"/>
      <c r="P17" s="2023"/>
      <c r="Q17" s="2018"/>
      <c r="R17" s="2022">
        <f t="shared" si="2"/>
        <v>0</v>
      </c>
      <c r="S17" s="2023"/>
      <c r="T17" s="2023"/>
      <c r="U17" s="2023"/>
      <c r="V17" s="2023"/>
      <c r="W17" s="2023"/>
      <c r="X17" s="2018"/>
      <c r="Y17" s="1152"/>
      <c r="AK17" s="1073">
        <v>23</v>
      </c>
    </row>
    <row r="18" spans="6:37" ht="35.65" customHeight="1">
      <c r="F18" s="1148" t="s">
        <v>1077</v>
      </c>
      <c r="G18" s="1155" t="s">
        <v>1078</v>
      </c>
      <c r="H18" s="1154">
        <f t="shared" si="0"/>
        <v>0</v>
      </c>
      <c r="I18" s="1153"/>
      <c r="J18" s="1143"/>
      <c r="K18" s="2022">
        <f t="shared" si="1"/>
        <v>0</v>
      </c>
      <c r="L18" s="2023"/>
      <c r="M18" s="2023"/>
      <c r="N18" s="2023"/>
      <c r="O18" s="2023"/>
      <c r="P18" s="2023"/>
      <c r="Q18" s="2018"/>
      <c r="R18" s="2022">
        <f t="shared" si="2"/>
        <v>0</v>
      </c>
      <c r="S18" s="2023"/>
      <c r="T18" s="2023"/>
      <c r="U18" s="2023"/>
      <c r="V18" s="2023"/>
      <c r="W18" s="2023"/>
      <c r="X18" s="2018"/>
      <c r="Y18" s="1152"/>
      <c r="AK18" s="1073">
        <v>34</v>
      </c>
    </row>
    <row r="19" spans="6:37" ht="35.65" customHeight="1">
      <c r="F19" s="1148" t="s">
        <v>1079</v>
      </c>
      <c r="G19" s="1155" t="s">
        <v>1080</v>
      </c>
      <c r="H19" s="1154">
        <f t="shared" si="0"/>
        <v>0</v>
      </c>
      <c r="I19" s="1153"/>
      <c r="J19" s="1143"/>
      <c r="K19" s="2022">
        <f t="shared" si="1"/>
        <v>0</v>
      </c>
      <c r="L19" s="2023"/>
      <c r="M19" s="2023"/>
      <c r="N19" s="2023"/>
      <c r="O19" s="2023"/>
      <c r="P19" s="2023"/>
      <c r="Q19" s="2018"/>
      <c r="R19" s="2022">
        <f t="shared" si="2"/>
        <v>0</v>
      </c>
      <c r="S19" s="2023"/>
      <c r="T19" s="2023"/>
      <c r="U19" s="2023"/>
      <c r="V19" s="2023"/>
      <c r="W19" s="2023"/>
      <c r="X19" s="2018"/>
      <c r="Y19" s="1152"/>
      <c r="AK19" s="1073">
        <v>34</v>
      </c>
    </row>
    <row r="20" spans="6:37" ht="48.2" customHeight="1">
      <c r="F20" s="1148" t="s">
        <v>1081</v>
      </c>
      <c r="G20" s="1155" t="s">
        <v>1082</v>
      </c>
      <c r="H20" s="1154">
        <f t="shared" si="0"/>
        <v>0</v>
      </c>
      <c r="I20" s="1153"/>
      <c r="J20" s="1143"/>
      <c r="K20" s="2022">
        <f t="shared" si="1"/>
        <v>0</v>
      </c>
      <c r="L20" s="2023"/>
      <c r="M20" s="2023"/>
      <c r="N20" s="2023"/>
      <c r="O20" s="2023"/>
      <c r="P20" s="2023"/>
      <c r="Q20" s="2018"/>
      <c r="R20" s="2022">
        <f t="shared" si="2"/>
        <v>0</v>
      </c>
      <c r="S20" s="2023"/>
      <c r="T20" s="2023"/>
      <c r="U20" s="2023"/>
      <c r="V20" s="2023"/>
      <c r="W20" s="2023"/>
      <c r="X20" s="2018"/>
      <c r="Y20" s="1152"/>
      <c r="AK20" s="1073">
        <v>46</v>
      </c>
    </row>
    <row r="21" spans="6:37" ht="35.65" customHeight="1">
      <c r="F21" s="1148" t="s">
        <v>1083</v>
      </c>
      <c r="G21" s="1155" t="s">
        <v>1084</v>
      </c>
      <c r="H21" s="1154">
        <f t="shared" si="0"/>
        <v>0</v>
      </c>
      <c r="I21" s="1153"/>
      <c r="J21" s="1143"/>
      <c r="K21" s="2022">
        <f t="shared" si="1"/>
        <v>0</v>
      </c>
      <c r="L21" s="2023"/>
      <c r="M21" s="2023"/>
      <c r="N21" s="2023"/>
      <c r="O21" s="2023"/>
      <c r="P21" s="2023"/>
      <c r="Q21" s="2018"/>
      <c r="R21" s="2022">
        <f t="shared" si="2"/>
        <v>0</v>
      </c>
      <c r="S21" s="2023"/>
      <c r="T21" s="2023"/>
      <c r="U21" s="2023"/>
      <c r="V21" s="2023"/>
      <c r="W21" s="2023"/>
      <c r="X21" s="2018"/>
      <c r="Y21" s="1152"/>
      <c r="AK21" s="1073">
        <v>34</v>
      </c>
    </row>
    <row r="22" spans="6:37" ht="35.65" customHeight="1">
      <c r="F22" s="1148" t="s">
        <v>1085</v>
      </c>
      <c r="G22" s="1155" t="s">
        <v>1086</v>
      </c>
      <c r="H22" s="1154">
        <f t="shared" si="0"/>
        <v>0</v>
      </c>
      <c r="I22" s="1153"/>
      <c r="J22" s="1143"/>
      <c r="K22" s="2022">
        <f t="shared" si="1"/>
        <v>0</v>
      </c>
      <c r="L22" s="2023"/>
      <c r="M22" s="2023"/>
      <c r="N22" s="2023"/>
      <c r="O22" s="2023"/>
      <c r="P22" s="2023"/>
      <c r="Q22" s="2018"/>
      <c r="R22" s="2022">
        <f t="shared" si="2"/>
        <v>0</v>
      </c>
      <c r="S22" s="2023"/>
      <c r="T22" s="2023"/>
      <c r="U22" s="2023"/>
      <c r="V22" s="2023"/>
      <c r="W22" s="2023"/>
      <c r="X22" s="2018"/>
      <c r="Y22" s="1152"/>
      <c r="AK22" s="1073">
        <v>34</v>
      </c>
    </row>
    <row r="23" spans="6:37" ht="24" customHeight="1">
      <c r="F23" s="1148" t="s">
        <v>1087</v>
      </c>
      <c r="G23" s="1155" t="s">
        <v>1088</v>
      </c>
      <c r="H23" s="1154">
        <f t="shared" si="0"/>
        <v>0</v>
      </c>
      <c r="I23" s="1153"/>
      <c r="J23" s="1143"/>
      <c r="K23" s="2022">
        <f t="shared" si="1"/>
        <v>0</v>
      </c>
      <c r="L23" s="2023"/>
      <c r="M23" s="2023"/>
      <c r="N23" s="2023"/>
      <c r="O23" s="2023"/>
      <c r="P23" s="2023"/>
      <c r="Q23" s="2018"/>
      <c r="R23" s="2022">
        <f t="shared" si="2"/>
        <v>0</v>
      </c>
      <c r="S23" s="2023"/>
      <c r="T23" s="2023"/>
      <c r="U23" s="2023"/>
      <c r="V23" s="2023"/>
      <c r="W23" s="2023"/>
      <c r="X23" s="2018"/>
      <c r="Y23" s="1152"/>
      <c r="AK23" s="1073">
        <v>23</v>
      </c>
    </row>
    <row r="24" spans="6:37" ht="24" customHeight="1">
      <c r="F24" s="1148" t="s">
        <v>1089</v>
      </c>
      <c r="G24" s="1155" t="s">
        <v>1090</v>
      </c>
      <c r="H24" s="1154">
        <f t="shared" si="0"/>
        <v>0</v>
      </c>
      <c r="I24" s="1153"/>
      <c r="J24" s="1143"/>
      <c r="K24" s="2022">
        <f t="shared" si="1"/>
        <v>0</v>
      </c>
      <c r="L24" s="2023"/>
      <c r="M24" s="2023"/>
      <c r="N24" s="2023"/>
      <c r="O24" s="2023"/>
      <c r="P24" s="2023"/>
      <c r="Q24" s="2018"/>
      <c r="R24" s="2022">
        <f t="shared" si="2"/>
        <v>0</v>
      </c>
      <c r="S24" s="2023"/>
      <c r="T24" s="2023"/>
      <c r="U24" s="2023"/>
      <c r="V24" s="2023"/>
      <c r="W24" s="2023"/>
      <c r="X24" s="2018"/>
      <c r="Y24" s="1152"/>
      <c r="AK24" s="1073">
        <v>23</v>
      </c>
    </row>
    <row r="25" spans="6:37" ht="35.65" customHeight="1">
      <c r="F25" s="1148" t="s">
        <v>1091</v>
      </c>
      <c r="G25" s="1155" t="s">
        <v>1092</v>
      </c>
      <c r="H25" s="1154">
        <f t="shared" si="0"/>
        <v>0</v>
      </c>
      <c r="I25" s="1153"/>
      <c r="J25" s="1143"/>
      <c r="K25" s="2022">
        <f t="shared" si="1"/>
        <v>0</v>
      </c>
      <c r="L25" s="2023"/>
      <c r="M25" s="2023"/>
      <c r="N25" s="2023"/>
      <c r="O25" s="2023"/>
      <c r="P25" s="2023"/>
      <c r="Q25" s="2018"/>
      <c r="R25" s="2022">
        <f t="shared" si="2"/>
        <v>0</v>
      </c>
      <c r="S25" s="2023"/>
      <c r="T25" s="2023"/>
      <c r="U25" s="2023"/>
      <c r="V25" s="2023"/>
      <c r="W25" s="2023"/>
      <c r="X25" s="2018"/>
      <c r="Y25" s="1152"/>
      <c r="AK25" s="1073">
        <v>34</v>
      </c>
    </row>
    <row r="26" spans="6:37" ht="35.65" customHeight="1">
      <c r="F26" s="1148" t="s">
        <v>1093</v>
      </c>
      <c r="G26" s="1155" t="s">
        <v>1094</v>
      </c>
      <c r="H26" s="1154">
        <f t="shared" si="0"/>
        <v>0</v>
      </c>
      <c r="I26" s="1153"/>
      <c r="J26" s="1143"/>
      <c r="K26" s="2022">
        <f t="shared" si="1"/>
        <v>0</v>
      </c>
      <c r="L26" s="2023"/>
      <c r="M26" s="2023"/>
      <c r="N26" s="2023"/>
      <c r="O26" s="2023"/>
      <c r="P26" s="2023"/>
      <c r="Q26" s="2018"/>
      <c r="R26" s="2022">
        <f t="shared" si="2"/>
        <v>0</v>
      </c>
      <c r="S26" s="2023"/>
      <c r="T26" s="2023"/>
      <c r="U26" s="2023"/>
      <c r="V26" s="2023"/>
      <c r="W26" s="2023"/>
      <c r="X26" s="2018"/>
      <c r="Y26" s="1152"/>
      <c r="AK26" s="1073">
        <v>34</v>
      </c>
    </row>
    <row r="27" spans="6:37" ht="11.45" customHeight="1">
      <c r="F27" s="1148" t="s">
        <v>1095</v>
      </c>
      <c r="G27" s="1155" t="s">
        <v>1096</v>
      </c>
      <c r="H27" s="1154">
        <f t="shared" si="0"/>
        <v>0</v>
      </c>
      <c r="I27" s="1153"/>
      <c r="J27" s="1143"/>
      <c r="K27" s="2022">
        <f t="shared" si="1"/>
        <v>0</v>
      </c>
      <c r="L27" s="2023"/>
      <c r="M27" s="2023"/>
      <c r="N27" s="2023"/>
      <c r="O27" s="2023"/>
      <c r="P27" s="2023"/>
      <c r="Q27" s="2018"/>
      <c r="R27" s="2022">
        <f t="shared" si="2"/>
        <v>0</v>
      </c>
      <c r="S27" s="2023"/>
      <c r="T27" s="2023"/>
      <c r="U27" s="2023"/>
      <c r="V27" s="2023"/>
      <c r="W27" s="2023"/>
      <c r="X27" s="2018"/>
      <c r="Y27" s="1152"/>
      <c r="AK27" s="1073">
        <v>11</v>
      </c>
    </row>
    <row r="28" spans="6:37" ht="11.45" customHeight="1">
      <c r="F28" s="1148">
        <v>2</v>
      </c>
      <c r="G28" s="626" t="s">
        <v>1097</v>
      </c>
      <c r="H28" s="1154">
        <f t="shared" si="0"/>
        <v>0</v>
      </c>
      <c r="I28" s="1154">
        <f>SUM(I29:I31)</f>
        <v>0</v>
      </c>
      <c r="J28" s="1143"/>
      <c r="K28" s="2022">
        <f t="shared" si="1"/>
        <v>0</v>
      </c>
      <c r="L28" s="2022">
        <f>SUM(L29:L31)</f>
        <v>0</v>
      </c>
      <c r="M28" s="2022">
        <f>SUM(M29:M31)</f>
        <v>0</v>
      </c>
      <c r="N28" s="2022">
        <f>SUM(N29:N31)</f>
        <v>0</v>
      </c>
      <c r="O28" s="2022">
        <f>SUM(O29:O31)</f>
        <v>0</v>
      </c>
      <c r="P28" s="2022">
        <f>SUM(P29:P31)</f>
        <v>0</v>
      </c>
      <c r="Q28" s="2018"/>
      <c r="R28" s="2022">
        <f t="shared" si="2"/>
        <v>0</v>
      </c>
      <c r="S28" s="2022">
        <f>SUM(S29:S31)</f>
        <v>0</v>
      </c>
      <c r="T28" s="2022">
        <f>SUM(T29:T31)</f>
        <v>0</v>
      </c>
      <c r="U28" s="2022">
        <f>SUM(U29:U31)</f>
        <v>0</v>
      </c>
      <c r="V28" s="2022">
        <f>SUM(V29:V31)</f>
        <v>0</v>
      </c>
      <c r="W28" s="2022">
        <f>SUM(W29:W31)</f>
        <v>0</v>
      </c>
      <c r="X28" s="2018"/>
      <c r="Y28" s="1152"/>
      <c r="AK28" s="1073">
        <v>11</v>
      </c>
    </row>
    <row r="29" spans="6:37" ht="11.45" customHeight="1">
      <c r="F29" s="1148" t="s">
        <v>700</v>
      </c>
      <c r="G29" s="1155" t="s">
        <v>1098</v>
      </c>
      <c r="H29" s="1154">
        <f t="shared" si="0"/>
        <v>0</v>
      </c>
      <c r="I29" s="1153"/>
      <c r="J29" s="1143"/>
      <c r="K29" s="2022">
        <f t="shared" si="1"/>
        <v>0</v>
      </c>
      <c r="L29" s="2023"/>
      <c r="M29" s="2023"/>
      <c r="N29" s="2023"/>
      <c r="O29" s="2023"/>
      <c r="P29" s="2023"/>
      <c r="Q29" s="2018"/>
      <c r="R29" s="2022">
        <f t="shared" si="2"/>
        <v>0</v>
      </c>
      <c r="S29" s="2023"/>
      <c r="T29" s="2023"/>
      <c r="U29" s="2023"/>
      <c r="V29" s="2023"/>
      <c r="W29" s="2023"/>
      <c r="X29" s="2018"/>
      <c r="Y29" s="1152"/>
      <c r="AK29" s="1073">
        <v>11</v>
      </c>
    </row>
    <row r="30" spans="6:37" ht="11.45" customHeight="1">
      <c r="F30" s="1148" t="s">
        <v>298</v>
      </c>
      <c r="G30" s="1155" t="s">
        <v>1099</v>
      </c>
      <c r="H30" s="1154">
        <f t="shared" si="0"/>
        <v>0</v>
      </c>
      <c r="I30" s="1153"/>
      <c r="J30" s="1143"/>
      <c r="K30" s="2022">
        <f t="shared" si="1"/>
        <v>0</v>
      </c>
      <c r="L30" s="2023"/>
      <c r="M30" s="2023"/>
      <c r="N30" s="2023"/>
      <c r="O30" s="2023"/>
      <c r="P30" s="2023"/>
      <c r="Q30" s="2018"/>
      <c r="R30" s="2022">
        <f t="shared" si="2"/>
        <v>0</v>
      </c>
      <c r="S30" s="2023"/>
      <c r="T30" s="2023"/>
      <c r="U30" s="2023"/>
      <c r="V30" s="2023"/>
      <c r="W30" s="2023"/>
      <c r="X30" s="2018"/>
      <c r="Y30" s="1152"/>
      <c r="AK30" s="1073">
        <v>11</v>
      </c>
    </row>
    <row r="31" spans="6:37" ht="11.45" customHeight="1">
      <c r="F31" s="1148" t="s">
        <v>301</v>
      </c>
      <c r="G31" s="1155" t="s">
        <v>1100</v>
      </c>
      <c r="H31" s="1154">
        <f t="shared" si="0"/>
        <v>0</v>
      </c>
      <c r="I31" s="1153"/>
      <c r="J31" s="1143"/>
      <c r="K31" s="2022">
        <f t="shared" si="1"/>
        <v>0</v>
      </c>
      <c r="L31" s="2023"/>
      <c r="M31" s="2023"/>
      <c r="N31" s="2023"/>
      <c r="O31" s="2023"/>
      <c r="P31" s="2023"/>
      <c r="Q31" s="2018"/>
      <c r="R31" s="2022">
        <f t="shared" si="2"/>
        <v>0</v>
      </c>
      <c r="S31" s="2023"/>
      <c r="T31" s="2023"/>
      <c r="U31" s="2023"/>
      <c r="V31" s="2023"/>
      <c r="W31" s="2023"/>
      <c r="X31" s="2018"/>
      <c r="Y31" s="1152"/>
      <c r="AK31" s="1073">
        <v>11</v>
      </c>
    </row>
    <row r="32" spans="6:37" ht="11.45" customHeight="1">
      <c r="F32" s="1148">
        <v>3</v>
      </c>
      <c r="G32" s="626" t="s">
        <v>1101</v>
      </c>
      <c r="H32" s="1154">
        <f t="shared" si="0"/>
        <v>0</v>
      </c>
      <c r="I32" s="1154">
        <f>SUM(I33:I34)</f>
        <v>0</v>
      </c>
      <c r="J32" s="1143"/>
      <c r="K32" s="2022">
        <f t="shared" si="1"/>
        <v>0</v>
      </c>
      <c r="L32" s="2022">
        <f>SUM(L33:L34)</f>
        <v>0</v>
      </c>
      <c r="M32" s="2022">
        <f>SUM(M33:M34)</f>
        <v>0</v>
      </c>
      <c r="N32" s="2022">
        <f>SUM(N33:N34)</f>
        <v>0</v>
      </c>
      <c r="O32" s="2022">
        <f>SUM(O33:O34)</f>
        <v>0</v>
      </c>
      <c r="P32" s="2022">
        <f>SUM(P33:P34)</f>
        <v>0</v>
      </c>
      <c r="Q32" s="2018"/>
      <c r="R32" s="2022">
        <f t="shared" si="2"/>
        <v>0</v>
      </c>
      <c r="S32" s="2022">
        <f>SUM(S33:S34)</f>
        <v>0</v>
      </c>
      <c r="T32" s="2022">
        <f>SUM(T33:T34)</f>
        <v>0</v>
      </c>
      <c r="U32" s="2022">
        <f>SUM(U33:U34)</f>
        <v>0</v>
      </c>
      <c r="V32" s="2022">
        <f>SUM(V33:V34)</f>
        <v>0</v>
      </c>
      <c r="W32" s="2022">
        <f>SUM(W33:W34)</f>
        <v>0</v>
      </c>
      <c r="X32" s="2018"/>
      <c r="Y32" s="1152"/>
      <c r="AK32" s="1073">
        <v>11</v>
      </c>
    </row>
    <row r="33" spans="6:37" ht="48.2" customHeight="1">
      <c r="F33" s="1148" t="s">
        <v>315</v>
      </c>
      <c r="G33" s="1155" t="s">
        <v>1102</v>
      </c>
      <c r="H33" s="1154">
        <f t="shared" si="0"/>
        <v>0</v>
      </c>
      <c r="I33" s="1153"/>
      <c r="J33" s="1143"/>
      <c r="K33" s="2022">
        <f t="shared" si="1"/>
        <v>0</v>
      </c>
      <c r="L33" s="2023"/>
      <c r="M33" s="2023"/>
      <c r="N33" s="2023"/>
      <c r="O33" s="2023"/>
      <c r="P33" s="2023"/>
      <c r="Q33" s="2018"/>
      <c r="R33" s="2022">
        <f t="shared" si="2"/>
        <v>0</v>
      </c>
      <c r="S33" s="2023"/>
      <c r="T33" s="2023"/>
      <c r="U33" s="2023"/>
      <c r="V33" s="2023"/>
      <c r="W33" s="2023"/>
      <c r="X33" s="2018"/>
      <c r="Y33" s="1152"/>
      <c r="AK33" s="1073">
        <v>46</v>
      </c>
    </row>
    <row r="34" spans="6:37" ht="11.45" customHeight="1">
      <c r="F34" s="1148" t="s">
        <v>323</v>
      </c>
      <c r="G34" s="1155" t="s">
        <v>1103</v>
      </c>
      <c r="H34" s="1154">
        <f t="shared" si="0"/>
        <v>0</v>
      </c>
      <c r="I34" s="1153"/>
      <c r="J34" s="1143"/>
      <c r="K34" s="2022">
        <f t="shared" si="1"/>
        <v>0</v>
      </c>
      <c r="L34" s="2023"/>
      <c r="M34" s="2023"/>
      <c r="N34" s="2023"/>
      <c r="O34" s="2023"/>
      <c r="P34" s="2023"/>
      <c r="Q34" s="2018"/>
      <c r="R34" s="2022">
        <f t="shared" si="2"/>
        <v>0</v>
      </c>
      <c r="S34" s="2023"/>
      <c r="T34" s="2023"/>
      <c r="U34" s="2023"/>
      <c r="V34" s="2023"/>
      <c r="W34" s="2023"/>
      <c r="X34" s="2018"/>
      <c r="Y34" s="1152"/>
      <c r="AK34" s="1073">
        <v>11</v>
      </c>
    </row>
    <row r="35" spans="6:37" ht="11.45" customHeight="1">
      <c r="F35" s="1148">
        <v>4</v>
      </c>
      <c r="G35" s="626" t="s">
        <v>1104</v>
      </c>
      <c r="H35" s="1154">
        <f t="shared" si="0"/>
        <v>0</v>
      </c>
      <c r="I35" s="1153"/>
      <c r="J35" s="1143"/>
      <c r="K35" s="2022">
        <f t="shared" si="1"/>
        <v>0</v>
      </c>
      <c r="L35" s="2023"/>
      <c r="M35" s="2023"/>
      <c r="N35" s="2023"/>
      <c r="O35" s="2023"/>
      <c r="P35" s="2023"/>
      <c r="Q35" s="2018"/>
      <c r="R35" s="2022">
        <f t="shared" si="2"/>
        <v>0</v>
      </c>
      <c r="S35" s="2023"/>
      <c r="T35" s="2023"/>
      <c r="U35" s="2023"/>
      <c r="V35" s="2023"/>
      <c r="W35" s="2023"/>
      <c r="X35" s="2018"/>
      <c r="Y35" s="1152"/>
      <c r="AK35" s="1073">
        <v>11</v>
      </c>
    </row>
    <row r="36" spans="6:37" ht="11.45" customHeight="1">
      <c r="F36" s="1148"/>
      <c r="G36" s="629" t="s">
        <v>1105</v>
      </c>
      <c r="H36" s="1154">
        <f t="shared" si="0"/>
        <v>0</v>
      </c>
      <c r="I36" s="1154">
        <f>SUM(I15,I28,I32,I35)</f>
        <v>0</v>
      </c>
      <c r="J36" s="1143"/>
      <c r="K36" s="2022">
        <f t="shared" si="1"/>
        <v>0</v>
      </c>
      <c r="L36" s="2022">
        <f>SUM(L15,L28,L32,L35)</f>
        <v>0</v>
      </c>
      <c r="M36" s="2022">
        <f>SUM(M15,M28,M32,M35)</f>
        <v>0</v>
      </c>
      <c r="N36" s="2022">
        <f>SUM(N15,N28,N32,N35)</f>
        <v>0</v>
      </c>
      <c r="O36" s="2022">
        <f>SUM(O15,O28,O32,O35)</f>
        <v>0</v>
      </c>
      <c r="P36" s="2022">
        <f>SUM(P15,P28,P32,P35)</f>
        <v>0</v>
      </c>
      <c r="Q36" s="2018"/>
      <c r="R36" s="2022">
        <f t="shared" si="2"/>
        <v>0</v>
      </c>
      <c r="S36" s="2022">
        <f>SUM(S15,S28,S32,S35)</f>
        <v>0</v>
      </c>
      <c r="T36" s="2022">
        <f>SUM(T15,T28,T32,T35)</f>
        <v>0</v>
      </c>
      <c r="U36" s="2022">
        <f>SUM(U15,U28,U32,U35)</f>
        <v>0</v>
      </c>
      <c r="V36" s="2022">
        <f>SUM(V15,V28,V32,V35)</f>
        <v>0</v>
      </c>
      <c r="W36" s="2022">
        <f>SUM(W15,W28,W32,W35)</f>
        <v>0</v>
      </c>
      <c r="X36" s="2018"/>
      <c r="Y36" s="1152"/>
      <c r="AK36" s="1073">
        <v>11</v>
      </c>
    </row>
    <row r="37" spans="6:37" ht="29.25" customHeight="1">
      <c r="F37" s="1149" t="s">
        <v>1106</v>
      </c>
      <c r="G37" s="2816" t="s">
        <v>1107</v>
      </c>
      <c r="H37" s="2816"/>
      <c r="I37" s="2816"/>
      <c r="J37" s="2816"/>
      <c r="K37" s="2024"/>
      <c r="L37" s="2024"/>
      <c r="M37" s="2024"/>
      <c r="N37" s="2024"/>
      <c r="O37" s="2024"/>
      <c r="P37" s="2024"/>
      <c r="Q37" s="2024"/>
      <c r="R37" s="2024"/>
      <c r="S37" s="2024"/>
      <c r="T37" s="2024"/>
      <c r="U37" s="2024"/>
      <c r="V37" s="2024"/>
      <c r="W37" s="2024"/>
      <c r="X37" s="2024"/>
      <c r="Y37" s="1152"/>
      <c r="AK37" s="1073">
        <v>28</v>
      </c>
    </row>
    <row r="38" spans="6:37" ht="24" customHeight="1">
      <c r="F38" s="1148" t="s">
        <v>102</v>
      </c>
      <c r="G38" s="626" t="s">
        <v>1108</v>
      </c>
      <c r="H38" s="1154">
        <f t="shared" ref="H38:H58" si="3">SUM(I38:J38)</f>
        <v>0</v>
      </c>
      <c r="I38" s="1154">
        <f>SUM(I39,I44,I47)</f>
        <v>0</v>
      </c>
      <c r="J38" s="1143"/>
      <c r="K38" s="2022">
        <f t="shared" ref="K38:K58" si="4">SUM(L38:Q38)</f>
        <v>0</v>
      </c>
      <c r="L38" s="2022">
        <f>SUM(L39,L44,L47)</f>
        <v>0</v>
      </c>
      <c r="M38" s="2022">
        <f>SUM(M39,M44,M47)</f>
        <v>0</v>
      </c>
      <c r="N38" s="2022">
        <f>SUM(N39,N44,N47)</f>
        <v>0</v>
      </c>
      <c r="O38" s="2022">
        <f>SUM(O39,O44,O47)</f>
        <v>0</v>
      </c>
      <c r="P38" s="2022">
        <f>SUM(P39,P44,P47)</f>
        <v>0</v>
      </c>
      <c r="Q38" s="2018"/>
      <c r="R38" s="2022">
        <f t="shared" ref="R38:R58" si="5">SUM(S38:X38)</f>
        <v>0</v>
      </c>
      <c r="S38" s="2022">
        <f>SUM(S39,S44,S47)</f>
        <v>0</v>
      </c>
      <c r="T38" s="2022">
        <f>SUM(T39,T44,T47)</f>
        <v>0</v>
      </c>
      <c r="U38" s="2022">
        <f>SUM(U39,U44,U47)</f>
        <v>0</v>
      </c>
      <c r="V38" s="2022">
        <f>SUM(V39,V44,V47)</f>
        <v>0</v>
      </c>
      <c r="W38" s="2022">
        <f>SUM(W39,W44,W47)</f>
        <v>0</v>
      </c>
      <c r="X38" s="2018"/>
      <c r="Y38" s="1152"/>
      <c r="AK38" s="1073">
        <v>23</v>
      </c>
    </row>
    <row r="39" spans="6:37" ht="11.45" customHeight="1">
      <c r="F39" s="1148" t="s">
        <v>1073</v>
      </c>
      <c r="G39" s="1155" t="s">
        <v>1072</v>
      </c>
      <c r="H39" s="1154">
        <f t="shared" si="3"/>
        <v>0</v>
      </c>
      <c r="I39" s="1154">
        <f>SUM(I40:I43)</f>
        <v>0</v>
      </c>
      <c r="J39" s="1143"/>
      <c r="K39" s="2022">
        <f t="shared" si="4"/>
        <v>0</v>
      </c>
      <c r="L39" s="2022">
        <f>SUM(L40:L43)</f>
        <v>0</v>
      </c>
      <c r="M39" s="2022">
        <f>SUM(M40:M43)</f>
        <v>0</v>
      </c>
      <c r="N39" s="2022">
        <f>SUM(N40:N43)</f>
        <v>0</v>
      </c>
      <c r="O39" s="2022">
        <f>SUM(O40:O43)</f>
        <v>0</v>
      </c>
      <c r="P39" s="2022">
        <f>SUM(P40:P43)</f>
        <v>0</v>
      </c>
      <c r="Q39" s="2018"/>
      <c r="R39" s="2022">
        <f t="shared" si="5"/>
        <v>0</v>
      </c>
      <c r="S39" s="2022">
        <f>SUM(S40:S43)</f>
        <v>0</v>
      </c>
      <c r="T39" s="2022">
        <f>SUM(T40:T43)</f>
        <v>0</v>
      </c>
      <c r="U39" s="2022">
        <f>SUM(U40:U43)</f>
        <v>0</v>
      </c>
      <c r="V39" s="2022">
        <f>SUM(V40:V43)</f>
        <v>0</v>
      </c>
      <c r="W39" s="2022">
        <f>SUM(W40:W43)</f>
        <v>0</v>
      </c>
      <c r="X39" s="2018"/>
      <c r="Y39" s="1152"/>
      <c r="AK39" s="1073">
        <v>11</v>
      </c>
    </row>
    <row r="40" spans="6:37" ht="24" customHeight="1">
      <c r="F40" s="1148" t="s">
        <v>1109</v>
      </c>
      <c r="G40" s="1156" t="s">
        <v>1110</v>
      </c>
      <c r="H40" s="1154">
        <f t="shared" si="3"/>
        <v>0</v>
      </c>
      <c r="I40" s="1153"/>
      <c r="J40" s="1143"/>
      <c r="K40" s="2022">
        <f t="shared" si="4"/>
        <v>0</v>
      </c>
      <c r="L40" s="2023"/>
      <c r="M40" s="2023"/>
      <c r="N40" s="2023"/>
      <c r="O40" s="2023"/>
      <c r="P40" s="2023"/>
      <c r="Q40" s="2018"/>
      <c r="R40" s="2022">
        <f t="shared" si="5"/>
        <v>0</v>
      </c>
      <c r="S40" s="2023"/>
      <c r="T40" s="2023"/>
      <c r="U40" s="2023"/>
      <c r="V40" s="2023"/>
      <c r="W40" s="2023"/>
      <c r="X40" s="2018"/>
      <c r="Y40" s="1152"/>
      <c r="AK40" s="1073">
        <v>23</v>
      </c>
    </row>
    <row r="41" spans="6:37" ht="11.45" customHeight="1">
      <c r="F41" s="1148" t="s">
        <v>1111</v>
      </c>
      <c r="G41" s="1156" t="s">
        <v>1112</v>
      </c>
      <c r="H41" s="1154">
        <f t="shared" si="3"/>
        <v>0</v>
      </c>
      <c r="I41" s="1153"/>
      <c r="J41" s="1143"/>
      <c r="K41" s="2022">
        <f t="shared" si="4"/>
        <v>0</v>
      </c>
      <c r="L41" s="2023"/>
      <c r="M41" s="2023"/>
      <c r="N41" s="2023"/>
      <c r="O41" s="2023"/>
      <c r="P41" s="2023"/>
      <c r="Q41" s="2018"/>
      <c r="R41" s="2022">
        <f t="shared" si="5"/>
        <v>0</v>
      </c>
      <c r="S41" s="2023"/>
      <c r="T41" s="2023"/>
      <c r="U41" s="2023"/>
      <c r="V41" s="2023"/>
      <c r="W41" s="2023"/>
      <c r="X41" s="2018"/>
      <c r="Y41" s="1152"/>
      <c r="AK41" s="1073">
        <v>11</v>
      </c>
    </row>
    <row r="42" spans="6:37" ht="11.45" customHeight="1">
      <c r="F42" s="1148" t="s">
        <v>1113</v>
      </c>
      <c r="G42" s="1156" t="s">
        <v>1114</v>
      </c>
      <c r="H42" s="1154">
        <f t="shared" si="3"/>
        <v>0</v>
      </c>
      <c r="I42" s="1153"/>
      <c r="J42" s="1143"/>
      <c r="K42" s="2022">
        <f t="shared" si="4"/>
        <v>0</v>
      </c>
      <c r="L42" s="2023"/>
      <c r="M42" s="2023"/>
      <c r="N42" s="2023"/>
      <c r="O42" s="2023"/>
      <c r="P42" s="2023"/>
      <c r="Q42" s="2018"/>
      <c r="R42" s="2022">
        <f t="shared" si="5"/>
        <v>0</v>
      </c>
      <c r="S42" s="2023"/>
      <c r="T42" s="2023"/>
      <c r="U42" s="2023"/>
      <c r="V42" s="2023"/>
      <c r="W42" s="2023"/>
      <c r="X42" s="2018"/>
      <c r="Y42" s="1152"/>
      <c r="AK42" s="1073">
        <v>11</v>
      </c>
    </row>
    <row r="43" spans="6:37" ht="35.65" customHeight="1">
      <c r="F43" s="1148" t="s">
        <v>1115</v>
      </c>
      <c r="G43" s="1156" t="s">
        <v>1116</v>
      </c>
      <c r="H43" s="1154">
        <f t="shared" si="3"/>
        <v>0</v>
      </c>
      <c r="I43" s="1153"/>
      <c r="J43" s="1143"/>
      <c r="K43" s="2022">
        <f t="shared" si="4"/>
        <v>0</v>
      </c>
      <c r="L43" s="2023"/>
      <c r="M43" s="2023"/>
      <c r="N43" s="2023"/>
      <c r="O43" s="2023"/>
      <c r="P43" s="2023"/>
      <c r="Q43" s="2018"/>
      <c r="R43" s="2022">
        <f t="shared" si="5"/>
        <v>0</v>
      </c>
      <c r="S43" s="2023"/>
      <c r="T43" s="2023"/>
      <c r="U43" s="2023"/>
      <c r="V43" s="2023"/>
      <c r="W43" s="2023"/>
      <c r="X43" s="2018"/>
      <c r="Y43" s="1152"/>
      <c r="AK43" s="1073">
        <v>34</v>
      </c>
    </row>
    <row r="44" spans="6:37" ht="11.45" customHeight="1">
      <c r="F44" s="1148" t="s">
        <v>1075</v>
      </c>
      <c r="G44" s="1155" t="s">
        <v>1101</v>
      </c>
      <c r="H44" s="1154">
        <f t="shared" si="3"/>
        <v>0</v>
      </c>
      <c r="I44" s="1154">
        <f>SUM(I45:I46)</f>
        <v>0</v>
      </c>
      <c r="J44" s="1143"/>
      <c r="K44" s="2022">
        <f t="shared" si="4"/>
        <v>0</v>
      </c>
      <c r="L44" s="2022">
        <f>SUM(L45:L46)</f>
        <v>0</v>
      </c>
      <c r="M44" s="2022">
        <f>SUM(M45:M46)</f>
        <v>0</v>
      </c>
      <c r="N44" s="2022">
        <f>SUM(N45:N46)</f>
        <v>0</v>
      </c>
      <c r="O44" s="2022">
        <f>SUM(O45:O46)</f>
        <v>0</v>
      </c>
      <c r="P44" s="2022">
        <f>SUM(P45:P46)</f>
        <v>0</v>
      </c>
      <c r="Q44" s="2018"/>
      <c r="R44" s="2022">
        <f t="shared" si="5"/>
        <v>0</v>
      </c>
      <c r="S44" s="2022">
        <f>SUM(S45:S46)</f>
        <v>0</v>
      </c>
      <c r="T44" s="2022">
        <f>SUM(T45:T46)</f>
        <v>0</v>
      </c>
      <c r="U44" s="2022">
        <f>SUM(U45:U46)</f>
        <v>0</v>
      </c>
      <c r="V44" s="2022">
        <f>SUM(V45:V46)</f>
        <v>0</v>
      </c>
      <c r="W44" s="2022">
        <f>SUM(W45:W46)</f>
        <v>0</v>
      </c>
      <c r="X44" s="2018"/>
      <c r="Y44" s="1152"/>
      <c r="AK44" s="1073">
        <v>11</v>
      </c>
    </row>
    <row r="45" spans="6:37" ht="48.2" customHeight="1">
      <c r="F45" s="1148" t="s">
        <v>1117</v>
      </c>
      <c r="G45" s="1156" t="s">
        <v>1102</v>
      </c>
      <c r="H45" s="1154">
        <f t="shared" si="3"/>
        <v>0</v>
      </c>
      <c r="I45" s="1153"/>
      <c r="J45" s="1143"/>
      <c r="K45" s="2022">
        <f t="shared" si="4"/>
        <v>0</v>
      </c>
      <c r="L45" s="2023"/>
      <c r="M45" s="2023"/>
      <c r="N45" s="2023"/>
      <c r="O45" s="2023"/>
      <c r="P45" s="2023"/>
      <c r="Q45" s="2018"/>
      <c r="R45" s="2022">
        <f t="shared" si="5"/>
        <v>0</v>
      </c>
      <c r="S45" s="2023"/>
      <c r="T45" s="2023"/>
      <c r="U45" s="2023"/>
      <c r="V45" s="2023"/>
      <c r="W45" s="2023"/>
      <c r="X45" s="2018"/>
      <c r="Y45" s="1152"/>
      <c r="AK45" s="1073">
        <v>46</v>
      </c>
    </row>
    <row r="46" spans="6:37" ht="11.45" customHeight="1">
      <c r="F46" s="1148" t="s">
        <v>1118</v>
      </c>
      <c r="G46" s="1156" t="s">
        <v>1103</v>
      </c>
      <c r="H46" s="1154">
        <f t="shared" si="3"/>
        <v>0</v>
      </c>
      <c r="I46" s="1153"/>
      <c r="J46" s="1143"/>
      <c r="K46" s="2022">
        <f t="shared" si="4"/>
        <v>0</v>
      </c>
      <c r="L46" s="2023"/>
      <c r="M46" s="2023"/>
      <c r="N46" s="2023"/>
      <c r="O46" s="2023"/>
      <c r="P46" s="2023"/>
      <c r="Q46" s="2018"/>
      <c r="R46" s="2022">
        <f t="shared" si="5"/>
        <v>0</v>
      </c>
      <c r="S46" s="2023"/>
      <c r="T46" s="2023"/>
      <c r="U46" s="2023"/>
      <c r="V46" s="2023"/>
      <c r="W46" s="2023"/>
      <c r="X46" s="2018"/>
      <c r="Y46" s="1152"/>
      <c r="AK46" s="1073">
        <v>11</v>
      </c>
    </row>
    <row r="47" spans="6:37" ht="11.45" customHeight="1">
      <c r="F47" s="1148" t="s">
        <v>1077</v>
      </c>
      <c r="G47" s="1155" t="s">
        <v>1119</v>
      </c>
      <c r="H47" s="1154">
        <f t="shared" si="3"/>
        <v>0</v>
      </c>
      <c r="I47" s="1153"/>
      <c r="J47" s="1143"/>
      <c r="K47" s="2022">
        <f t="shared" si="4"/>
        <v>0</v>
      </c>
      <c r="L47" s="2023"/>
      <c r="M47" s="2023"/>
      <c r="N47" s="2023"/>
      <c r="O47" s="2023"/>
      <c r="P47" s="2023"/>
      <c r="Q47" s="2018"/>
      <c r="R47" s="2022">
        <f t="shared" si="5"/>
        <v>0</v>
      </c>
      <c r="S47" s="2023"/>
      <c r="T47" s="2023"/>
      <c r="U47" s="2023"/>
      <c r="V47" s="2023"/>
      <c r="W47" s="2023"/>
      <c r="X47" s="2018"/>
      <c r="Y47" s="1152"/>
      <c r="AK47" s="1073">
        <v>11</v>
      </c>
    </row>
    <row r="48" spans="6:37" ht="24" customHeight="1">
      <c r="F48" s="1148" t="s">
        <v>103</v>
      </c>
      <c r="G48" s="626" t="s">
        <v>1120</v>
      </c>
      <c r="H48" s="1154">
        <f t="shared" si="3"/>
        <v>0</v>
      </c>
      <c r="I48" s="1154">
        <f>SUM(I49,I54,I57)</f>
        <v>0</v>
      </c>
      <c r="J48" s="1143"/>
      <c r="K48" s="2022">
        <f t="shared" si="4"/>
        <v>0</v>
      </c>
      <c r="L48" s="2022">
        <f>SUM(L49,L54,L57)</f>
        <v>0</v>
      </c>
      <c r="M48" s="2022">
        <f>SUM(M49,M54,M57)</f>
        <v>0</v>
      </c>
      <c r="N48" s="2022">
        <f>SUM(N49,N54,N57)</f>
        <v>0</v>
      </c>
      <c r="O48" s="2022">
        <f>SUM(O49,O54,O57)</f>
        <v>0</v>
      </c>
      <c r="P48" s="2022">
        <f>SUM(P49,P54,P57)</f>
        <v>0</v>
      </c>
      <c r="Q48" s="2018"/>
      <c r="R48" s="2022">
        <f t="shared" si="5"/>
        <v>0</v>
      </c>
      <c r="S48" s="2022">
        <f>SUM(S49,S54,S57)</f>
        <v>0</v>
      </c>
      <c r="T48" s="2022">
        <f>SUM(T49,T54,T57)</f>
        <v>0</v>
      </c>
      <c r="U48" s="2022">
        <f>SUM(U49,U54,U57)</f>
        <v>0</v>
      </c>
      <c r="V48" s="2022">
        <f>SUM(V49,V54,V57)</f>
        <v>0</v>
      </c>
      <c r="W48" s="2022">
        <f>SUM(W49,W54,W57)</f>
        <v>0</v>
      </c>
      <c r="X48" s="2018"/>
      <c r="Y48" s="1152"/>
      <c r="AK48" s="1073">
        <v>23</v>
      </c>
    </row>
    <row r="49" spans="1:37" ht="11.45" customHeight="1">
      <c r="F49" s="1148" t="s">
        <v>700</v>
      </c>
      <c r="G49" s="1155" t="s">
        <v>1072</v>
      </c>
      <c r="H49" s="1154">
        <f t="shared" si="3"/>
        <v>0</v>
      </c>
      <c r="I49" s="1154">
        <f>SUM(I50:I53)</f>
        <v>0</v>
      </c>
      <c r="J49" s="1143"/>
      <c r="K49" s="2022">
        <f t="shared" si="4"/>
        <v>0</v>
      </c>
      <c r="L49" s="2022">
        <f>SUM(L50:L53)</f>
        <v>0</v>
      </c>
      <c r="M49" s="2022">
        <f>SUM(M50:M53)</f>
        <v>0</v>
      </c>
      <c r="N49" s="2022">
        <f>SUM(N50:N53)</f>
        <v>0</v>
      </c>
      <c r="O49" s="2022">
        <f>SUM(O50:O53)</f>
        <v>0</v>
      </c>
      <c r="P49" s="2022">
        <f>SUM(P50:P53)</f>
        <v>0</v>
      </c>
      <c r="Q49" s="2018"/>
      <c r="R49" s="2022">
        <f t="shared" si="5"/>
        <v>0</v>
      </c>
      <c r="S49" s="2022">
        <f>SUM(S50:S53)</f>
        <v>0</v>
      </c>
      <c r="T49" s="2022">
        <f>SUM(T50:T53)</f>
        <v>0</v>
      </c>
      <c r="U49" s="2022">
        <f>SUM(U50:U53)</f>
        <v>0</v>
      </c>
      <c r="V49" s="2022">
        <f>SUM(V50:V53)</f>
        <v>0</v>
      </c>
      <c r="W49" s="2022">
        <f>SUM(W50:W53)</f>
        <v>0</v>
      </c>
      <c r="X49" s="2018"/>
      <c r="Y49" s="1152"/>
      <c r="AK49" s="1073">
        <v>11</v>
      </c>
    </row>
    <row r="50" spans="1:37" ht="24" customHeight="1">
      <c r="F50" s="1148" t="s">
        <v>703</v>
      </c>
      <c r="G50" s="1156" t="s">
        <v>1110</v>
      </c>
      <c r="H50" s="1154">
        <f t="shared" si="3"/>
        <v>0</v>
      </c>
      <c r="I50" s="1153"/>
      <c r="J50" s="1143"/>
      <c r="K50" s="2022">
        <f t="shared" si="4"/>
        <v>0</v>
      </c>
      <c r="L50" s="2023"/>
      <c r="M50" s="2023"/>
      <c r="N50" s="2023"/>
      <c r="O50" s="2023"/>
      <c r="P50" s="2023"/>
      <c r="Q50" s="2018"/>
      <c r="R50" s="2022">
        <f t="shared" si="5"/>
        <v>0</v>
      </c>
      <c r="S50" s="2023"/>
      <c r="T50" s="2023"/>
      <c r="U50" s="2023"/>
      <c r="V50" s="2023"/>
      <c r="W50" s="2023"/>
      <c r="X50" s="2018"/>
      <c r="Y50" s="1152"/>
      <c r="AK50" s="1073">
        <v>23</v>
      </c>
    </row>
    <row r="51" spans="1:37" ht="11.45" customHeight="1">
      <c r="F51" s="1148" t="s">
        <v>706</v>
      </c>
      <c r="G51" s="1156" t="s">
        <v>1112</v>
      </c>
      <c r="H51" s="1154">
        <f t="shared" si="3"/>
        <v>0</v>
      </c>
      <c r="I51" s="1153"/>
      <c r="J51" s="1143"/>
      <c r="K51" s="2022">
        <f t="shared" si="4"/>
        <v>0</v>
      </c>
      <c r="L51" s="2023"/>
      <c r="M51" s="2023"/>
      <c r="N51" s="2023"/>
      <c r="O51" s="2023"/>
      <c r="P51" s="2023"/>
      <c r="Q51" s="2018"/>
      <c r="R51" s="2022">
        <f t="shared" si="5"/>
        <v>0</v>
      </c>
      <c r="S51" s="2023"/>
      <c r="T51" s="2023"/>
      <c r="U51" s="2023"/>
      <c r="V51" s="2023"/>
      <c r="W51" s="2023"/>
      <c r="X51" s="2018"/>
      <c r="Y51" s="1152"/>
      <c r="AK51" s="1073">
        <v>11</v>
      </c>
    </row>
    <row r="52" spans="1:37" ht="11.45" customHeight="1">
      <c r="F52" s="1148" t="s">
        <v>1121</v>
      </c>
      <c r="G52" s="1156" t="s">
        <v>1114</v>
      </c>
      <c r="H52" s="1154">
        <f t="shared" si="3"/>
        <v>0</v>
      </c>
      <c r="I52" s="1153"/>
      <c r="J52" s="1143"/>
      <c r="K52" s="2022">
        <f t="shared" si="4"/>
        <v>0</v>
      </c>
      <c r="L52" s="2023"/>
      <c r="M52" s="2023"/>
      <c r="N52" s="2023"/>
      <c r="O52" s="2023"/>
      <c r="P52" s="2023"/>
      <c r="Q52" s="2018"/>
      <c r="R52" s="2022">
        <f t="shared" si="5"/>
        <v>0</v>
      </c>
      <c r="S52" s="2023"/>
      <c r="T52" s="2023"/>
      <c r="U52" s="2023"/>
      <c r="V52" s="2023"/>
      <c r="W52" s="2023"/>
      <c r="X52" s="2018"/>
      <c r="Y52" s="1152"/>
      <c r="AK52" s="1073">
        <v>11</v>
      </c>
    </row>
    <row r="53" spans="1:37" ht="35.65" customHeight="1">
      <c r="F53" s="1148" t="s">
        <v>1122</v>
      </c>
      <c r="G53" s="1156" t="s">
        <v>1116</v>
      </c>
      <c r="H53" s="1154">
        <f t="shared" si="3"/>
        <v>0</v>
      </c>
      <c r="I53" s="1153"/>
      <c r="J53" s="1143"/>
      <c r="K53" s="2022">
        <f t="shared" si="4"/>
        <v>0</v>
      </c>
      <c r="L53" s="2023"/>
      <c r="M53" s="2023"/>
      <c r="N53" s="2023"/>
      <c r="O53" s="2023"/>
      <c r="P53" s="2023"/>
      <c r="Q53" s="2018"/>
      <c r="R53" s="2022">
        <f t="shared" si="5"/>
        <v>0</v>
      </c>
      <c r="S53" s="2023"/>
      <c r="T53" s="2023"/>
      <c r="U53" s="2023"/>
      <c r="V53" s="2023"/>
      <c r="W53" s="2023"/>
      <c r="X53" s="2018"/>
      <c r="Y53" s="1152"/>
      <c r="AK53" s="1073">
        <v>34</v>
      </c>
    </row>
    <row r="54" spans="1:37" ht="11.45" customHeight="1">
      <c r="F54" s="1148" t="s">
        <v>298</v>
      </c>
      <c r="G54" s="1155" t="s">
        <v>1101</v>
      </c>
      <c r="H54" s="1154">
        <f t="shared" si="3"/>
        <v>0</v>
      </c>
      <c r="I54" s="1154">
        <f>SUM(I55:I56)</f>
        <v>0</v>
      </c>
      <c r="J54" s="1143"/>
      <c r="K54" s="2022">
        <f t="shared" si="4"/>
        <v>0</v>
      </c>
      <c r="L54" s="2022">
        <f>SUM(L55:L56)</f>
        <v>0</v>
      </c>
      <c r="M54" s="2022">
        <f>SUM(M55:M56)</f>
        <v>0</v>
      </c>
      <c r="N54" s="2022">
        <f>SUM(N55:N56)</f>
        <v>0</v>
      </c>
      <c r="O54" s="2022">
        <f>SUM(O55:O56)</f>
        <v>0</v>
      </c>
      <c r="P54" s="2022">
        <f>SUM(P55:P56)</f>
        <v>0</v>
      </c>
      <c r="Q54" s="2018"/>
      <c r="R54" s="2022">
        <f t="shared" si="5"/>
        <v>0</v>
      </c>
      <c r="S54" s="2022">
        <f>SUM(S55:S56)</f>
        <v>0</v>
      </c>
      <c r="T54" s="2022">
        <f>SUM(T55:T56)</f>
        <v>0</v>
      </c>
      <c r="U54" s="2022">
        <f>SUM(U55:U56)</f>
        <v>0</v>
      </c>
      <c r="V54" s="2022">
        <f>SUM(V55:V56)</f>
        <v>0</v>
      </c>
      <c r="W54" s="2022">
        <f>SUM(W55:W56)</f>
        <v>0</v>
      </c>
      <c r="X54" s="2018"/>
      <c r="Y54" s="1152"/>
      <c r="AK54" s="1073">
        <v>11</v>
      </c>
    </row>
    <row r="55" spans="1:37" ht="48.2" customHeight="1">
      <c r="F55" s="1148" t="s">
        <v>710</v>
      </c>
      <c r="G55" s="1156" t="s">
        <v>1102</v>
      </c>
      <c r="H55" s="1154">
        <f t="shared" si="3"/>
        <v>0</v>
      </c>
      <c r="I55" s="1153"/>
      <c r="J55" s="1143"/>
      <c r="K55" s="2022">
        <f t="shared" si="4"/>
        <v>0</v>
      </c>
      <c r="L55" s="2023"/>
      <c r="M55" s="2023"/>
      <c r="N55" s="2023"/>
      <c r="O55" s="2023"/>
      <c r="P55" s="2023"/>
      <c r="Q55" s="2018"/>
      <c r="R55" s="2022">
        <f t="shared" si="5"/>
        <v>0</v>
      </c>
      <c r="S55" s="2023"/>
      <c r="T55" s="2023"/>
      <c r="U55" s="2023"/>
      <c r="V55" s="2023"/>
      <c r="W55" s="2023"/>
      <c r="X55" s="2018"/>
      <c r="Y55" s="1152"/>
      <c r="AK55" s="1073">
        <v>46</v>
      </c>
    </row>
    <row r="56" spans="1:37" ht="11.45" customHeight="1">
      <c r="F56" s="1148" t="s">
        <v>712</v>
      </c>
      <c r="G56" s="1156" t="s">
        <v>1103</v>
      </c>
      <c r="H56" s="1154">
        <f t="shared" si="3"/>
        <v>0</v>
      </c>
      <c r="I56" s="1153"/>
      <c r="J56" s="1143"/>
      <c r="K56" s="2022">
        <f t="shared" si="4"/>
        <v>0</v>
      </c>
      <c r="L56" s="2023"/>
      <c r="M56" s="2023"/>
      <c r="N56" s="2023"/>
      <c r="O56" s="2023"/>
      <c r="P56" s="2023"/>
      <c r="Q56" s="2018"/>
      <c r="R56" s="2022">
        <f t="shared" si="5"/>
        <v>0</v>
      </c>
      <c r="S56" s="2023"/>
      <c r="T56" s="2023"/>
      <c r="U56" s="2023"/>
      <c r="V56" s="2023"/>
      <c r="W56" s="2023"/>
      <c r="X56" s="2018"/>
      <c r="Y56" s="1152"/>
      <c r="AK56" s="1073">
        <v>11</v>
      </c>
    </row>
    <row r="57" spans="1:37" ht="11.45" customHeight="1">
      <c r="F57" s="1148" t="s">
        <v>301</v>
      </c>
      <c r="G57" s="1155" t="s">
        <v>1119</v>
      </c>
      <c r="H57" s="1154">
        <f t="shared" si="3"/>
        <v>0</v>
      </c>
      <c r="I57" s="1153"/>
      <c r="J57" s="1143"/>
      <c r="K57" s="2022">
        <f t="shared" si="4"/>
        <v>0</v>
      </c>
      <c r="L57" s="2023"/>
      <c r="M57" s="2023"/>
      <c r="N57" s="2023"/>
      <c r="O57" s="2023"/>
      <c r="P57" s="2023"/>
      <c r="Q57" s="2018"/>
      <c r="R57" s="2022">
        <f t="shared" si="5"/>
        <v>0</v>
      </c>
      <c r="S57" s="2023"/>
      <c r="T57" s="2023"/>
      <c r="U57" s="2023"/>
      <c r="V57" s="2023"/>
      <c r="W57" s="2023"/>
      <c r="X57" s="2018"/>
      <c r="Y57" s="1152"/>
      <c r="AK57" s="1073">
        <v>11</v>
      </c>
    </row>
    <row r="58" spans="1:37" ht="11.45" customHeight="1">
      <c r="F58" s="1148"/>
      <c r="G58" s="1157" t="s">
        <v>1105</v>
      </c>
      <c r="H58" s="1154">
        <f t="shared" si="3"/>
        <v>0</v>
      </c>
      <c r="I58" s="1154">
        <f>SUM(I38,I48)</f>
        <v>0</v>
      </c>
      <c r="J58" s="1143"/>
      <c r="K58" s="2022">
        <f t="shared" si="4"/>
        <v>0</v>
      </c>
      <c r="L58" s="2022">
        <f>SUM(L38,L48)</f>
        <v>0</v>
      </c>
      <c r="M58" s="2022">
        <f>SUM(M38,M48)</f>
        <v>0</v>
      </c>
      <c r="N58" s="2022">
        <f>SUM(N38,N48)</f>
        <v>0</v>
      </c>
      <c r="O58" s="2022">
        <f>SUM(O38,O48)</f>
        <v>0</v>
      </c>
      <c r="P58" s="2022">
        <f>SUM(P38,P48)</f>
        <v>0</v>
      </c>
      <c r="Q58" s="2018"/>
      <c r="R58" s="2022">
        <f t="shared" si="5"/>
        <v>0</v>
      </c>
      <c r="S58" s="2022">
        <f>SUM(S38,S48)</f>
        <v>0</v>
      </c>
      <c r="T58" s="2022">
        <f>SUM(T38,T48)</f>
        <v>0</v>
      </c>
      <c r="U58" s="2022">
        <f>SUM(U38,U48)</f>
        <v>0</v>
      </c>
      <c r="V58" s="2022">
        <f>SUM(V38,V48)</f>
        <v>0</v>
      </c>
      <c r="W58" s="2022">
        <f>SUM(W38,W48)</f>
        <v>0</v>
      </c>
      <c r="X58" s="2018"/>
      <c r="Y58" s="1152"/>
      <c r="AK58" s="1073">
        <v>11</v>
      </c>
    </row>
    <row r="59" spans="1:37" ht="10.5" hidden="1" customHeight="1">
      <c r="A59" s="1084" t="s">
        <v>78</v>
      </c>
      <c r="B59" s="1084">
        <v>0</v>
      </c>
      <c r="C59" s="1084">
        <v>0</v>
      </c>
      <c r="D59" s="1078">
        <v>0</v>
      </c>
      <c r="E59" s="445">
        <v>3</v>
      </c>
      <c r="F59" s="1073">
        <v>6</v>
      </c>
      <c r="G59" s="1073">
        <v>60</v>
      </c>
      <c r="H59" s="1073">
        <v>0</v>
      </c>
      <c r="I59" s="1073">
        <v>0</v>
      </c>
      <c r="J59" s="1073">
        <v>0</v>
      </c>
      <c r="K59" s="2010">
        <v>0</v>
      </c>
      <c r="L59" s="2010">
        <v>0</v>
      </c>
      <c r="M59" s="2010">
        <v>0</v>
      </c>
      <c r="N59" s="2010">
        <v>0</v>
      </c>
      <c r="O59" s="2010">
        <v>0</v>
      </c>
      <c r="P59" s="2010">
        <v>0</v>
      </c>
      <c r="Q59" s="2010">
        <v>0</v>
      </c>
      <c r="R59" s="2010">
        <v>0</v>
      </c>
      <c r="S59" s="2010">
        <v>0</v>
      </c>
      <c r="T59" s="2010">
        <v>0</v>
      </c>
      <c r="U59" s="2010">
        <v>0</v>
      </c>
      <c r="V59" s="2010">
        <v>0</v>
      </c>
      <c r="W59" s="2010">
        <v>0</v>
      </c>
      <c r="X59" s="2010">
        <v>0</v>
      </c>
      <c r="Y59" s="1073">
        <v>1</v>
      </c>
      <c r="Z59" s="1073">
        <v>8</v>
      </c>
      <c r="AA59" s="1073">
        <v>8</v>
      </c>
      <c r="AB59" s="1073">
        <v>8</v>
      </c>
      <c r="AC59" s="1073">
        <v>8</v>
      </c>
      <c r="AD59" s="1073">
        <v>8</v>
      </c>
      <c r="AE59" s="1073">
        <v>8</v>
      </c>
      <c r="AF59" s="1073">
        <v>8</v>
      </c>
      <c r="AG59" s="1073">
        <v>8</v>
      </c>
      <c r="AH59" s="1073">
        <v>8</v>
      </c>
      <c r="AI59" s="1073">
        <v>8</v>
      </c>
      <c r="AJ59" s="1073">
        <v>8</v>
      </c>
      <c r="AK59" s="1073">
        <v>10</v>
      </c>
    </row>
  </sheetData>
  <sheetProtection formatColumns="0" formatRows="0" insertRows="0" deleteColumns="0" deleteRows="0" sort="0" autoFilter="0"/>
  <mergeCells count="13">
    <mergeCell ref="K10:Q10"/>
    <mergeCell ref="K11:Q11"/>
    <mergeCell ref="R10:X10"/>
    <mergeCell ref="R11:X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S16:W16 S17:W17 S18:W18 S19:W19 S20:W20 S21:W21 S22:W22 S23:W23 S24:W24 S25:W25 S26:W26 S27:W27 S29:W29 S30:W30 S31:W31 S33:W33 S34:W34 S35:W35 S40:W40 S41:W41 S42:W42 S43:W43 S45:W45 S46:W46 S47:W47 S50:W50 S51:W51 S52:W52 S53:W53 S55:W55 S56:W56 S57:W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31"/>
  <sheetViews>
    <sheetView showGridLines="0" topLeftCell="E4" zoomScale="90" workbookViewId="0">
      <selection activeCell="AA28" sqref="AA28"/>
    </sheetView>
  </sheetViews>
  <sheetFormatPr defaultColWidth="9.140625" defaultRowHeight="12" customHeight="1"/>
  <cols>
    <col min="1" max="1" width="4.7109375" style="2453" hidden="1" customWidth="1"/>
    <col min="2" max="2" width="4.7109375" style="2454" hidden="1" customWidth="1"/>
    <col min="3" max="4" width="4.7109375" style="2453" hidden="1" customWidth="1"/>
    <col min="5" max="5" width="3" style="2453" customWidth="1"/>
    <col min="6" max="6" width="6" style="2453" customWidth="1"/>
    <col min="7" max="7" width="18" style="2453" customWidth="1"/>
    <col min="8" max="8" width="27" style="2453" customWidth="1"/>
    <col min="9" max="9" width="18" style="2453" customWidth="1"/>
    <col min="10" max="14" width="0.85546875" style="2453" hidden="1" customWidth="1"/>
    <col min="15" max="28" width="21.7109375" style="2453" customWidth="1"/>
    <col min="29" max="71" width="0.85546875" style="2453" customWidth="1"/>
    <col min="72" max="79" width="21.7109375" style="2453" hidden="1" customWidth="1"/>
    <col min="80" max="81" width="29.140625" style="2453" hidden="1" customWidth="1"/>
    <col min="82" max="89" width="21.7109375" style="2453" hidden="1" customWidth="1"/>
    <col min="90" max="102" width="0.7109375" style="2453" hidden="1" customWidth="1"/>
    <col min="103" max="114" width="21.7109375" style="2453" hidden="1" customWidth="1"/>
    <col min="115" max="178" width="0.7109375" style="2453" hidden="1" customWidth="1"/>
    <col min="179" max="179" width="0.140625" style="2453" customWidth="1"/>
    <col min="180" max="184" width="8" style="2453" customWidth="1"/>
    <col min="185" max="185" width="9.140625" style="2453" hidden="1"/>
  </cols>
  <sheetData>
    <row r="1" spans="2:185" s="2447" customFormat="1" ht="12" hidden="1" customHeight="1">
      <c r="B1" s="848"/>
      <c r="C1" s="849"/>
      <c r="D1" s="849"/>
      <c r="GC1" s="847" t="s">
        <v>14</v>
      </c>
    </row>
    <row r="2" spans="2:185" s="2447"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447"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448" customFormat="1" ht="27.4" customHeight="1">
      <c r="B5" s="1787"/>
      <c r="E5" s="1789"/>
      <c r="F5" s="284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58"/>
      <c r="H5" s="2558"/>
      <c r="I5" s="2558"/>
      <c r="J5" s="2558"/>
      <c r="K5" s="2558"/>
      <c r="L5" s="2558"/>
      <c r="M5" s="2558"/>
      <c r="N5" s="2558"/>
      <c r="O5" s="2558"/>
      <c r="P5" s="2558"/>
      <c r="Q5" s="2558"/>
      <c r="R5" s="2558"/>
      <c r="S5" s="2558"/>
      <c r="T5" s="2558"/>
      <c r="U5" s="2558"/>
      <c r="V5" s="2558"/>
      <c r="W5" s="2558"/>
      <c r="X5" s="2558"/>
      <c r="Y5" s="2558"/>
      <c r="Z5" s="2558"/>
      <c r="AA5" s="2558"/>
      <c r="AB5" s="2558"/>
      <c r="AC5" s="2558"/>
      <c r="AD5" s="2558"/>
      <c r="AE5" s="2558"/>
      <c r="AF5" s="2558"/>
      <c r="AG5" s="2558"/>
      <c r="AH5" s="2558"/>
      <c r="AI5" s="2558"/>
      <c r="AJ5" s="2558"/>
      <c r="AK5" s="2558"/>
      <c r="AL5" s="2558"/>
      <c r="AM5" s="2558"/>
      <c r="AN5" s="2558"/>
      <c r="AO5" s="2558"/>
      <c r="AP5" s="2558"/>
      <c r="AQ5" s="2558"/>
      <c r="AR5" s="2558"/>
      <c r="AS5" s="2558"/>
      <c r="AT5" s="2558"/>
      <c r="AU5" s="2558"/>
      <c r="AV5" s="2558"/>
      <c r="AW5" s="2558"/>
      <c r="AX5" s="2558"/>
      <c r="AY5" s="2558"/>
      <c r="AZ5" s="2558"/>
      <c r="BA5" s="2558"/>
      <c r="BB5" s="2558"/>
      <c r="BC5" s="2558"/>
      <c r="BD5" s="2558"/>
      <c r="BE5" s="2558"/>
      <c r="BF5" s="2558"/>
      <c r="BG5" s="2558"/>
      <c r="BH5" s="2558"/>
      <c r="BI5" s="2558"/>
      <c r="BJ5" s="2558"/>
      <c r="BK5" s="2558"/>
      <c r="BL5" s="2558"/>
      <c r="BM5" s="2558"/>
      <c r="BN5" s="2558"/>
      <c r="BO5" s="2558"/>
      <c r="BP5" s="2558"/>
      <c r="BQ5" s="2558"/>
      <c r="BR5" s="2558"/>
      <c r="BS5" s="2558"/>
      <c r="GC5" s="1788">
        <v>26</v>
      </c>
    </row>
    <row r="6" spans="2:185" s="2449" customFormat="1" ht="18.75" customHeight="1">
      <c r="B6" s="868"/>
      <c r="E6" s="870"/>
      <c r="F6" s="2617" t="str">
        <f>IF(org=0,"Не определено",org)</f>
        <v>ПАО "ТГК-1" (филиал "Кольский")</v>
      </c>
      <c r="G6" s="2618"/>
      <c r="H6" s="2618"/>
      <c r="I6" s="2618"/>
      <c r="J6" s="2618"/>
      <c r="K6" s="2618"/>
      <c r="L6" s="2618"/>
      <c r="M6" s="2618"/>
      <c r="N6" s="2618"/>
      <c r="O6" s="2618"/>
      <c r="P6" s="2618"/>
      <c r="Q6" s="2618"/>
      <c r="R6" s="2618"/>
      <c r="S6" s="2618"/>
      <c r="T6" s="2618"/>
      <c r="U6" s="2618"/>
      <c r="V6" s="2618"/>
      <c r="W6" s="2618"/>
      <c r="X6" s="2618"/>
      <c r="Y6" s="2618"/>
      <c r="Z6" s="2618"/>
      <c r="AA6" s="2618"/>
      <c r="AB6" s="2618"/>
      <c r="AC6" s="2618"/>
      <c r="AD6" s="2618"/>
      <c r="AE6" s="2618"/>
      <c r="AF6" s="2618"/>
      <c r="AG6" s="2618"/>
      <c r="AH6" s="2618"/>
      <c r="AI6" s="2618"/>
      <c r="AJ6" s="2618"/>
      <c r="AK6" s="2618"/>
      <c r="AL6" s="2618"/>
      <c r="AM6" s="2618"/>
      <c r="AN6" s="2618"/>
      <c r="AO6" s="2618"/>
      <c r="AP6" s="2618"/>
      <c r="AQ6" s="2618"/>
      <c r="AR6" s="2618"/>
      <c r="AS6" s="2618"/>
      <c r="AT6" s="2618"/>
      <c r="AU6" s="2618"/>
      <c r="AV6" s="2618"/>
      <c r="AW6" s="2618"/>
      <c r="AX6" s="2618"/>
      <c r="AY6" s="2618"/>
      <c r="AZ6" s="2618"/>
      <c r="BA6" s="2618"/>
      <c r="BB6" s="2618"/>
      <c r="BC6" s="2618"/>
      <c r="BD6" s="2618"/>
      <c r="BE6" s="2618"/>
      <c r="BF6" s="2618"/>
      <c r="BG6" s="2618"/>
      <c r="BH6" s="2618"/>
      <c r="BI6" s="2618"/>
      <c r="BJ6" s="2618"/>
      <c r="BK6" s="2618"/>
      <c r="BL6" s="2618"/>
      <c r="BM6" s="2618"/>
      <c r="BN6" s="2618"/>
      <c r="BO6" s="2618"/>
      <c r="BP6" s="2618"/>
      <c r="BQ6" s="2618"/>
      <c r="BR6" s="2618"/>
      <c r="BS6" s="2618"/>
      <c r="GC6" s="869">
        <v>18</v>
      </c>
    </row>
    <row r="7" spans="2:185" s="2450"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450" customFormat="1" ht="11.25" hidden="1" customHeight="1">
      <c r="B8" s="859"/>
      <c r="F8" s="979"/>
      <c r="G8" s="697"/>
      <c r="H8" s="296"/>
      <c r="I8" s="296"/>
      <c r="J8" s="296"/>
      <c r="K8" s="296"/>
      <c r="L8" s="296"/>
      <c r="M8" s="979"/>
      <c r="N8" s="979"/>
      <c r="O8" s="2831" t="s">
        <v>1123</v>
      </c>
      <c r="P8" s="2832"/>
      <c r="Q8" s="2832"/>
      <c r="R8" s="2832"/>
      <c r="S8" s="2832"/>
      <c r="T8" s="2832"/>
      <c r="U8" s="2832"/>
      <c r="V8" s="2832"/>
      <c r="W8" s="2832"/>
      <c r="X8" s="2832"/>
      <c r="Y8" s="2832"/>
      <c r="Z8" s="2832"/>
      <c r="AA8" s="2832"/>
      <c r="AB8" s="2832"/>
      <c r="AC8" s="2832"/>
      <c r="AD8" s="2832"/>
      <c r="AE8" s="2832"/>
      <c r="AF8" s="2832"/>
      <c r="AG8" s="2832"/>
      <c r="AH8" s="2832"/>
      <c r="AI8" s="2832"/>
      <c r="AJ8" s="2832"/>
      <c r="AK8" s="2832"/>
      <c r="AL8" s="2832"/>
      <c r="AM8" s="2832"/>
      <c r="AN8" s="2832"/>
      <c r="AO8" s="2832"/>
      <c r="AP8" s="2832"/>
      <c r="AQ8" s="2832"/>
      <c r="AR8" s="2832"/>
      <c r="AS8" s="2832"/>
      <c r="AT8" s="2832"/>
      <c r="AU8" s="2832"/>
      <c r="AV8" s="2832"/>
      <c r="AW8" s="2832"/>
      <c r="AX8" s="2832"/>
      <c r="AY8" s="2832"/>
      <c r="AZ8" s="2832"/>
      <c r="BA8" s="2832"/>
      <c r="BB8" s="2832"/>
      <c r="BC8" s="2832"/>
      <c r="BD8" s="2832"/>
      <c r="BE8" s="2832"/>
      <c r="BF8" s="2832"/>
      <c r="BG8" s="2832"/>
      <c r="BH8" s="2832"/>
      <c r="BI8" s="2832"/>
      <c r="BJ8" s="2832"/>
      <c r="BK8" s="2832"/>
      <c r="BL8" s="2832"/>
      <c r="BM8" s="2832"/>
      <c r="BN8" s="2832"/>
      <c r="BO8" s="2832"/>
      <c r="BP8" s="2832"/>
      <c r="BQ8" s="2832"/>
      <c r="BR8" s="2832"/>
      <c r="BS8" s="2833"/>
      <c r="BT8" s="2834"/>
      <c r="BU8" s="2835"/>
      <c r="BV8" s="2835"/>
      <c r="BW8" s="2835"/>
      <c r="BX8" s="2835"/>
      <c r="BY8" s="2835"/>
      <c r="BZ8" s="2835"/>
      <c r="CA8" s="2835"/>
      <c r="CB8" s="2835"/>
      <c r="CC8" s="2835"/>
      <c r="CD8" s="2835"/>
      <c r="CE8" s="2835"/>
      <c r="CF8" s="2835"/>
      <c r="CG8" s="2835"/>
      <c r="CH8" s="2835"/>
      <c r="CI8" s="2835"/>
      <c r="CJ8" s="2835"/>
      <c r="CK8" s="2835"/>
      <c r="CL8" s="2835"/>
      <c r="CM8" s="2835"/>
      <c r="CN8" s="2835"/>
      <c r="CO8" s="2835"/>
      <c r="CP8" s="2835"/>
      <c r="CQ8" s="2835"/>
      <c r="CR8" s="2835"/>
      <c r="CS8" s="2835"/>
      <c r="CT8" s="2835"/>
      <c r="CU8" s="2835"/>
      <c r="CV8" s="2835"/>
      <c r="CW8" s="2835"/>
      <c r="CX8" s="2836"/>
      <c r="CY8" s="2837"/>
      <c r="CZ8" s="2838"/>
      <c r="DA8" s="2838"/>
      <c r="DB8" s="2838"/>
      <c r="DC8" s="2838"/>
      <c r="DD8" s="2838"/>
      <c r="DE8" s="2838"/>
      <c r="DF8" s="2838"/>
      <c r="DG8" s="2838"/>
      <c r="DH8" s="2838"/>
      <c r="DI8" s="2838"/>
      <c r="DJ8" s="2838"/>
      <c r="DK8" s="2838"/>
      <c r="DL8" s="2838"/>
      <c r="DM8" s="2838"/>
      <c r="DN8" s="2838"/>
      <c r="DO8" s="2838"/>
      <c r="DP8" s="2838"/>
      <c r="DQ8" s="2838"/>
      <c r="DR8" s="2838"/>
      <c r="DS8" s="2838"/>
      <c r="DT8" s="2838"/>
      <c r="DU8" s="2838"/>
      <c r="DV8" s="2838"/>
      <c r="DW8" s="2838"/>
      <c r="DX8" s="2839"/>
      <c r="DY8" s="2825" t="s">
        <v>1124</v>
      </c>
      <c r="DZ8" s="2826"/>
      <c r="EA8" s="2826"/>
      <c r="EB8" s="2826"/>
      <c r="EC8" s="2826"/>
      <c r="ED8" s="2826"/>
      <c r="EE8" s="2826"/>
      <c r="EF8" s="2826"/>
      <c r="EG8" s="2826"/>
      <c r="EH8" s="2826"/>
      <c r="EI8" s="2826"/>
      <c r="EJ8" s="2826"/>
      <c r="EK8" s="2826"/>
      <c r="EL8" s="2826"/>
      <c r="EM8" s="2826"/>
      <c r="EN8" s="2826"/>
      <c r="EO8" s="2826"/>
      <c r="EP8" s="2826"/>
      <c r="EQ8" s="2826"/>
      <c r="ER8" s="2826"/>
      <c r="ES8" s="2826"/>
      <c r="ET8" s="2826"/>
      <c r="EU8" s="2826"/>
      <c r="EV8" s="2826"/>
      <c r="EW8" s="2826"/>
      <c r="EX8" s="2826"/>
      <c r="EY8" s="2826"/>
      <c r="EZ8" s="2826"/>
      <c r="FA8" s="2826"/>
      <c r="FB8" s="2826"/>
      <c r="FC8" s="2826"/>
      <c r="FD8" s="2826"/>
      <c r="FE8" s="2826"/>
      <c r="FF8" s="2826"/>
      <c r="FG8" s="2826"/>
      <c r="FH8" s="2826"/>
      <c r="FI8" s="2826"/>
      <c r="FJ8" s="2826"/>
      <c r="FK8" s="2826"/>
      <c r="FL8" s="2826"/>
      <c r="FM8" s="2826"/>
      <c r="FN8" s="2826"/>
      <c r="FO8" s="2826"/>
      <c r="FP8" s="2826"/>
      <c r="FQ8" s="2826"/>
      <c r="FR8" s="2826"/>
      <c r="FS8" s="2826"/>
      <c r="FT8" s="2826"/>
      <c r="FU8" s="2826"/>
      <c r="FV8" s="2826"/>
      <c r="FW8" s="2827"/>
      <c r="FX8" s="979"/>
      <c r="GC8" s="858">
        <v>0</v>
      </c>
    </row>
    <row r="9" spans="2:185" s="2450"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828"/>
      <c r="FX9" s="979"/>
      <c r="GC9" s="858">
        <v>0</v>
      </c>
    </row>
    <row r="10" spans="2:185" s="2450" customFormat="1" ht="11.45" customHeight="1">
      <c r="B10" s="859"/>
      <c r="F10" s="2757" t="s">
        <v>291</v>
      </c>
      <c r="G10" s="2841"/>
      <c r="H10" s="2841"/>
      <c r="I10" s="2841"/>
      <c r="J10" s="2841"/>
      <c r="K10" s="2841"/>
      <c r="L10" s="2841"/>
      <c r="M10" s="2841"/>
      <c r="N10" s="2841"/>
      <c r="O10" s="2841"/>
      <c r="P10" s="2841"/>
      <c r="Q10" s="2841"/>
      <c r="R10" s="2841"/>
      <c r="S10" s="2841"/>
      <c r="T10" s="2841"/>
      <c r="U10" s="2841"/>
      <c r="V10" s="2841"/>
      <c r="W10" s="2841"/>
      <c r="X10" s="2841"/>
      <c r="Y10" s="2841"/>
      <c r="Z10" s="2841"/>
      <c r="AA10" s="2841"/>
      <c r="AB10" s="2841"/>
      <c r="AC10" s="2841"/>
      <c r="AD10" s="2841"/>
      <c r="AE10" s="2841"/>
      <c r="AF10" s="2841"/>
      <c r="AG10" s="2841"/>
      <c r="AH10" s="2841"/>
      <c r="AI10" s="2841"/>
      <c r="AJ10" s="2841"/>
      <c r="AK10" s="2841"/>
      <c r="AL10" s="2841"/>
      <c r="AM10" s="2841"/>
      <c r="AN10" s="2841"/>
      <c r="AO10" s="2841"/>
      <c r="AP10" s="2841"/>
      <c r="AQ10" s="2841"/>
      <c r="AR10" s="2841"/>
      <c r="AS10" s="2841"/>
      <c r="AT10" s="2841"/>
      <c r="AU10" s="2841"/>
      <c r="AV10" s="2841"/>
      <c r="AW10" s="2841"/>
      <c r="AX10" s="2841"/>
      <c r="AY10" s="2841"/>
      <c r="AZ10" s="2841"/>
      <c r="BA10" s="2841"/>
      <c r="BB10" s="2841"/>
      <c r="BC10" s="2841"/>
      <c r="BD10" s="2841"/>
      <c r="BE10" s="2841"/>
      <c r="BF10" s="2841"/>
      <c r="BG10" s="2841"/>
      <c r="BH10" s="2841"/>
      <c r="BI10" s="2841"/>
      <c r="BJ10" s="2841"/>
      <c r="BK10" s="2841"/>
      <c r="BL10" s="2841"/>
      <c r="BM10" s="2841"/>
      <c r="BN10" s="2841"/>
      <c r="BO10" s="2841"/>
      <c r="BP10" s="2841"/>
      <c r="BQ10" s="2841"/>
      <c r="BR10" s="2841"/>
      <c r="BS10" s="2841"/>
      <c r="BT10" s="2841"/>
      <c r="BU10" s="2841"/>
      <c r="BV10" s="2841"/>
      <c r="BW10" s="2841"/>
      <c r="BX10" s="2841"/>
      <c r="BY10" s="2841"/>
      <c r="BZ10" s="2841"/>
      <c r="CA10" s="2841"/>
      <c r="CB10" s="2841"/>
      <c r="CC10" s="2841"/>
      <c r="CD10" s="2841"/>
      <c r="CE10" s="2841"/>
      <c r="CF10" s="2841"/>
      <c r="CG10" s="2841"/>
      <c r="CH10" s="2841"/>
      <c r="CI10" s="2841"/>
      <c r="CJ10" s="2841"/>
      <c r="CK10" s="2841"/>
      <c r="CL10" s="2841"/>
      <c r="CM10" s="2841"/>
      <c r="CN10" s="2841"/>
      <c r="CO10" s="2841"/>
      <c r="CP10" s="2841"/>
      <c r="CQ10" s="2841"/>
      <c r="CR10" s="2841"/>
      <c r="CS10" s="2841"/>
      <c r="CT10" s="2841"/>
      <c r="CU10" s="2841"/>
      <c r="CV10" s="2841"/>
      <c r="CW10" s="2841"/>
      <c r="CX10" s="2841"/>
      <c r="CY10" s="2841"/>
      <c r="CZ10" s="2841"/>
      <c r="DA10" s="2841"/>
      <c r="DB10" s="2841"/>
      <c r="DC10" s="2841"/>
      <c r="DD10" s="2841"/>
      <c r="DE10" s="2841"/>
      <c r="DF10" s="2841"/>
      <c r="DG10" s="2841"/>
      <c r="DH10" s="2841"/>
      <c r="DI10" s="2841"/>
      <c r="DJ10" s="2841"/>
      <c r="DK10" s="2841"/>
      <c r="DL10" s="2841"/>
      <c r="DM10" s="2841"/>
      <c r="DN10" s="2841"/>
      <c r="DO10" s="2841"/>
      <c r="DP10" s="2841"/>
      <c r="DQ10" s="2841"/>
      <c r="DR10" s="2841"/>
      <c r="DS10" s="2841"/>
      <c r="DT10" s="2841"/>
      <c r="DU10" s="2841"/>
      <c r="DV10" s="2841"/>
      <c r="DW10" s="2841"/>
      <c r="DX10" s="2841"/>
      <c r="DY10" s="2841"/>
      <c r="DZ10" s="2841"/>
      <c r="EA10" s="2841"/>
      <c r="EB10" s="2841"/>
      <c r="EC10" s="2841"/>
      <c r="ED10" s="2841"/>
      <c r="EE10" s="2841"/>
      <c r="EF10" s="2841"/>
      <c r="EG10" s="2841"/>
      <c r="EH10" s="2841"/>
      <c r="EI10" s="2841"/>
      <c r="EJ10" s="2841"/>
      <c r="EK10" s="2841"/>
      <c r="EL10" s="2841"/>
      <c r="EM10" s="2841"/>
      <c r="EN10" s="2841"/>
      <c r="EO10" s="2841"/>
      <c r="EP10" s="2841"/>
      <c r="EQ10" s="2841"/>
      <c r="ER10" s="2841"/>
      <c r="ES10" s="2841"/>
      <c r="ET10" s="2841"/>
      <c r="EU10" s="2841"/>
      <c r="EV10" s="2841"/>
      <c r="EW10" s="2841"/>
      <c r="EX10" s="2841"/>
      <c r="EY10" s="2841"/>
      <c r="EZ10" s="2841"/>
      <c r="FA10" s="2841"/>
      <c r="FB10" s="2841"/>
      <c r="FC10" s="2841"/>
      <c r="FD10" s="2841"/>
      <c r="FE10" s="2841"/>
      <c r="FF10" s="2841"/>
      <c r="FG10" s="2841"/>
      <c r="FH10" s="2841"/>
      <c r="FI10" s="2841"/>
      <c r="FJ10" s="2841"/>
      <c r="FK10" s="2841"/>
      <c r="FL10" s="2841"/>
      <c r="FM10" s="2841"/>
      <c r="FN10" s="2841"/>
      <c r="FO10" s="2841"/>
      <c r="FP10" s="2841"/>
      <c r="FQ10" s="2841"/>
      <c r="FR10" s="2841"/>
      <c r="FS10" s="2841"/>
      <c r="FT10" s="2841"/>
      <c r="FU10" s="2841"/>
      <c r="FV10" s="2787"/>
      <c r="FW10" s="2828"/>
      <c r="FX10" s="979"/>
      <c r="GC10" s="858">
        <v>11</v>
      </c>
    </row>
    <row r="11" spans="2:185" ht="12.75" customHeight="1">
      <c r="E11" s="862"/>
      <c r="F11" s="2599" t="s">
        <v>84</v>
      </c>
      <c r="G11" s="2599" t="s">
        <v>1125</v>
      </c>
      <c r="H11" s="2599" t="s">
        <v>1126</v>
      </c>
      <c r="I11" s="2599" t="s">
        <v>1127</v>
      </c>
      <c r="J11" s="2840"/>
      <c r="K11" s="2840"/>
      <c r="L11" s="2840"/>
      <c r="M11" s="2840"/>
      <c r="N11" s="2840"/>
      <c r="O11" s="2603" t="s">
        <v>1128</v>
      </c>
      <c r="P11" s="2603"/>
      <c r="Q11" s="2603"/>
      <c r="R11" s="2603"/>
      <c r="S11" s="2603"/>
      <c r="T11" s="2603"/>
      <c r="U11" s="2603"/>
      <c r="V11" s="2603"/>
      <c r="W11" s="2603"/>
      <c r="X11" s="2603"/>
      <c r="Y11" s="2603"/>
      <c r="Z11" s="2603"/>
      <c r="AA11" s="2603"/>
      <c r="AB11" s="2603"/>
      <c r="AC11" s="2823"/>
      <c r="AD11" s="2823"/>
      <c r="AE11" s="2823"/>
      <c r="AF11" s="2823"/>
      <c r="AG11" s="2823"/>
      <c r="AH11" s="2823"/>
      <c r="AI11" s="2823"/>
      <c r="AJ11" s="2823"/>
      <c r="AK11" s="2823"/>
      <c r="AL11" s="2823"/>
      <c r="AM11" s="2823"/>
      <c r="AN11" s="2823"/>
      <c r="AO11" s="2823"/>
      <c r="AP11" s="2823"/>
      <c r="AQ11" s="2823"/>
      <c r="AR11" s="2823"/>
      <c r="AS11" s="2823"/>
      <c r="AT11" s="2823"/>
      <c r="AU11" s="2823"/>
      <c r="AV11" s="2823"/>
      <c r="AW11" s="2823"/>
      <c r="AX11" s="2823"/>
      <c r="AY11" s="2823"/>
      <c r="AZ11" s="2823"/>
      <c r="BA11" s="2823"/>
      <c r="BB11" s="2823"/>
      <c r="BC11" s="2823"/>
      <c r="BD11" s="2823"/>
      <c r="BE11" s="2823"/>
      <c r="BF11" s="2823"/>
      <c r="BG11" s="2823"/>
      <c r="BH11" s="2823"/>
      <c r="BI11" s="2823"/>
      <c r="BJ11" s="2823"/>
      <c r="BK11" s="2823"/>
      <c r="BL11" s="2823"/>
      <c r="BM11" s="2823"/>
      <c r="BN11" s="2823"/>
      <c r="BO11" s="2823"/>
      <c r="BP11" s="2823"/>
      <c r="BQ11" s="2823"/>
      <c r="BR11" s="2823"/>
      <c r="BS11" s="2824"/>
      <c r="BT11" s="2743" t="s">
        <v>1128</v>
      </c>
      <c r="BU11" s="2744"/>
      <c r="BV11" s="2744"/>
      <c r="BW11" s="2744"/>
      <c r="BX11" s="2744"/>
      <c r="BY11" s="2744"/>
      <c r="BZ11" s="2744"/>
      <c r="CA11" s="2744"/>
      <c r="CB11" s="2744"/>
      <c r="CC11" s="2744"/>
      <c r="CD11" s="2744"/>
      <c r="CE11" s="2744"/>
      <c r="CF11" s="2744"/>
      <c r="CG11" s="2744"/>
      <c r="CH11" s="2744"/>
      <c r="CI11" s="2744"/>
      <c r="CJ11" s="2744"/>
      <c r="CK11" s="2822"/>
      <c r="CL11" s="2830"/>
      <c r="CM11" s="2823"/>
      <c r="CN11" s="2823"/>
      <c r="CO11" s="2823"/>
      <c r="CP11" s="2823"/>
      <c r="CQ11" s="2823"/>
      <c r="CR11" s="2823"/>
      <c r="CS11" s="2823"/>
      <c r="CT11" s="2823"/>
      <c r="CU11" s="2823"/>
      <c r="CV11" s="2823"/>
      <c r="CW11" s="2823"/>
      <c r="CX11" s="2824"/>
      <c r="CY11" s="2743" t="s">
        <v>1128</v>
      </c>
      <c r="CZ11" s="2744"/>
      <c r="DA11" s="2744"/>
      <c r="DB11" s="2744"/>
      <c r="DC11" s="2744"/>
      <c r="DD11" s="2744"/>
      <c r="DE11" s="2744"/>
      <c r="DF11" s="2744"/>
      <c r="DG11" s="2744"/>
      <c r="DH11" s="2744"/>
      <c r="DI11" s="2744"/>
      <c r="DJ11" s="2822"/>
      <c r="DK11" s="2830"/>
      <c r="DL11" s="2823"/>
      <c r="DM11" s="2823"/>
      <c r="DN11" s="2823"/>
      <c r="DO11" s="2823"/>
      <c r="DP11" s="2823"/>
      <c r="DQ11" s="2823"/>
      <c r="DR11" s="2823"/>
      <c r="DS11" s="2823"/>
      <c r="DT11" s="2823"/>
      <c r="DU11" s="2823"/>
      <c r="DV11" s="2823"/>
      <c r="DW11" s="2823"/>
      <c r="DX11" s="2823"/>
      <c r="DY11" s="2823"/>
      <c r="DZ11" s="2823"/>
      <c r="EA11" s="2823"/>
      <c r="EB11" s="2823"/>
      <c r="EC11" s="2823"/>
      <c r="ED11" s="2823"/>
      <c r="EE11" s="2823"/>
      <c r="EF11" s="2823"/>
      <c r="EG11" s="2823"/>
      <c r="EH11" s="2823"/>
      <c r="EI11" s="2823"/>
      <c r="EJ11" s="2823"/>
      <c r="EK11" s="2823"/>
      <c r="EL11" s="2823"/>
      <c r="EM11" s="2823"/>
      <c r="EN11" s="2823"/>
      <c r="EO11" s="2823"/>
      <c r="EP11" s="2823"/>
      <c r="EQ11" s="2823"/>
      <c r="ER11" s="2823"/>
      <c r="ES11" s="2823"/>
      <c r="ET11" s="2823"/>
      <c r="EU11" s="2823"/>
      <c r="EV11" s="2823"/>
      <c r="EW11" s="2823"/>
      <c r="EX11" s="2823"/>
      <c r="EY11" s="2823"/>
      <c r="EZ11" s="2823"/>
      <c r="FA11" s="2823"/>
      <c r="FB11" s="2823"/>
      <c r="FC11" s="2823"/>
      <c r="FD11" s="2823"/>
      <c r="FE11" s="2823"/>
      <c r="FF11" s="2823"/>
      <c r="FG11" s="2823"/>
      <c r="FH11" s="2823"/>
      <c r="FI11" s="2823"/>
      <c r="FJ11" s="2823"/>
      <c r="FK11" s="2823"/>
      <c r="FL11" s="2823"/>
      <c r="FM11" s="2823"/>
      <c r="FN11" s="2823"/>
      <c r="FO11" s="2823"/>
      <c r="FP11" s="2823"/>
      <c r="FQ11" s="2823"/>
      <c r="FR11" s="2823"/>
      <c r="FS11" s="2823"/>
      <c r="FT11" s="2823"/>
      <c r="FU11" s="2823"/>
      <c r="FV11" s="2823"/>
      <c r="FW11" s="2828"/>
      <c r="FX11" s="696"/>
      <c r="GC11" s="851">
        <v>12</v>
      </c>
    </row>
    <row r="12" spans="2:185" ht="12.75" customHeight="1">
      <c r="D12" s="863"/>
      <c r="E12" s="862"/>
      <c r="F12" s="2599"/>
      <c r="G12" s="2599"/>
      <c r="H12" s="2599"/>
      <c r="I12" s="2599"/>
      <c r="J12" s="2840"/>
      <c r="K12" s="2840"/>
      <c r="L12" s="2840"/>
      <c r="M12" s="2840"/>
      <c r="N12" s="2840"/>
      <c r="O12" s="2603" t="s">
        <v>1129</v>
      </c>
      <c r="P12" s="2603"/>
      <c r="Q12" s="2603"/>
      <c r="R12" s="2603"/>
      <c r="S12" s="2603" t="s">
        <v>1130</v>
      </c>
      <c r="T12" s="2603"/>
      <c r="U12" s="2603"/>
      <c r="V12" s="2603"/>
      <c r="W12" s="2603"/>
      <c r="X12" s="2603"/>
      <c r="Y12" s="2603"/>
      <c r="Z12" s="2603"/>
      <c r="AA12" s="2603"/>
      <c r="AB12" s="2603"/>
      <c r="AC12" s="2823"/>
      <c r="AD12" s="2823"/>
      <c r="AE12" s="2823"/>
      <c r="AF12" s="2823"/>
      <c r="AG12" s="2823"/>
      <c r="AH12" s="2823"/>
      <c r="AI12" s="2823"/>
      <c r="AJ12" s="2823"/>
      <c r="AK12" s="2823"/>
      <c r="AL12" s="2823"/>
      <c r="AM12" s="2823"/>
      <c r="AN12" s="2823"/>
      <c r="AO12" s="2823"/>
      <c r="AP12" s="2823"/>
      <c r="AQ12" s="2823"/>
      <c r="AR12" s="2823"/>
      <c r="AS12" s="2823"/>
      <c r="AT12" s="2823"/>
      <c r="AU12" s="2823"/>
      <c r="AV12" s="2823"/>
      <c r="AW12" s="2823"/>
      <c r="AX12" s="2823"/>
      <c r="AY12" s="2823"/>
      <c r="AZ12" s="2823"/>
      <c r="BA12" s="2823"/>
      <c r="BB12" s="2823"/>
      <c r="BC12" s="2823"/>
      <c r="BD12" s="2823"/>
      <c r="BE12" s="2823"/>
      <c r="BF12" s="2823"/>
      <c r="BG12" s="2823"/>
      <c r="BH12" s="2823"/>
      <c r="BI12" s="2823"/>
      <c r="BJ12" s="2823"/>
      <c r="BK12" s="2823"/>
      <c r="BL12" s="2823"/>
      <c r="BM12" s="2823"/>
      <c r="BN12" s="2823"/>
      <c r="BO12" s="2823"/>
      <c r="BP12" s="2823"/>
      <c r="BQ12" s="2823"/>
      <c r="BR12" s="2823"/>
      <c r="BS12" s="2824"/>
      <c r="BT12" s="2743" t="s">
        <v>1131</v>
      </c>
      <c r="BU12" s="2744"/>
      <c r="BV12" s="2744"/>
      <c r="BW12" s="2822"/>
      <c r="BX12" s="2743" t="s">
        <v>1132</v>
      </c>
      <c r="BY12" s="2744"/>
      <c r="BZ12" s="2744"/>
      <c r="CA12" s="2822"/>
      <c r="CB12" s="2743" t="s">
        <v>1133</v>
      </c>
      <c r="CC12" s="2822"/>
      <c r="CD12" s="2743" t="s">
        <v>1134</v>
      </c>
      <c r="CE12" s="2744"/>
      <c r="CF12" s="2744"/>
      <c r="CG12" s="2744"/>
      <c r="CH12" s="2744"/>
      <c r="CI12" s="2744"/>
      <c r="CJ12" s="2744"/>
      <c r="CK12" s="2822"/>
      <c r="CL12" s="2830"/>
      <c r="CM12" s="2823"/>
      <c r="CN12" s="2823"/>
      <c r="CO12" s="2823"/>
      <c r="CP12" s="2823"/>
      <c r="CQ12" s="2823"/>
      <c r="CR12" s="2823"/>
      <c r="CS12" s="2823"/>
      <c r="CT12" s="2823"/>
      <c r="CU12" s="2823"/>
      <c r="CV12" s="2823"/>
      <c r="CW12" s="2823"/>
      <c r="CX12" s="2824"/>
      <c r="CY12" s="2743" t="s">
        <v>1135</v>
      </c>
      <c r="CZ12" s="2744"/>
      <c r="DA12" s="2744"/>
      <c r="DB12" s="2744"/>
      <c r="DC12" s="2744"/>
      <c r="DD12" s="2822"/>
      <c r="DE12" s="2743" t="s">
        <v>1136</v>
      </c>
      <c r="DF12" s="2822"/>
      <c r="DG12" s="2743" t="s">
        <v>1134</v>
      </c>
      <c r="DH12" s="2744"/>
      <c r="DI12" s="2744"/>
      <c r="DJ12" s="2822"/>
      <c r="DK12" s="2830"/>
      <c r="DL12" s="2823"/>
      <c r="DM12" s="2823"/>
      <c r="DN12" s="2823"/>
      <c r="DO12" s="2823"/>
      <c r="DP12" s="2823"/>
      <c r="DQ12" s="2823"/>
      <c r="DR12" s="2823"/>
      <c r="DS12" s="2823"/>
      <c r="DT12" s="2823"/>
      <c r="DU12" s="2823"/>
      <c r="DV12" s="2823"/>
      <c r="DW12" s="2823"/>
      <c r="DX12" s="2823"/>
      <c r="DY12" s="2823"/>
      <c r="DZ12" s="2823"/>
      <c r="EA12" s="2823"/>
      <c r="EB12" s="2823"/>
      <c r="EC12" s="2823"/>
      <c r="ED12" s="2823"/>
      <c r="EE12" s="2823"/>
      <c r="EF12" s="2823"/>
      <c r="EG12" s="2823"/>
      <c r="EH12" s="2823"/>
      <c r="EI12" s="2823"/>
      <c r="EJ12" s="2823"/>
      <c r="EK12" s="2823"/>
      <c r="EL12" s="2823"/>
      <c r="EM12" s="2823"/>
      <c r="EN12" s="2823"/>
      <c r="EO12" s="2823"/>
      <c r="EP12" s="2823"/>
      <c r="EQ12" s="2823"/>
      <c r="ER12" s="2823"/>
      <c r="ES12" s="2823"/>
      <c r="ET12" s="2823"/>
      <c r="EU12" s="2823"/>
      <c r="EV12" s="2823"/>
      <c r="EW12" s="2823"/>
      <c r="EX12" s="2823"/>
      <c r="EY12" s="2823"/>
      <c r="EZ12" s="2823"/>
      <c r="FA12" s="2823"/>
      <c r="FB12" s="2823"/>
      <c r="FC12" s="2823"/>
      <c r="FD12" s="2823"/>
      <c r="FE12" s="2823"/>
      <c r="FF12" s="2823"/>
      <c r="FG12" s="2823"/>
      <c r="FH12" s="2823"/>
      <c r="FI12" s="2823"/>
      <c r="FJ12" s="2823"/>
      <c r="FK12" s="2823"/>
      <c r="FL12" s="2823"/>
      <c r="FM12" s="2823"/>
      <c r="FN12" s="2823"/>
      <c r="FO12" s="2823"/>
      <c r="FP12" s="2823"/>
      <c r="FQ12" s="2823"/>
      <c r="FR12" s="2823"/>
      <c r="FS12" s="2823"/>
      <c r="FT12" s="2823"/>
      <c r="FU12" s="2823"/>
      <c r="FV12" s="2823"/>
      <c r="FW12" s="2828"/>
      <c r="FX12" s="696"/>
      <c r="GC12" s="851">
        <v>12</v>
      </c>
    </row>
    <row r="13" spans="2:185" ht="37.9" customHeight="1">
      <c r="D13" s="863"/>
      <c r="E13" s="862"/>
      <c r="F13" s="2599"/>
      <c r="G13" s="2599"/>
      <c r="H13" s="2599"/>
      <c r="I13" s="2599"/>
      <c r="J13" s="2840"/>
      <c r="K13" s="2840"/>
      <c r="L13" s="2840"/>
      <c r="M13" s="2840"/>
      <c r="N13" s="2840"/>
      <c r="O13" s="2603" t="s">
        <v>1137</v>
      </c>
      <c r="P13" s="2603"/>
      <c r="Q13" s="2603"/>
      <c r="R13" s="2603"/>
      <c r="S13" s="2704" t="s">
        <v>1138</v>
      </c>
      <c r="T13" s="2745"/>
      <c r="U13" s="2514" t="s">
        <v>1139</v>
      </c>
      <c r="V13" s="2514"/>
      <c r="W13" s="2514"/>
      <c r="X13" s="2514"/>
      <c r="Y13" s="2514" t="s">
        <v>1140</v>
      </c>
      <c r="Z13" s="2514"/>
      <c r="AA13" s="2514"/>
      <c r="AB13" s="2514"/>
      <c r="AC13" s="2823"/>
      <c r="AD13" s="2823"/>
      <c r="AE13" s="2823"/>
      <c r="AF13" s="2823"/>
      <c r="AG13" s="2823"/>
      <c r="AH13" s="2823"/>
      <c r="AI13" s="2823"/>
      <c r="AJ13" s="2823"/>
      <c r="AK13" s="2823"/>
      <c r="AL13" s="2823"/>
      <c r="AM13" s="2823"/>
      <c r="AN13" s="2823"/>
      <c r="AO13" s="2823"/>
      <c r="AP13" s="2823"/>
      <c r="AQ13" s="2823"/>
      <c r="AR13" s="2823"/>
      <c r="AS13" s="2823"/>
      <c r="AT13" s="2823"/>
      <c r="AU13" s="2823"/>
      <c r="AV13" s="2823"/>
      <c r="AW13" s="2823"/>
      <c r="AX13" s="2823"/>
      <c r="AY13" s="2823"/>
      <c r="AZ13" s="2823"/>
      <c r="BA13" s="2823"/>
      <c r="BB13" s="2823"/>
      <c r="BC13" s="2823"/>
      <c r="BD13" s="2823"/>
      <c r="BE13" s="2823"/>
      <c r="BF13" s="2823"/>
      <c r="BG13" s="2823"/>
      <c r="BH13" s="2823"/>
      <c r="BI13" s="2823"/>
      <c r="BJ13" s="2823"/>
      <c r="BK13" s="2823"/>
      <c r="BL13" s="2823"/>
      <c r="BM13" s="2823"/>
      <c r="BN13" s="2823"/>
      <c r="BO13" s="2823"/>
      <c r="BP13" s="2823"/>
      <c r="BQ13" s="2823"/>
      <c r="BR13" s="2823"/>
      <c r="BS13" s="2824"/>
      <c r="BT13" s="2704" t="s">
        <v>1141</v>
      </c>
      <c r="BU13" s="2745"/>
      <c r="BV13" s="2704" t="s">
        <v>1142</v>
      </c>
      <c r="BW13" s="2745"/>
      <c r="BX13" s="2704" t="s">
        <v>1143</v>
      </c>
      <c r="BY13" s="2745"/>
      <c r="BZ13" s="2704" t="s">
        <v>1144</v>
      </c>
      <c r="CA13" s="2745"/>
      <c r="CB13" s="2704" t="s">
        <v>1145</v>
      </c>
      <c r="CC13" s="2745"/>
      <c r="CD13" s="2704" t="s">
        <v>1146</v>
      </c>
      <c r="CE13" s="2745"/>
      <c r="CF13" s="2704" t="s">
        <v>1147</v>
      </c>
      <c r="CG13" s="2745"/>
      <c r="CH13" s="2743" t="s">
        <v>1148</v>
      </c>
      <c r="CI13" s="2744"/>
      <c r="CJ13" s="2744"/>
      <c r="CK13" s="2822"/>
      <c r="CL13" s="2830"/>
      <c r="CM13" s="2823"/>
      <c r="CN13" s="2823"/>
      <c r="CO13" s="2823"/>
      <c r="CP13" s="2823"/>
      <c r="CQ13" s="2823"/>
      <c r="CR13" s="2823"/>
      <c r="CS13" s="2823"/>
      <c r="CT13" s="2823"/>
      <c r="CU13" s="2823"/>
      <c r="CV13" s="2823"/>
      <c r="CW13" s="2823"/>
      <c r="CX13" s="2824"/>
      <c r="CY13" s="2704" t="s">
        <v>1149</v>
      </c>
      <c r="CZ13" s="2745"/>
      <c r="DA13" s="2704" t="s">
        <v>1150</v>
      </c>
      <c r="DB13" s="2745"/>
      <c r="DC13" s="2704" t="s">
        <v>1151</v>
      </c>
      <c r="DD13" s="2745"/>
      <c r="DE13" s="2704" t="s">
        <v>1152</v>
      </c>
      <c r="DF13" s="2745"/>
      <c r="DG13" s="2743" t="s">
        <v>1153</v>
      </c>
      <c r="DH13" s="2744"/>
      <c r="DI13" s="2744"/>
      <c r="DJ13" s="2822"/>
      <c r="DK13" s="2830"/>
      <c r="DL13" s="2823"/>
      <c r="DM13" s="2823"/>
      <c r="DN13" s="2823"/>
      <c r="DO13" s="2823"/>
      <c r="DP13" s="2823"/>
      <c r="DQ13" s="2823"/>
      <c r="DR13" s="2823"/>
      <c r="DS13" s="2823"/>
      <c r="DT13" s="2823"/>
      <c r="DU13" s="2823"/>
      <c r="DV13" s="2823"/>
      <c r="DW13" s="2823"/>
      <c r="DX13" s="2823"/>
      <c r="DY13" s="2823"/>
      <c r="DZ13" s="2823"/>
      <c r="EA13" s="2823"/>
      <c r="EB13" s="2823"/>
      <c r="EC13" s="2823"/>
      <c r="ED13" s="2823"/>
      <c r="EE13" s="2823"/>
      <c r="EF13" s="2823"/>
      <c r="EG13" s="2823"/>
      <c r="EH13" s="2823"/>
      <c r="EI13" s="2823"/>
      <c r="EJ13" s="2823"/>
      <c r="EK13" s="2823"/>
      <c r="EL13" s="2823"/>
      <c r="EM13" s="2823"/>
      <c r="EN13" s="2823"/>
      <c r="EO13" s="2823"/>
      <c r="EP13" s="2823"/>
      <c r="EQ13" s="2823"/>
      <c r="ER13" s="2823"/>
      <c r="ES13" s="2823"/>
      <c r="ET13" s="2823"/>
      <c r="EU13" s="2823"/>
      <c r="EV13" s="2823"/>
      <c r="EW13" s="2823"/>
      <c r="EX13" s="2823"/>
      <c r="EY13" s="2823"/>
      <c r="EZ13" s="2823"/>
      <c r="FA13" s="2823"/>
      <c r="FB13" s="2823"/>
      <c r="FC13" s="2823"/>
      <c r="FD13" s="2823"/>
      <c r="FE13" s="2823"/>
      <c r="FF13" s="2823"/>
      <c r="FG13" s="2823"/>
      <c r="FH13" s="2823"/>
      <c r="FI13" s="2823"/>
      <c r="FJ13" s="2823"/>
      <c r="FK13" s="2823"/>
      <c r="FL13" s="2823"/>
      <c r="FM13" s="2823"/>
      <c r="FN13" s="2823"/>
      <c r="FO13" s="2823"/>
      <c r="FP13" s="2823"/>
      <c r="FQ13" s="2823"/>
      <c r="FR13" s="2823"/>
      <c r="FS13" s="2823"/>
      <c r="FT13" s="2823"/>
      <c r="FU13" s="2823"/>
      <c r="FV13" s="2823"/>
      <c r="FW13" s="2828"/>
      <c r="FX13" s="696"/>
      <c r="GC13" s="851">
        <v>36</v>
      </c>
    </row>
    <row r="14" spans="2:185" ht="37.9" customHeight="1">
      <c r="D14" s="863"/>
      <c r="E14" s="862"/>
      <c r="F14" s="2599"/>
      <c r="G14" s="2599"/>
      <c r="H14" s="2599"/>
      <c r="I14" s="2599"/>
      <c r="J14" s="2840"/>
      <c r="K14" s="2840"/>
      <c r="L14" s="2840"/>
      <c r="M14" s="2840"/>
      <c r="N14" s="2840"/>
      <c r="O14" s="2704" t="s">
        <v>1154</v>
      </c>
      <c r="P14" s="2745"/>
      <c r="Q14" s="2704" t="s">
        <v>1155</v>
      </c>
      <c r="R14" s="2745"/>
      <c r="S14" s="2705"/>
      <c r="T14" s="2607"/>
      <c r="U14" s="2704" t="s">
        <v>827</v>
      </c>
      <c r="V14" s="2745"/>
      <c r="W14" s="2704" t="s">
        <v>830</v>
      </c>
      <c r="X14" s="2745"/>
      <c r="Y14" s="2704" t="s">
        <v>827</v>
      </c>
      <c r="Z14" s="2745"/>
      <c r="AA14" s="2704" t="s">
        <v>837</v>
      </c>
      <c r="AB14" s="2745"/>
      <c r="AC14" s="2823"/>
      <c r="AD14" s="2823"/>
      <c r="AE14" s="2823"/>
      <c r="AF14" s="2823"/>
      <c r="AG14" s="2823"/>
      <c r="AH14" s="2823"/>
      <c r="AI14" s="2823"/>
      <c r="AJ14" s="2823"/>
      <c r="AK14" s="2823"/>
      <c r="AL14" s="2823"/>
      <c r="AM14" s="2823"/>
      <c r="AN14" s="2823"/>
      <c r="AO14" s="2823"/>
      <c r="AP14" s="2823"/>
      <c r="AQ14" s="2823"/>
      <c r="AR14" s="2823"/>
      <c r="AS14" s="2823"/>
      <c r="AT14" s="2823"/>
      <c r="AU14" s="2823"/>
      <c r="AV14" s="2823"/>
      <c r="AW14" s="2823"/>
      <c r="AX14" s="2823"/>
      <c r="AY14" s="2823"/>
      <c r="AZ14" s="2823"/>
      <c r="BA14" s="2823"/>
      <c r="BB14" s="2823"/>
      <c r="BC14" s="2823"/>
      <c r="BD14" s="2823"/>
      <c r="BE14" s="2823"/>
      <c r="BF14" s="2823"/>
      <c r="BG14" s="2823"/>
      <c r="BH14" s="2823"/>
      <c r="BI14" s="2823"/>
      <c r="BJ14" s="2823"/>
      <c r="BK14" s="2823"/>
      <c r="BL14" s="2823"/>
      <c r="BM14" s="2823"/>
      <c r="BN14" s="2823"/>
      <c r="BO14" s="2823"/>
      <c r="BP14" s="2823"/>
      <c r="BQ14" s="2823"/>
      <c r="BR14" s="2823"/>
      <c r="BS14" s="2824"/>
      <c r="BT14" s="2705"/>
      <c r="BU14" s="2607"/>
      <c r="BV14" s="2705"/>
      <c r="BW14" s="2607"/>
      <c r="BX14" s="2705"/>
      <c r="BY14" s="2607"/>
      <c r="BZ14" s="2705"/>
      <c r="CA14" s="2607"/>
      <c r="CB14" s="2705"/>
      <c r="CC14" s="2607"/>
      <c r="CD14" s="2705"/>
      <c r="CE14" s="2607"/>
      <c r="CF14" s="2705"/>
      <c r="CG14" s="2607"/>
      <c r="CH14" s="2704" t="s">
        <v>1156</v>
      </c>
      <c r="CI14" s="2745"/>
      <c r="CJ14" s="2704" t="s">
        <v>1157</v>
      </c>
      <c r="CK14" s="2745"/>
      <c r="CL14" s="2830"/>
      <c r="CM14" s="2823"/>
      <c r="CN14" s="2823"/>
      <c r="CO14" s="2823"/>
      <c r="CP14" s="2823"/>
      <c r="CQ14" s="2823"/>
      <c r="CR14" s="2823"/>
      <c r="CS14" s="2823"/>
      <c r="CT14" s="2823"/>
      <c r="CU14" s="2823"/>
      <c r="CV14" s="2823"/>
      <c r="CW14" s="2823"/>
      <c r="CX14" s="2824"/>
      <c r="CY14" s="2705"/>
      <c r="CZ14" s="2607"/>
      <c r="DA14" s="2705"/>
      <c r="DB14" s="2607"/>
      <c r="DC14" s="2705"/>
      <c r="DD14" s="2607"/>
      <c r="DE14" s="2705"/>
      <c r="DF14" s="2607"/>
      <c r="DG14" s="2704" t="s">
        <v>1158</v>
      </c>
      <c r="DH14" s="2745"/>
      <c r="DI14" s="2704" t="s">
        <v>1159</v>
      </c>
      <c r="DJ14" s="2745"/>
      <c r="DK14" s="2830"/>
      <c r="DL14" s="2823"/>
      <c r="DM14" s="2823"/>
      <c r="DN14" s="2823"/>
      <c r="DO14" s="2823"/>
      <c r="DP14" s="2823"/>
      <c r="DQ14" s="2823"/>
      <c r="DR14" s="2823"/>
      <c r="DS14" s="2823"/>
      <c r="DT14" s="2823"/>
      <c r="DU14" s="2823"/>
      <c r="DV14" s="2823"/>
      <c r="DW14" s="2823"/>
      <c r="DX14" s="2823"/>
      <c r="DY14" s="2823"/>
      <c r="DZ14" s="2823"/>
      <c r="EA14" s="2823"/>
      <c r="EB14" s="2823"/>
      <c r="EC14" s="2823"/>
      <c r="ED14" s="2823"/>
      <c r="EE14" s="2823"/>
      <c r="EF14" s="2823"/>
      <c r="EG14" s="2823"/>
      <c r="EH14" s="2823"/>
      <c r="EI14" s="2823"/>
      <c r="EJ14" s="2823"/>
      <c r="EK14" s="2823"/>
      <c r="EL14" s="2823"/>
      <c r="EM14" s="2823"/>
      <c r="EN14" s="2823"/>
      <c r="EO14" s="2823"/>
      <c r="EP14" s="2823"/>
      <c r="EQ14" s="2823"/>
      <c r="ER14" s="2823"/>
      <c r="ES14" s="2823"/>
      <c r="ET14" s="2823"/>
      <c r="EU14" s="2823"/>
      <c r="EV14" s="2823"/>
      <c r="EW14" s="2823"/>
      <c r="EX14" s="2823"/>
      <c r="EY14" s="2823"/>
      <c r="EZ14" s="2823"/>
      <c r="FA14" s="2823"/>
      <c r="FB14" s="2823"/>
      <c r="FC14" s="2823"/>
      <c r="FD14" s="2823"/>
      <c r="FE14" s="2823"/>
      <c r="FF14" s="2823"/>
      <c r="FG14" s="2823"/>
      <c r="FH14" s="2823"/>
      <c r="FI14" s="2823"/>
      <c r="FJ14" s="2823"/>
      <c r="FK14" s="2823"/>
      <c r="FL14" s="2823"/>
      <c r="FM14" s="2823"/>
      <c r="FN14" s="2823"/>
      <c r="FO14" s="2823"/>
      <c r="FP14" s="2823"/>
      <c r="FQ14" s="2823"/>
      <c r="FR14" s="2823"/>
      <c r="FS14" s="2823"/>
      <c r="FT14" s="2823"/>
      <c r="FU14" s="2823"/>
      <c r="FV14" s="2823"/>
      <c r="FW14" s="2828"/>
      <c r="FX14" s="696"/>
      <c r="GC14" s="851">
        <v>36</v>
      </c>
    </row>
    <row r="15" spans="2:185" ht="37.9" customHeight="1">
      <c r="D15" s="863"/>
      <c r="E15" s="862"/>
      <c r="F15" s="2599"/>
      <c r="G15" s="2599"/>
      <c r="H15" s="2599"/>
      <c r="I15" s="2599"/>
      <c r="J15" s="2840"/>
      <c r="K15" s="2840"/>
      <c r="L15" s="2840"/>
      <c r="M15" s="2840"/>
      <c r="N15" s="2840"/>
      <c r="O15" s="2706"/>
      <c r="P15" s="2779"/>
      <c r="Q15" s="2706"/>
      <c r="R15" s="2779"/>
      <c r="S15" s="2706"/>
      <c r="T15" s="2779"/>
      <c r="U15" s="2706"/>
      <c r="V15" s="2779"/>
      <c r="W15" s="2706"/>
      <c r="X15" s="2779"/>
      <c r="Y15" s="2706"/>
      <c r="Z15" s="2779"/>
      <c r="AA15" s="2706"/>
      <c r="AB15" s="2779"/>
      <c r="AC15" s="2823"/>
      <c r="AD15" s="2823"/>
      <c r="AE15" s="2823"/>
      <c r="AF15" s="2823"/>
      <c r="AG15" s="2823"/>
      <c r="AH15" s="2823"/>
      <c r="AI15" s="2823"/>
      <c r="AJ15" s="2823"/>
      <c r="AK15" s="2823"/>
      <c r="AL15" s="2823"/>
      <c r="AM15" s="2823"/>
      <c r="AN15" s="2823"/>
      <c r="AO15" s="2823"/>
      <c r="AP15" s="2823"/>
      <c r="AQ15" s="2823"/>
      <c r="AR15" s="2823"/>
      <c r="AS15" s="2823"/>
      <c r="AT15" s="2823"/>
      <c r="AU15" s="2823"/>
      <c r="AV15" s="2823"/>
      <c r="AW15" s="2823"/>
      <c r="AX15" s="2823"/>
      <c r="AY15" s="2823"/>
      <c r="AZ15" s="2823"/>
      <c r="BA15" s="2823"/>
      <c r="BB15" s="2823"/>
      <c r="BC15" s="2823"/>
      <c r="BD15" s="2823"/>
      <c r="BE15" s="2823"/>
      <c r="BF15" s="2823"/>
      <c r="BG15" s="2823"/>
      <c r="BH15" s="2823"/>
      <c r="BI15" s="2823"/>
      <c r="BJ15" s="2823"/>
      <c r="BK15" s="2823"/>
      <c r="BL15" s="2823"/>
      <c r="BM15" s="2823"/>
      <c r="BN15" s="2823"/>
      <c r="BO15" s="2823"/>
      <c r="BP15" s="2823"/>
      <c r="BQ15" s="2823"/>
      <c r="BR15" s="2823"/>
      <c r="BS15" s="2824"/>
      <c r="BT15" s="2706"/>
      <c r="BU15" s="2779"/>
      <c r="BV15" s="2706"/>
      <c r="BW15" s="2779"/>
      <c r="BX15" s="2706"/>
      <c r="BY15" s="2779"/>
      <c r="BZ15" s="2706"/>
      <c r="CA15" s="2779"/>
      <c r="CB15" s="2706"/>
      <c r="CC15" s="2779"/>
      <c r="CD15" s="2706"/>
      <c r="CE15" s="2779"/>
      <c r="CF15" s="2706"/>
      <c r="CG15" s="2779"/>
      <c r="CH15" s="2706"/>
      <c r="CI15" s="2779"/>
      <c r="CJ15" s="2706"/>
      <c r="CK15" s="2779"/>
      <c r="CL15" s="2830"/>
      <c r="CM15" s="2823"/>
      <c r="CN15" s="2823"/>
      <c r="CO15" s="2823"/>
      <c r="CP15" s="2823"/>
      <c r="CQ15" s="2823"/>
      <c r="CR15" s="2823"/>
      <c r="CS15" s="2823"/>
      <c r="CT15" s="2823"/>
      <c r="CU15" s="2823"/>
      <c r="CV15" s="2823"/>
      <c r="CW15" s="2823"/>
      <c r="CX15" s="2824"/>
      <c r="CY15" s="2706"/>
      <c r="CZ15" s="2779"/>
      <c r="DA15" s="2706"/>
      <c r="DB15" s="2779"/>
      <c r="DC15" s="2706"/>
      <c r="DD15" s="2779"/>
      <c r="DE15" s="2706"/>
      <c r="DF15" s="2779"/>
      <c r="DG15" s="2706"/>
      <c r="DH15" s="2779"/>
      <c r="DI15" s="2706"/>
      <c r="DJ15" s="2779"/>
      <c r="DK15" s="2830"/>
      <c r="DL15" s="2823"/>
      <c r="DM15" s="2823"/>
      <c r="DN15" s="2823"/>
      <c r="DO15" s="2823"/>
      <c r="DP15" s="2823"/>
      <c r="DQ15" s="2823"/>
      <c r="DR15" s="2823"/>
      <c r="DS15" s="2823"/>
      <c r="DT15" s="2823"/>
      <c r="DU15" s="2823"/>
      <c r="DV15" s="2823"/>
      <c r="DW15" s="2823"/>
      <c r="DX15" s="2823"/>
      <c r="DY15" s="2823"/>
      <c r="DZ15" s="2823"/>
      <c r="EA15" s="2823"/>
      <c r="EB15" s="2823"/>
      <c r="EC15" s="2823"/>
      <c r="ED15" s="2823"/>
      <c r="EE15" s="2823"/>
      <c r="EF15" s="2823"/>
      <c r="EG15" s="2823"/>
      <c r="EH15" s="2823"/>
      <c r="EI15" s="2823"/>
      <c r="EJ15" s="2823"/>
      <c r="EK15" s="2823"/>
      <c r="EL15" s="2823"/>
      <c r="EM15" s="2823"/>
      <c r="EN15" s="2823"/>
      <c r="EO15" s="2823"/>
      <c r="EP15" s="2823"/>
      <c r="EQ15" s="2823"/>
      <c r="ER15" s="2823"/>
      <c r="ES15" s="2823"/>
      <c r="ET15" s="2823"/>
      <c r="EU15" s="2823"/>
      <c r="EV15" s="2823"/>
      <c r="EW15" s="2823"/>
      <c r="EX15" s="2823"/>
      <c r="EY15" s="2823"/>
      <c r="EZ15" s="2823"/>
      <c r="FA15" s="2823"/>
      <c r="FB15" s="2823"/>
      <c r="FC15" s="2823"/>
      <c r="FD15" s="2823"/>
      <c r="FE15" s="2823"/>
      <c r="FF15" s="2823"/>
      <c r="FG15" s="2823"/>
      <c r="FH15" s="2823"/>
      <c r="FI15" s="2823"/>
      <c r="FJ15" s="2823"/>
      <c r="FK15" s="2823"/>
      <c r="FL15" s="2823"/>
      <c r="FM15" s="2823"/>
      <c r="FN15" s="2823"/>
      <c r="FO15" s="2823"/>
      <c r="FP15" s="2823"/>
      <c r="FQ15" s="2823"/>
      <c r="FR15" s="2823"/>
      <c r="FS15" s="2823"/>
      <c r="FT15" s="2823"/>
      <c r="FU15" s="2823"/>
      <c r="FV15" s="2823"/>
      <c r="FW15" s="2828"/>
      <c r="FX15" s="696"/>
      <c r="GC15" s="851">
        <v>36</v>
      </c>
    </row>
    <row r="16" spans="2:185" ht="12.75" customHeight="1">
      <c r="D16" s="863"/>
      <c r="E16" s="862"/>
      <c r="F16" s="2599"/>
      <c r="G16" s="2599"/>
      <c r="H16" s="2599"/>
      <c r="I16" s="2599"/>
      <c r="J16" s="2840"/>
      <c r="K16" s="2840"/>
      <c r="L16" s="2840"/>
      <c r="M16" s="2840"/>
      <c r="N16" s="2840"/>
      <c r="O16" s="2743" t="s">
        <v>817</v>
      </c>
      <c r="P16" s="2822"/>
      <c r="Q16" s="2743" t="s">
        <v>819</v>
      </c>
      <c r="R16" s="2822"/>
      <c r="S16" s="2743" t="s">
        <v>823</v>
      </c>
      <c r="T16" s="2822"/>
      <c r="U16" s="2743" t="s">
        <v>828</v>
      </c>
      <c r="V16" s="2822"/>
      <c r="W16" s="2743" t="s">
        <v>831</v>
      </c>
      <c r="X16" s="2822"/>
      <c r="Y16" s="2743" t="s">
        <v>835</v>
      </c>
      <c r="Z16" s="2822"/>
      <c r="AA16" s="2743" t="s">
        <v>838</v>
      </c>
      <c r="AB16" s="2822"/>
      <c r="AC16" s="2823"/>
      <c r="AD16" s="2823"/>
      <c r="AE16" s="2823"/>
      <c r="AF16" s="2823"/>
      <c r="AG16" s="2823"/>
      <c r="AH16" s="2823"/>
      <c r="AI16" s="2823"/>
      <c r="AJ16" s="2823"/>
      <c r="AK16" s="2823"/>
      <c r="AL16" s="2823"/>
      <c r="AM16" s="2823"/>
      <c r="AN16" s="2823"/>
      <c r="AO16" s="2823"/>
      <c r="AP16" s="2823"/>
      <c r="AQ16" s="2823"/>
      <c r="AR16" s="2823"/>
      <c r="AS16" s="2823"/>
      <c r="AT16" s="2823"/>
      <c r="AU16" s="2823"/>
      <c r="AV16" s="2823"/>
      <c r="AW16" s="2823"/>
      <c r="AX16" s="2823"/>
      <c r="AY16" s="2823"/>
      <c r="AZ16" s="2823"/>
      <c r="BA16" s="2823"/>
      <c r="BB16" s="2823"/>
      <c r="BC16" s="2823"/>
      <c r="BD16" s="2823"/>
      <c r="BE16" s="2823"/>
      <c r="BF16" s="2823"/>
      <c r="BG16" s="2823"/>
      <c r="BH16" s="2823"/>
      <c r="BI16" s="2823"/>
      <c r="BJ16" s="2823"/>
      <c r="BK16" s="2823"/>
      <c r="BL16" s="2823"/>
      <c r="BM16" s="2823"/>
      <c r="BN16" s="2823"/>
      <c r="BO16" s="2823"/>
      <c r="BP16" s="2823"/>
      <c r="BQ16" s="2823"/>
      <c r="BR16" s="2823"/>
      <c r="BS16" s="2824"/>
      <c r="BT16" s="2743" t="s">
        <v>549</v>
      </c>
      <c r="BU16" s="2822"/>
      <c r="BV16" s="2743" t="s">
        <v>549</v>
      </c>
      <c r="BW16" s="2822"/>
      <c r="BX16" s="2743" t="s">
        <v>549</v>
      </c>
      <c r="BY16" s="2822"/>
      <c r="BZ16" s="2743" t="s">
        <v>549</v>
      </c>
      <c r="CA16" s="2822"/>
      <c r="CB16" s="2743" t="s">
        <v>1160</v>
      </c>
      <c r="CC16" s="2822"/>
      <c r="CD16" s="2743" t="s">
        <v>549</v>
      </c>
      <c r="CE16" s="2822"/>
      <c r="CF16" s="2743" t="s">
        <v>1161</v>
      </c>
      <c r="CG16" s="2822"/>
      <c r="CH16" s="2743" t="s">
        <v>1162</v>
      </c>
      <c r="CI16" s="2822"/>
      <c r="CJ16" s="2743" t="s">
        <v>1162</v>
      </c>
      <c r="CK16" s="2822"/>
      <c r="CL16" s="2830"/>
      <c r="CM16" s="2823"/>
      <c r="CN16" s="2823"/>
      <c r="CO16" s="2823"/>
      <c r="CP16" s="2823"/>
      <c r="CQ16" s="2823"/>
      <c r="CR16" s="2823"/>
      <c r="CS16" s="2823"/>
      <c r="CT16" s="2823"/>
      <c r="CU16" s="2823"/>
      <c r="CV16" s="2823"/>
      <c r="CW16" s="2823"/>
      <c r="CX16" s="2824"/>
      <c r="CY16" s="2704" t="s">
        <v>549</v>
      </c>
      <c r="CZ16" s="2745"/>
      <c r="DA16" s="2704" t="s">
        <v>549</v>
      </c>
      <c r="DB16" s="2745"/>
      <c r="DC16" s="2704" t="s">
        <v>549</v>
      </c>
      <c r="DD16" s="2745"/>
      <c r="DE16" s="2743" t="s">
        <v>1160</v>
      </c>
      <c r="DF16" s="2822"/>
      <c r="DG16" s="2743" t="s">
        <v>1163</v>
      </c>
      <c r="DH16" s="2822"/>
      <c r="DI16" s="2743" t="s">
        <v>1163</v>
      </c>
      <c r="DJ16" s="2822"/>
      <c r="DK16" s="2830"/>
      <c r="DL16" s="2823"/>
      <c r="DM16" s="2823"/>
      <c r="DN16" s="2823"/>
      <c r="DO16" s="2823"/>
      <c r="DP16" s="2823"/>
      <c r="DQ16" s="2823"/>
      <c r="DR16" s="2823"/>
      <c r="DS16" s="2823"/>
      <c r="DT16" s="2823"/>
      <c r="DU16" s="2823"/>
      <c r="DV16" s="2823"/>
      <c r="DW16" s="2823"/>
      <c r="DX16" s="2823"/>
      <c r="DY16" s="2823"/>
      <c r="DZ16" s="2823"/>
      <c r="EA16" s="2823"/>
      <c r="EB16" s="2823"/>
      <c r="EC16" s="2823"/>
      <c r="ED16" s="2823"/>
      <c r="EE16" s="2823"/>
      <c r="EF16" s="2823"/>
      <c r="EG16" s="2823"/>
      <c r="EH16" s="2823"/>
      <c r="EI16" s="2823"/>
      <c r="EJ16" s="2823"/>
      <c r="EK16" s="2823"/>
      <c r="EL16" s="2823"/>
      <c r="EM16" s="2823"/>
      <c r="EN16" s="2823"/>
      <c r="EO16" s="2823"/>
      <c r="EP16" s="2823"/>
      <c r="EQ16" s="2823"/>
      <c r="ER16" s="2823"/>
      <c r="ES16" s="2823"/>
      <c r="ET16" s="2823"/>
      <c r="EU16" s="2823"/>
      <c r="EV16" s="2823"/>
      <c r="EW16" s="2823"/>
      <c r="EX16" s="2823"/>
      <c r="EY16" s="2823"/>
      <c r="EZ16" s="2823"/>
      <c r="FA16" s="2823"/>
      <c r="FB16" s="2823"/>
      <c r="FC16" s="2823"/>
      <c r="FD16" s="2823"/>
      <c r="FE16" s="2823"/>
      <c r="FF16" s="2823"/>
      <c r="FG16" s="2823"/>
      <c r="FH16" s="2823"/>
      <c r="FI16" s="2823"/>
      <c r="FJ16" s="2823"/>
      <c r="FK16" s="2823"/>
      <c r="FL16" s="2823"/>
      <c r="FM16" s="2823"/>
      <c r="FN16" s="2823"/>
      <c r="FO16" s="2823"/>
      <c r="FP16" s="2823"/>
      <c r="FQ16" s="2823"/>
      <c r="FR16" s="2823"/>
      <c r="FS16" s="2823"/>
      <c r="FT16" s="2823"/>
      <c r="FU16" s="2823"/>
      <c r="FV16" s="2823"/>
      <c r="FW16" s="2828"/>
      <c r="FX16" s="696"/>
      <c r="GC16" s="851">
        <v>12</v>
      </c>
    </row>
    <row r="17" spans="1:185" ht="15.75" customHeight="1">
      <c r="E17" s="862"/>
      <c r="F17" s="2599"/>
      <c r="G17" s="2599"/>
      <c r="H17" s="2599"/>
      <c r="I17" s="2599"/>
      <c r="J17" s="2840"/>
      <c r="K17" s="2840"/>
      <c r="L17" s="2840"/>
      <c r="M17" s="2840"/>
      <c r="N17" s="2840"/>
      <c r="O17" s="1109" t="s">
        <v>1164</v>
      </c>
      <c r="P17" s="1109" t="s">
        <v>1165</v>
      </c>
      <c r="Q17" s="1109" t="s">
        <v>1164</v>
      </c>
      <c r="R17" s="1109" t="s">
        <v>1165</v>
      </c>
      <c r="S17" s="1109" t="s">
        <v>1164</v>
      </c>
      <c r="T17" s="1109" t="s">
        <v>1165</v>
      </c>
      <c r="U17" s="1109" t="s">
        <v>1164</v>
      </c>
      <c r="V17" s="1109" t="s">
        <v>1165</v>
      </c>
      <c r="W17" s="1109" t="s">
        <v>1164</v>
      </c>
      <c r="X17" s="1109" t="s">
        <v>1165</v>
      </c>
      <c r="Y17" s="1109" t="s">
        <v>1164</v>
      </c>
      <c r="Z17" s="1109" t="s">
        <v>1165</v>
      </c>
      <c r="AA17" s="1109" t="s">
        <v>1164</v>
      </c>
      <c r="AB17" s="1109" t="s">
        <v>1165</v>
      </c>
      <c r="AC17" s="2823"/>
      <c r="AD17" s="2823"/>
      <c r="AE17" s="2823"/>
      <c r="AF17" s="2823"/>
      <c r="AG17" s="2823"/>
      <c r="AH17" s="2823"/>
      <c r="AI17" s="2823"/>
      <c r="AJ17" s="2823"/>
      <c r="AK17" s="2823"/>
      <c r="AL17" s="2823"/>
      <c r="AM17" s="2823"/>
      <c r="AN17" s="2823"/>
      <c r="AO17" s="2823"/>
      <c r="AP17" s="2823"/>
      <c r="AQ17" s="2823"/>
      <c r="AR17" s="2823"/>
      <c r="AS17" s="2823"/>
      <c r="AT17" s="2823"/>
      <c r="AU17" s="2823"/>
      <c r="AV17" s="2823"/>
      <c r="AW17" s="2823"/>
      <c r="AX17" s="2823"/>
      <c r="AY17" s="2823"/>
      <c r="AZ17" s="2823"/>
      <c r="BA17" s="2823"/>
      <c r="BB17" s="2823"/>
      <c r="BC17" s="2823"/>
      <c r="BD17" s="2823"/>
      <c r="BE17" s="2823"/>
      <c r="BF17" s="2823"/>
      <c r="BG17" s="2823"/>
      <c r="BH17" s="2823"/>
      <c r="BI17" s="2823"/>
      <c r="BJ17" s="2823"/>
      <c r="BK17" s="2823"/>
      <c r="BL17" s="2823"/>
      <c r="BM17" s="2823"/>
      <c r="BN17" s="2823"/>
      <c r="BO17" s="2823"/>
      <c r="BP17" s="2823"/>
      <c r="BQ17" s="2823"/>
      <c r="BR17" s="2823"/>
      <c r="BS17" s="2824"/>
      <c r="BT17" s="1109" t="s">
        <v>1164</v>
      </c>
      <c r="BU17" s="1109" t="s">
        <v>1165</v>
      </c>
      <c r="BV17" s="1109" t="s">
        <v>1164</v>
      </c>
      <c r="BW17" s="1109" t="s">
        <v>1165</v>
      </c>
      <c r="BX17" s="1109" t="s">
        <v>1164</v>
      </c>
      <c r="BY17" s="1109" t="s">
        <v>1165</v>
      </c>
      <c r="BZ17" s="1109" t="s">
        <v>1164</v>
      </c>
      <c r="CA17" s="1109" t="s">
        <v>1165</v>
      </c>
      <c r="CB17" s="1109" t="s">
        <v>1164</v>
      </c>
      <c r="CC17" s="1109" t="s">
        <v>1165</v>
      </c>
      <c r="CD17" s="1109" t="s">
        <v>1164</v>
      </c>
      <c r="CE17" s="1109" t="s">
        <v>1165</v>
      </c>
      <c r="CF17" s="1109" t="s">
        <v>1164</v>
      </c>
      <c r="CG17" s="1109" t="s">
        <v>1165</v>
      </c>
      <c r="CH17" s="1109" t="s">
        <v>1164</v>
      </c>
      <c r="CI17" s="1109" t="s">
        <v>1165</v>
      </c>
      <c r="CJ17" s="1109" t="s">
        <v>1164</v>
      </c>
      <c r="CK17" s="1109" t="s">
        <v>1165</v>
      </c>
      <c r="CL17" s="2830"/>
      <c r="CM17" s="2823"/>
      <c r="CN17" s="2823"/>
      <c r="CO17" s="2823"/>
      <c r="CP17" s="2823"/>
      <c r="CQ17" s="2823"/>
      <c r="CR17" s="2823"/>
      <c r="CS17" s="2823"/>
      <c r="CT17" s="2823"/>
      <c r="CU17" s="2823"/>
      <c r="CV17" s="2823"/>
      <c r="CW17" s="2823"/>
      <c r="CX17" s="2824"/>
      <c r="CY17" s="1109" t="s">
        <v>1164</v>
      </c>
      <c r="CZ17" s="1109" t="s">
        <v>1165</v>
      </c>
      <c r="DA17" s="1109" t="s">
        <v>1164</v>
      </c>
      <c r="DB17" s="1109" t="s">
        <v>1165</v>
      </c>
      <c r="DC17" s="1109" t="s">
        <v>1164</v>
      </c>
      <c r="DD17" s="1109" t="s">
        <v>1165</v>
      </c>
      <c r="DE17" s="1109" t="s">
        <v>1164</v>
      </c>
      <c r="DF17" s="1109" t="s">
        <v>1165</v>
      </c>
      <c r="DG17" s="1109" t="s">
        <v>1164</v>
      </c>
      <c r="DH17" s="1109" t="s">
        <v>1165</v>
      </c>
      <c r="DI17" s="1109" t="s">
        <v>1164</v>
      </c>
      <c r="DJ17" s="1109" t="s">
        <v>1165</v>
      </c>
      <c r="DK17" s="2830"/>
      <c r="DL17" s="2823"/>
      <c r="DM17" s="2823"/>
      <c r="DN17" s="2823"/>
      <c r="DO17" s="2823"/>
      <c r="DP17" s="2823"/>
      <c r="DQ17" s="2823"/>
      <c r="DR17" s="2823"/>
      <c r="DS17" s="2823"/>
      <c r="DT17" s="2823"/>
      <c r="DU17" s="2823"/>
      <c r="DV17" s="2823"/>
      <c r="DW17" s="2823"/>
      <c r="DX17" s="2823"/>
      <c r="DY17" s="2823"/>
      <c r="DZ17" s="2823"/>
      <c r="EA17" s="2823"/>
      <c r="EB17" s="2823"/>
      <c r="EC17" s="2823"/>
      <c r="ED17" s="2823"/>
      <c r="EE17" s="2823"/>
      <c r="EF17" s="2823"/>
      <c r="EG17" s="2823"/>
      <c r="EH17" s="2823"/>
      <c r="EI17" s="2823"/>
      <c r="EJ17" s="2823"/>
      <c r="EK17" s="2823"/>
      <c r="EL17" s="2823"/>
      <c r="EM17" s="2823"/>
      <c r="EN17" s="2823"/>
      <c r="EO17" s="2823"/>
      <c r="EP17" s="2823"/>
      <c r="EQ17" s="2823"/>
      <c r="ER17" s="2823"/>
      <c r="ES17" s="2823"/>
      <c r="ET17" s="2823"/>
      <c r="EU17" s="2823"/>
      <c r="EV17" s="2823"/>
      <c r="EW17" s="2823"/>
      <c r="EX17" s="2823"/>
      <c r="EY17" s="2823"/>
      <c r="EZ17" s="2823"/>
      <c r="FA17" s="2823"/>
      <c r="FB17" s="2823"/>
      <c r="FC17" s="2823"/>
      <c r="FD17" s="2823"/>
      <c r="FE17" s="2823"/>
      <c r="FF17" s="2823"/>
      <c r="FG17" s="2823"/>
      <c r="FH17" s="2823"/>
      <c r="FI17" s="2823"/>
      <c r="FJ17" s="2823"/>
      <c r="FK17" s="2823"/>
      <c r="FL17" s="2823"/>
      <c r="FM17" s="2823"/>
      <c r="FN17" s="2823"/>
      <c r="FO17" s="2823"/>
      <c r="FP17" s="2823"/>
      <c r="FQ17" s="2823"/>
      <c r="FR17" s="2823"/>
      <c r="FS17" s="2823"/>
      <c r="FT17" s="2823"/>
      <c r="FU17" s="2823"/>
      <c r="FV17" s="2823"/>
      <c r="FW17" s="2829"/>
      <c r="FX17" s="696"/>
      <c r="GC17" s="851">
        <v>15</v>
      </c>
    </row>
    <row r="18" spans="1:185" s="2447" customFormat="1" ht="12" hidden="1" customHeight="1">
      <c r="B18" s="848"/>
      <c r="E18" s="864"/>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9">
        <v>0</v>
      </c>
    </row>
    <row r="19" spans="1:185" s="2447" customFormat="1" ht="11.25" hidden="1" customHeight="1">
      <c r="B19" s="848"/>
      <c r="E19" s="864"/>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9">
        <v>0</v>
      </c>
    </row>
    <row r="20" spans="1:185" s="2447" customFormat="1" ht="11.25" hidden="1" customHeight="1">
      <c r="B20" s="865"/>
      <c r="D20" s="849"/>
      <c r="E20" s="864"/>
      <c r="F20" s="1115" t="s">
        <v>367</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7">
        <v>0</v>
      </c>
    </row>
    <row r="21" spans="1:185" s="2451" customFormat="1" ht="21" customHeight="1">
      <c r="A21" s="2025" t="s">
        <v>984</v>
      </c>
      <c r="B21" s="2026"/>
      <c r="C21" s="2027"/>
      <c r="D21" s="2027"/>
      <c r="E21" s="2028" t="s">
        <v>22</v>
      </c>
      <c r="F21" s="2029" t="str">
        <f>INDEX(IP_MAIN_LIST_NAME_IP,MATCH(A21,IP_MAIN_LIST_IP_ID,0))&amp;" ("&amp;INDEX(IP_MAIN_START_DATE,MATCH(A21,IP_MAIN_LIST_IP_ID,0))&amp;"-"&amp;INDEX(IP_MAIN_END_DATE,MATCH(A21,IP_MAIN_LIST_IP_ID,0))&amp;")"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 (01.01.2023-31.12.2027)</v>
      </c>
      <c r="G21" s="2030"/>
      <c r="H21" s="2031"/>
      <c r="I21" s="2031"/>
      <c r="J21" s="2031"/>
      <c r="K21" s="2031"/>
      <c r="L21" s="2031"/>
      <c r="M21" s="2031"/>
      <c r="N21" s="2031"/>
      <c r="O21" s="2030"/>
      <c r="P21" s="2030"/>
      <c r="Q21" s="2030"/>
      <c r="R21" s="2030"/>
      <c r="S21" s="2030"/>
      <c r="T21" s="2030"/>
      <c r="U21" s="2032"/>
      <c r="V21" s="2032"/>
      <c r="W21" s="2032"/>
      <c r="X21" s="2032"/>
      <c r="Y21" s="2032"/>
      <c r="Z21" s="2032"/>
      <c r="AA21" s="2032"/>
      <c r="AB21" s="2030"/>
      <c r="AC21" s="2031"/>
      <c r="AD21" s="2031"/>
      <c r="AE21" s="2031"/>
      <c r="AF21" s="2031"/>
      <c r="AG21" s="2031"/>
      <c r="AH21" s="2031"/>
      <c r="AI21" s="2031"/>
      <c r="AJ21" s="2031"/>
      <c r="AK21" s="2031"/>
      <c r="AL21" s="2031"/>
      <c r="AM21" s="2031"/>
      <c r="AN21" s="2031"/>
      <c r="AO21" s="2031"/>
      <c r="AP21" s="2031"/>
      <c r="AQ21" s="2031"/>
      <c r="AR21" s="2031"/>
      <c r="AS21" s="2031"/>
      <c r="AT21" s="2031"/>
      <c r="AU21" s="2031"/>
      <c r="AV21" s="2031"/>
      <c r="AW21" s="2031"/>
      <c r="AX21" s="2031"/>
      <c r="AY21" s="2031"/>
      <c r="AZ21" s="2031"/>
      <c r="BA21" s="2031"/>
      <c r="BB21" s="2031"/>
      <c r="BC21" s="2031"/>
      <c r="BD21" s="2031"/>
      <c r="BE21" s="2031"/>
      <c r="BF21" s="2031"/>
      <c r="BG21" s="2031"/>
      <c r="BH21" s="2031"/>
      <c r="BI21" s="2031"/>
      <c r="BJ21" s="2031"/>
      <c r="BK21" s="2031"/>
      <c r="BL21" s="2031"/>
      <c r="BM21" s="2031"/>
      <c r="BN21" s="2031"/>
      <c r="BO21" s="2031"/>
      <c r="BP21" s="2031"/>
      <c r="BQ21" s="2031"/>
      <c r="BR21" s="2031"/>
      <c r="BS21" s="2031"/>
      <c r="BT21" s="2031"/>
      <c r="BU21" s="2031"/>
      <c r="BV21" s="2031"/>
      <c r="BW21" s="2031"/>
      <c r="BX21" s="2031"/>
      <c r="BY21" s="2031"/>
      <c r="BZ21" s="2031"/>
      <c r="CA21" s="2031"/>
      <c r="CB21" s="2031"/>
      <c r="CC21" s="2031"/>
      <c r="CD21" s="2031"/>
      <c r="CE21" s="2031"/>
      <c r="CF21" s="2031"/>
      <c r="CG21" s="2031"/>
      <c r="CH21" s="2031"/>
      <c r="CI21" s="2031"/>
      <c r="CJ21" s="2031"/>
      <c r="CK21" s="2031"/>
      <c r="CL21" s="2033"/>
      <c r="CM21" s="2033"/>
      <c r="CN21" s="2033"/>
      <c r="CO21" s="2033"/>
      <c r="CP21" s="2033"/>
      <c r="CQ21" s="2033"/>
      <c r="CR21" s="2033"/>
      <c r="CS21" s="2033"/>
      <c r="CT21" s="2033"/>
      <c r="CU21" s="2033"/>
      <c r="CV21" s="2033"/>
      <c r="CW21" s="2033"/>
      <c r="CX21" s="2033"/>
      <c r="CY21" s="2033"/>
      <c r="CZ21" s="2033"/>
      <c r="DA21" s="2033"/>
      <c r="DB21" s="2033"/>
      <c r="DC21" s="2033"/>
      <c r="DD21" s="2033"/>
      <c r="DE21" s="2033"/>
      <c r="DF21" s="2033"/>
      <c r="DG21" s="2033"/>
      <c r="DH21" s="2033"/>
      <c r="DI21" s="2033"/>
      <c r="DJ21" s="2033"/>
      <c r="DK21" s="2033"/>
      <c r="DL21" s="2033"/>
      <c r="DM21" s="2033"/>
      <c r="DN21" s="2033"/>
      <c r="DO21" s="2033"/>
      <c r="DP21" s="2033"/>
      <c r="DQ21" s="2033"/>
      <c r="DR21" s="2033"/>
      <c r="DS21" s="2033"/>
      <c r="DT21" s="2033"/>
      <c r="DU21" s="2033"/>
      <c r="DV21" s="2033"/>
      <c r="DW21" s="2033"/>
      <c r="DX21" s="2033"/>
      <c r="DY21" s="2033"/>
      <c r="DZ21" s="2033"/>
      <c r="EA21" s="2033"/>
      <c r="EB21" s="2033"/>
      <c r="EC21" s="2033"/>
      <c r="ED21" s="2033"/>
      <c r="EE21" s="2033"/>
      <c r="EF21" s="2033"/>
      <c r="EG21" s="2033"/>
      <c r="EH21" s="2033"/>
      <c r="EI21" s="2033"/>
      <c r="EJ21" s="2033"/>
      <c r="EK21" s="2033"/>
      <c r="EL21" s="2033"/>
      <c r="EM21" s="2033"/>
      <c r="EN21" s="2033"/>
      <c r="EO21" s="2033"/>
      <c r="EP21" s="2033"/>
      <c r="EQ21" s="2033"/>
      <c r="ER21" s="2033"/>
      <c r="ES21" s="2033"/>
      <c r="ET21" s="2033"/>
      <c r="EU21" s="2033"/>
      <c r="EV21" s="2033"/>
      <c r="EW21" s="2033"/>
      <c r="EX21" s="2033"/>
      <c r="EY21" s="2033"/>
      <c r="EZ21" s="2033"/>
      <c r="FA21" s="2033"/>
      <c r="FB21" s="2033"/>
      <c r="FC21" s="2033"/>
      <c r="FD21" s="2033"/>
      <c r="FE21" s="2033"/>
      <c r="FF21" s="2033"/>
      <c r="FG21" s="2033"/>
      <c r="FH21" s="2033"/>
      <c r="FI21" s="2033"/>
      <c r="FJ21" s="2033"/>
      <c r="FK21" s="2033"/>
      <c r="FL21" s="2033"/>
      <c r="FM21" s="2033"/>
      <c r="FN21" s="2033"/>
      <c r="FO21" s="2033"/>
      <c r="FP21" s="2033"/>
      <c r="FQ21" s="2033"/>
      <c r="FR21" s="2033"/>
      <c r="FS21" s="2033"/>
      <c r="FT21" s="2033"/>
      <c r="FU21" s="2033"/>
      <c r="FV21" s="2034"/>
      <c r="FW21" s="2035"/>
      <c r="FX21" s="2036"/>
      <c r="FY21" s="2027"/>
      <c r="FZ21" s="2027"/>
      <c r="GA21" s="2027"/>
      <c r="GB21" s="2027"/>
    </row>
    <row r="22" spans="1:185" s="2452" customFormat="1" ht="24.75" customHeight="1">
      <c r="A22" s="2027" t="s">
        <v>984</v>
      </c>
      <c r="B22" s="2026"/>
      <c r="C22" s="2027"/>
      <c r="D22" s="2027"/>
      <c r="E22" s="2037"/>
      <c r="F22" s="2038">
        <v>1</v>
      </c>
      <c r="G22" s="2039" t="s">
        <v>977</v>
      </c>
      <c r="H22" s="2395" t="s">
        <v>1166</v>
      </c>
      <c r="I22" s="2040"/>
      <c r="J22" s="2041"/>
      <c r="K22" s="2041"/>
      <c r="L22" s="2041"/>
      <c r="M22" s="2041"/>
      <c r="N22" s="2041"/>
      <c r="O22" s="2042">
        <v>0</v>
      </c>
      <c r="P22" s="2042"/>
      <c r="Q22" s="2042">
        <v>0</v>
      </c>
      <c r="R22" s="2042"/>
      <c r="S22" s="2042">
        <v>0.17879999999999999</v>
      </c>
      <c r="T22" s="2042"/>
      <c r="U22" s="2042">
        <v>1.98</v>
      </c>
      <c r="V22" s="2042"/>
      <c r="W22" s="2042">
        <v>10.25</v>
      </c>
      <c r="X22" s="2042"/>
      <c r="Y22" s="2042">
        <v>35418</v>
      </c>
      <c r="Z22" s="2042"/>
      <c r="AA22" s="2042">
        <v>183649</v>
      </c>
      <c r="AB22" s="2042"/>
      <c r="AC22" s="2041"/>
      <c r="AD22" s="2041"/>
      <c r="AE22" s="2041"/>
      <c r="AF22" s="2041"/>
      <c r="AG22" s="2041"/>
      <c r="AH22" s="2041"/>
      <c r="AI22" s="2041"/>
      <c r="AJ22" s="2041"/>
      <c r="AK22" s="2041"/>
      <c r="AL22" s="2041"/>
      <c r="AM22" s="2041"/>
      <c r="AN22" s="2041"/>
      <c r="AO22" s="2041"/>
      <c r="AP22" s="2041"/>
      <c r="AQ22" s="2041"/>
      <c r="AR22" s="2041"/>
      <c r="AS22" s="2041"/>
      <c r="AT22" s="2041"/>
      <c r="AU22" s="2041"/>
      <c r="AV22" s="2041"/>
      <c r="AW22" s="2041"/>
      <c r="AX22" s="2041"/>
      <c r="AY22" s="2041"/>
      <c r="AZ22" s="2041"/>
      <c r="BA22" s="2041"/>
      <c r="BB22" s="2041"/>
      <c r="BC22" s="2041"/>
      <c r="BD22" s="2041"/>
      <c r="BE22" s="2041"/>
      <c r="BF22" s="2041"/>
      <c r="BG22" s="2041"/>
      <c r="BH22" s="2041"/>
      <c r="BI22" s="2041"/>
      <c r="BJ22" s="2041"/>
      <c r="BK22" s="2041"/>
      <c r="BL22" s="2041"/>
      <c r="BM22" s="2041"/>
      <c r="BN22" s="2041"/>
      <c r="BO22" s="2041"/>
      <c r="BP22" s="2041"/>
      <c r="BQ22" s="2041"/>
      <c r="BR22" s="2041"/>
      <c r="BS22" s="2041"/>
      <c r="BT22" s="2042"/>
      <c r="BU22" s="2042"/>
      <c r="BV22" s="2042"/>
      <c r="BW22" s="2042"/>
      <c r="BX22" s="2042"/>
      <c r="BY22" s="2042"/>
      <c r="BZ22" s="2042"/>
      <c r="CA22" s="2042"/>
      <c r="CB22" s="2042"/>
      <c r="CC22" s="2042"/>
      <c r="CD22" s="2042"/>
      <c r="CE22" s="2042"/>
      <c r="CF22" s="2042"/>
      <c r="CG22" s="2042"/>
      <c r="CH22" s="2042"/>
      <c r="CI22" s="2042"/>
      <c r="CJ22" s="2042"/>
      <c r="CK22" s="2042"/>
      <c r="CL22" s="2041"/>
      <c r="CM22" s="2041"/>
      <c r="CN22" s="2041"/>
      <c r="CO22" s="2041"/>
      <c r="CP22" s="2041"/>
      <c r="CQ22" s="2041"/>
      <c r="CR22" s="2041"/>
      <c r="CS22" s="2041"/>
      <c r="CT22" s="2041"/>
      <c r="CU22" s="2041"/>
      <c r="CV22" s="2041"/>
      <c r="CW22" s="2041"/>
      <c r="CX22" s="2041"/>
      <c r="CY22" s="2042"/>
      <c r="CZ22" s="2042"/>
      <c r="DA22" s="2042"/>
      <c r="DB22" s="2042"/>
      <c r="DC22" s="2042"/>
      <c r="DD22" s="2042"/>
      <c r="DE22" s="2042"/>
      <c r="DF22" s="2042"/>
      <c r="DG22" s="2042"/>
      <c r="DH22" s="2042"/>
      <c r="DI22" s="2042"/>
      <c r="DJ22" s="2042"/>
      <c r="DK22" s="2041"/>
      <c r="DL22" s="2041"/>
      <c r="DM22" s="2041"/>
      <c r="DN22" s="2041"/>
      <c r="DO22" s="2041"/>
      <c r="DP22" s="2041"/>
      <c r="DQ22" s="2041"/>
      <c r="DR22" s="2041"/>
      <c r="DS22" s="2041"/>
      <c r="DT22" s="2041"/>
      <c r="DU22" s="2041"/>
      <c r="DV22" s="2041"/>
      <c r="DW22" s="2041"/>
      <c r="DX22" s="2041"/>
      <c r="DY22" s="2041"/>
      <c r="DZ22" s="2041"/>
      <c r="EA22" s="2041"/>
      <c r="EB22" s="2041"/>
      <c r="EC22" s="2041"/>
      <c r="ED22" s="2041"/>
      <c r="EE22" s="2041"/>
      <c r="EF22" s="2041"/>
      <c r="EG22" s="2041"/>
      <c r="EH22" s="2041"/>
      <c r="EI22" s="2041"/>
      <c r="EJ22" s="2041"/>
      <c r="EK22" s="2041"/>
      <c r="EL22" s="2041"/>
      <c r="EM22" s="2041"/>
      <c r="EN22" s="2041"/>
      <c r="EO22" s="2041"/>
      <c r="EP22" s="2041"/>
      <c r="EQ22" s="2041"/>
      <c r="ER22" s="2041"/>
      <c r="ES22" s="2041"/>
      <c r="ET22" s="2041"/>
      <c r="EU22" s="2041"/>
      <c r="EV22" s="2041"/>
      <c r="EW22" s="2041"/>
      <c r="EX22" s="2041"/>
      <c r="EY22" s="2041"/>
      <c r="EZ22" s="2041"/>
      <c r="FA22" s="2041"/>
      <c r="FB22" s="2041"/>
      <c r="FC22" s="2041"/>
      <c r="FD22" s="2041"/>
      <c r="FE22" s="2041"/>
      <c r="FF22" s="2041"/>
      <c r="FG22" s="2041"/>
      <c r="FH22" s="2041"/>
      <c r="FI22" s="2041"/>
      <c r="FJ22" s="2041"/>
      <c r="FK22" s="2041"/>
      <c r="FL22" s="2041"/>
      <c r="FM22" s="2041"/>
      <c r="FN22" s="2041"/>
      <c r="FO22" s="2041"/>
      <c r="FP22" s="2041"/>
      <c r="FQ22" s="2041"/>
      <c r="FR22" s="2041"/>
      <c r="FS22" s="2041"/>
      <c r="FT22" s="2041"/>
      <c r="FU22" s="2041"/>
      <c r="FV22" s="2041"/>
      <c r="FW22" s="2041"/>
      <c r="FX22" s="2036"/>
      <c r="FY22" s="2027"/>
      <c r="FZ22" s="2027"/>
      <c r="GA22" s="2027"/>
      <c r="GB22" s="2027"/>
    </row>
    <row r="23" spans="1:185" s="2452" customFormat="1" ht="12" customHeight="1">
      <c r="A23" s="2027" t="s">
        <v>984</v>
      </c>
      <c r="B23" s="2026"/>
      <c r="C23" s="2027"/>
      <c r="D23" s="2027"/>
      <c r="E23" s="2027"/>
      <c r="F23" s="2043"/>
      <c r="G23" s="2044" t="s">
        <v>1167</v>
      </c>
      <c r="H23" s="2045"/>
      <c r="I23" s="2046"/>
      <c r="J23" s="2047"/>
      <c r="K23" s="2048"/>
      <c r="L23" s="2049"/>
      <c r="M23" s="2050"/>
      <c r="N23" s="2051"/>
      <c r="O23" s="2052"/>
      <c r="P23" s="2053"/>
      <c r="Q23" s="2054"/>
      <c r="R23" s="2055"/>
      <c r="S23" s="2056"/>
      <c r="T23" s="2057"/>
      <c r="U23" s="2058"/>
      <c r="V23" s="2059"/>
      <c r="W23" s="2060"/>
      <c r="X23" s="2061"/>
      <c r="Y23" s="2062"/>
      <c r="Z23" s="2063"/>
      <c r="AA23" s="2064"/>
      <c r="AB23" s="2065"/>
      <c r="AC23" s="2066"/>
      <c r="AD23" s="2067"/>
      <c r="AE23" s="2068"/>
      <c r="AF23" s="2069"/>
      <c r="AG23" s="2070"/>
      <c r="AH23" s="2071"/>
      <c r="AI23" s="2072"/>
      <c r="AJ23" s="2073"/>
      <c r="AK23" s="2074"/>
      <c r="AL23" s="2075"/>
      <c r="AM23" s="2076"/>
      <c r="AN23" s="2077"/>
      <c r="AO23" s="2078"/>
      <c r="AP23" s="2079"/>
      <c r="AQ23" s="2080"/>
      <c r="AR23" s="2081"/>
      <c r="AS23" s="2082"/>
      <c r="AT23" s="2083"/>
      <c r="AU23" s="2084"/>
      <c r="AV23" s="2085"/>
      <c r="AW23" s="2086"/>
      <c r="AX23" s="2087"/>
      <c r="AY23" s="2088"/>
      <c r="AZ23" s="2089"/>
      <c r="BA23" s="2090"/>
      <c r="BB23" s="2091"/>
      <c r="BC23" s="2092"/>
      <c r="BD23" s="2093"/>
      <c r="BE23" s="2094"/>
      <c r="BF23" s="2095"/>
      <c r="BG23" s="2096"/>
      <c r="BH23" s="2097"/>
      <c r="BI23" s="2098"/>
      <c r="BJ23" s="2099"/>
      <c r="BK23" s="2100"/>
      <c r="BL23" s="2101"/>
      <c r="BM23" s="2102"/>
      <c r="BN23" s="2103"/>
      <c r="BO23" s="2104"/>
      <c r="BP23" s="2105"/>
      <c r="BQ23" s="2106"/>
      <c r="BR23" s="2107"/>
      <c r="BS23" s="2108"/>
      <c r="BT23" s="2109"/>
      <c r="BU23" s="2110"/>
      <c r="BV23" s="2111"/>
      <c r="BW23" s="2112"/>
      <c r="BX23" s="2113"/>
      <c r="BY23" s="2114"/>
      <c r="BZ23" s="2115"/>
      <c r="CA23" s="2116"/>
      <c r="CB23" s="2117"/>
      <c r="CC23" s="2118"/>
      <c r="CD23" s="2119"/>
      <c r="CE23" s="2120"/>
      <c r="CF23" s="2121"/>
      <c r="CG23" s="2122"/>
      <c r="CH23" s="2123"/>
      <c r="CI23" s="2124"/>
      <c r="CJ23" s="2125"/>
      <c r="CK23" s="2126"/>
      <c r="CL23" s="2127"/>
      <c r="CM23" s="2128"/>
      <c r="CN23" s="2129"/>
      <c r="CO23" s="2130"/>
      <c r="CP23" s="2131"/>
      <c r="CQ23" s="2132"/>
      <c r="CR23" s="2133"/>
      <c r="CS23" s="2134"/>
      <c r="CT23" s="2135"/>
      <c r="CU23" s="2136"/>
      <c r="CV23" s="2137"/>
      <c r="CW23" s="2138"/>
      <c r="CX23" s="2139"/>
      <c r="CY23" s="2140"/>
      <c r="CZ23" s="2141"/>
      <c r="DA23" s="2142"/>
      <c r="DB23" s="2143"/>
      <c r="DC23" s="2144"/>
      <c r="DD23" s="2145"/>
      <c r="DE23" s="2146"/>
      <c r="DF23" s="2147"/>
      <c r="DG23" s="2148"/>
      <c r="DH23" s="2149"/>
      <c r="DI23" s="2150"/>
      <c r="DJ23" s="2151"/>
      <c r="DK23" s="2152"/>
      <c r="DL23" s="2153"/>
      <c r="DM23" s="2154"/>
      <c r="DN23" s="2155"/>
      <c r="DO23" s="2156"/>
      <c r="DP23" s="2157"/>
      <c r="DQ23" s="2158"/>
      <c r="DR23" s="2159"/>
      <c r="DS23" s="2160"/>
      <c r="DT23" s="2161"/>
      <c r="DU23" s="2162"/>
      <c r="DV23" s="2163"/>
      <c r="DW23" s="2164"/>
      <c r="DX23" s="2165"/>
      <c r="DY23" s="2166"/>
      <c r="DZ23" s="2167"/>
      <c r="EA23" s="2168"/>
      <c r="EB23" s="2169"/>
      <c r="EC23" s="2170"/>
      <c r="ED23" s="2171"/>
      <c r="EE23" s="2172"/>
      <c r="EF23" s="2173"/>
      <c r="EG23" s="2174"/>
      <c r="EH23" s="2175"/>
      <c r="EI23" s="2176"/>
      <c r="EJ23" s="2177"/>
      <c r="EK23" s="2178"/>
      <c r="EL23" s="2179"/>
      <c r="EM23" s="2180"/>
      <c r="EN23" s="2181"/>
      <c r="EO23" s="2182"/>
      <c r="EP23" s="2183"/>
      <c r="EQ23" s="2184"/>
      <c r="ER23" s="2185"/>
      <c r="ES23" s="2186"/>
      <c r="ET23" s="2187"/>
      <c r="EU23" s="2188"/>
      <c r="EV23" s="2189"/>
      <c r="EW23" s="2190"/>
      <c r="EX23" s="2191"/>
      <c r="EY23" s="2192"/>
      <c r="EZ23" s="2193"/>
      <c r="FA23" s="2194"/>
      <c r="FB23" s="2195"/>
      <c r="FC23" s="2196"/>
      <c r="FD23" s="2197"/>
      <c r="FE23" s="2198"/>
      <c r="FF23" s="2199"/>
      <c r="FG23" s="2200"/>
      <c r="FH23" s="2201"/>
      <c r="FI23" s="2202"/>
      <c r="FJ23" s="2203"/>
      <c r="FK23" s="2204"/>
      <c r="FL23" s="2205"/>
      <c r="FM23" s="2206"/>
      <c r="FN23" s="2207"/>
      <c r="FO23" s="2208"/>
      <c r="FP23" s="2209"/>
      <c r="FQ23" s="2210"/>
      <c r="FR23" s="2211"/>
      <c r="FS23" s="2212"/>
      <c r="FT23" s="2213"/>
      <c r="FU23" s="2214"/>
      <c r="FV23" s="2215"/>
      <c r="FW23" s="2216"/>
      <c r="FX23" s="2217"/>
      <c r="FY23" s="2218"/>
      <c r="FZ23" s="2218"/>
      <c r="GA23" s="2218"/>
      <c r="GB23" s="2218"/>
    </row>
    <row r="24" spans="1:185" s="2452" customFormat="1" ht="21" customHeight="1">
      <c r="A24" s="2025" t="s">
        <v>987</v>
      </c>
      <c r="B24" s="2026"/>
      <c r="C24" s="2027"/>
      <c r="D24" s="2027"/>
      <c r="E24" s="2028" t="s">
        <v>22</v>
      </c>
      <c r="F24" s="2029" t="str">
        <f>INDEX(IP_MAIN_LIST_NAME_IP,MATCH(A24,IP_MAIN_LIST_IP_ID,0))&amp;" ("&amp;INDEX(IP_MAIN_START_DATE,MATCH(A24,IP_MAIN_LIST_IP_ID,0))&amp;"-"&amp;INDEX(IP_MAIN_END_DATE,MATCH(A24,IP_MAIN_LIST_IP_ID,0))&amp;")"</f>
        <v>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 (01.01.2023-31.12.2027)</v>
      </c>
      <c r="G24" s="2030"/>
      <c r="H24" s="2031"/>
      <c r="I24" s="2031"/>
      <c r="J24" s="2031"/>
      <c r="K24" s="2031"/>
      <c r="L24" s="2031"/>
      <c r="M24" s="2031"/>
      <c r="N24" s="2031"/>
      <c r="O24" s="2030"/>
      <c r="P24" s="2030"/>
      <c r="Q24" s="2030"/>
      <c r="R24" s="2030"/>
      <c r="S24" s="2030"/>
      <c r="T24" s="2030"/>
      <c r="U24" s="2032"/>
      <c r="V24" s="2032"/>
      <c r="W24" s="2032"/>
      <c r="X24" s="2032"/>
      <c r="Y24" s="2032"/>
      <c r="Z24" s="2032"/>
      <c r="AA24" s="2032"/>
      <c r="AB24" s="2030"/>
      <c r="AC24" s="2031"/>
      <c r="AD24" s="2031"/>
      <c r="AE24" s="2031"/>
      <c r="AF24" s="2031"/>
      <c r="AG24" s="2031"/>
      <c r="AH24" s="2031"/>
      <c r="AI24" s="2031"/>
      <c r="AJ24" s="2031"/>
      <c r="AK24" s="2031"/>
      <c r="AL24" s="2031"/>
      <c r="AM24" s="2031"/>
      <c r="AN24" s="2031"/>
      <c r="AO24" s="2031"/>
      <c r="AP24" s="2031"/>
      <c r="AQ24" s="2031"/>
      <c r="AR24" s="2031"/>
      <c r="AS24" s="2031"/>
      <c r="AT24" s="2031"/>
      <c r="AU24" s="2031"/>
      <c r="AV24" s="2031"/>
      <c r="AW24" s="2031"/>
      <c r="AX24" s="2031"/>
      <c r="AY24" s="2031"/>
      <c r="AZ24" s="2031"/>
      <c r="BA24" s="2031"/>
      <c r="BB24" s="2031"/>
      <c r="BC24" s="2031"/>
      <c r="BD24" s="2031"/>
      <c r="BE24" s="2031"/>
      <c r="BF24" s="2031"/>
      <c r="BG24" s="2031"/>
      <c r="BH24" s="2031"/>
      <c r="BI24" s="2031"/>
      <c r="BJ24" s="2031"/>
      <c r="BK24" s="2031"/>
      <c r="BL24" s="2031"/>
      <c r="BM24" s="2031"/>
      <c r="BN24" s="2031"/>
      <c r="BO24" s="2031"/>
      <c r="BP24" s="2031"/>
      <c r="BQ24" s="2031"/>
      <c r="BR24" s="2031"/>
      <c r="BS24" s="2031"/>
      <c r="BT24" s="2031"/>
      <c r="BU24" s="2031"/>
      <c r="BV24" s="2031"/>
      <c r="BW24" s="2031"/>
      <c r="BX24" s="2031"/>
      <c r="BY24" s="2031"/>
      <c r="BZ24" s="2031"/>
      <c r="CA24" s="2031"/>
      <c r="CB24" s="2031"/>
      <c r="CC24" s="2031"/>
      <c r="CD24" s="2031"/>
      <c r="CE24" s="2031"/>
      <c r="CF24" s="2031"/>
      <c r="CG24" s="2031"/>
      <c r="CH24" s="2031"/>
      <c r="CI24" s="2031"/>
      <c r="CJ24" s="2031"/>
      <c r="CK24" s="2031"/>
      <c r="CL24" s="2033"/>
      <c r="CM24" s="2033"/>
      <c r="CN24" s="2033"/>
      <c r="CO24" s="2033"/>
      <c r="CP24" s="2033"/>
      <c r="CQ24" s="2033"/>
      <c r="CR24" s="2033"/>
      <c r="CS24" s="2033"/>
      <c r="CT24" s="2033"/>
      <c r="CU24" s="2033"/>
      <c r="CV24" s="2033"/>
      <c r="CW24" s="2033"/>
      <c r="CX24" s="2033"/>
      <c r="CY24" s="2033"/>
      <c r="CZ24" s="2033"/>
      <c r="DA24" s="2033"/>
      <c r="DB24" s="2033"/>
      <c r="DC24" s="2033"/>
      <c r="DD24" s="2033"/>
      <c r="DE24" s="2033"/>
      <c r="DF24" s="2033"/>
      <c r="DG24" s="2033"/>
      <c r="DH24" s="2033"/>
      <c r="DI24" s="2033"/>
      <c r="DJ24" s="2033"/>
      <c r="DK24" s="2033"/>
      <c r="DL24" s="2033"/>
      <c r="DM24" s="2033"/>
      <c r="DN24" s="2033"/>
      <c r="DO24" s="2033"/>
      <c r="DP24" s="2033"/>
      <c r="DQ24" s="2033"/>
      <c r="DR24" s="2033"/>
      <c r="DS24" s="2033"/>
      <c r="DT24" s="2033"/>
      <c r="DU24" s="2033"/>
      <c r="DV24" s="2033"/>
      <c r="DW24" s="2033"/>
      <c r="DX24" s="2033"/>
      <c r="DY24" s="2033"/>
      <c r="DZ24" s="2033"/>
      <c r="EA24" s="2033"/>
      <c r="EB24" s="2033"/>
      <c r="EC24" s="2033"/>
      <c r="ED24" s="2033"/>
      <c r="EE24" s="2033"/>
      <c r="EF24" s="2033"/>
      <c r="EG24" s="2033"/>
      <c r="EH24" s="2033"/>
      <c r="EI24" s="2033"/>
      <c r="EJ24" s="2033"/>
      <c r="EK24" s="2033"/>
      <c r="EL24" s="2033"/>
      <c r="EM24" s="2033"/>
      <c r="EN24" s="2033"/>
      <c r="EO24" s="2033"/>
      <c r="EP24" s="2033"/>
      <c r="EQ24" s="2033"/>
      <c r="ER24" s="2033"/>
      <c r="ES24" s="2033"/>
      <c r="ET24" s="2033"/>
      <c r="EU24" s="2033"/>
      <c r="EV24" s="2033"/>
      <c r="EW24" s="2033"/>
      <c r="EX24" s="2033"/>
      <c r="EY24" s="2033"/>
      <c r="EZ24" s="2033"/>
      <c r="FA24" s="2033"/>
      <c r="FB24" s="2033"/>
      <c r="FC24" s="2033"/>
      <c r="FD24" s="2033"/>
      <c r="FE24" s="2033"/>
      <c r="FF24" s="2033"/>
      <c r="FG24" s="2033"/>
      <c r="FH24" s="2033"/>
      <c r="FI24" s="2033"/>
      <c r="FJ24" s="2033"/>
      <c r="FK24" s="2033"/>
      <c r="FL24" s="2033"/>
      <c r="FM24" s="2033"/>
      <c r="FN24" s="2033"/>
      <c r="FO24" s="2033"/>
      <c r="FP24" s="2033"/>
      <c r="FQ24" s="2033"/>
      <c r="FR24" s="2033"/>
      <c r="FS24" s="2033"/>
      <c r="FT24" s="2033"/>
      <c r="FU24" s="2033"/>
      <c r="FV24" s="2034"/>
      <c r="FW24" s="2035"/>
      <c r="FX24" s="2036"/>
      <c r="FY24" s="2027"/>
      <c r="FZ24" s="2027"/>
      <c r="GA24" s="2027"/>
      <c r="GB24" s="2027"/>
    </row>
    <row r="25" spans="1:185" s="2452" customFormat="1" ht="24.75" customHeight="1">
      <c r="A25" s="2027" t="s">
        <v>987</v>
      </c>
      <c r="B25" s="2026"/>
      <c r="C25" s="2027"/>
      <c r="D25" s="2027"/>
      <c r="E25" s="2037"/>
      <c r="F25" s="2038">
        <v>1</v>
      </c>
      <c r="G25" s="2039" t="s">
        <v>977</v>
      </c>
      <c r="H25" s="2395" t="s">
        <v>1166</v>
      </c>
      <c r="I25" s="2040"/>
      <c r="J25" s="2041"/>
      <c r="K25" s="2041"/>
      <c r="L25" s="2041"/>
      <c r="M25" s="2041"/>
      <c r="N25" s="2041"/>
      <c r="O25" s="2042"/>
      <c r="P25" s="2042"/>
      <c r="Q25" s="2042"/>
      <c r="R25" s="2042"/>
      <c r="S25" s="2042">
        <v>0.17879999999999999</v>
      </c>
      <c r="T25" s="2042"/>
      <c r="U25" s="2042"/>
      <c r="V25" s="2042"/>
      <c r="W25" s="2042"/>
      <c r="X25" s="2042"/>
      <c r="Y25" s="2042"/>
      <c r="Z25" s="2042"/>
      <c r="AA25" s="2042"/>
      <c r="AB25" s="2042"/>
      <c r="AC25" s="2041"/>
      <c r="AD25" s="2041"/>
      <c r="AE25" s="2041"/>
      <c r="AF25" s="2041"/>
      <c r="AG25" s="2041"/>
      <c r="AH25" s="2041"/>
      <c r="AI25" s="2041"/>
      <c r="AJ25" s="2041"/>
      <c r="AK25" s="2041"/>
      <c r="AL25" s="2041"/>
      <c r="AM25" s="2041"/>
      <c r="AN25" s="2041"/>
      <c r="AO25" s="2041"/>
      <c r="AP25" s="2041"/>
      <c r="AQ25" s="2041"/>
      <c r="AR25" s="2041"/>
      <c r="AS25" s="2041"/>
      <c r="AT25" s="2041"/>
      <c r="AU25" s="2041"/>
      <c r="AV25" s="2041"/>
      <c r="AW25" s="2041"/>
      <c r="AX25" s="2041"/>
      <c r="AY25" s="2041"/>
      <c r="AZ25" s="2041"/>
      <c r="BA25" s="2041"/>
      <c r="BB25" s="2041"/>
      <c r="BC25" s="2041"/>
      <c r="BD25" s="2041"/>
      <c r="BE25" s="2041"/>
      <c r="BF25" s="2041"/>
      <c r="BG25" s="2041"/>
      <c r="BH25" s="2041"/>
      <c r="BI25" s="2041"/>
      <c r="BJ25" s="2041"/>
      <c r="BK25" s="2041"/>
      <c r="BL25" s="2041"/>
      <c r="BM25" s="2041"/>
      <c r="BN25" s="2041"/>
      <c r="BO25" s="2041"/>
      <c r="BP25" s="2041"/>
      <c r="BQ25" s="2041"/>
      <c r="BR25" s="2041"/>
      <c r="BS25" s="2041"/>
      <c r="BT25" s="2042"/>
      <c r="BU25" s="2042"/>
      <c r="BV25" s="2042"/>
      <c r="BW25" s="2042"/>
      <c r="BX25" s="2042"/>
      <c r="BY25" s="2042"/>
      <c r="BZ25" s="2042"/>
      <c r="CA25" s="2042"/>
      <c r="CB25" s="2042"/>
      <c r="CC25" s="2042"/>
      <c r="CD25" s="2042"/>
      <c r="CE25" s="2042"/>
      <c r="CF25" s="2042"/>
      <c r="CG25" s="2042"/>
      <c r="CH25" s="2042"/>
      <c r="CI25" s="2042"/>
      <c r="CJ25" s="2042"/>
      <c r="CK25" s="2042"/>
      <c r="CL25" s="2041"/>
      <c r="CM25" s="2041"/>
      <c r="CN25" s="2041"/>
      <c r="CO25" s="2041"/>
      <c r="CP25" s="2041"/>
      <c r="CQ25" s="2041"/>
      <c r="CR25" s="2041"/>
      <c r="CS25" s="2041"/>
      <c r="CT25" s="2041"/>
      <c r="CU25" s="2041"/>
      <c r="CV25" s="2041"/>
      <c r="CW25" s="2041"/>
      <c r="CX25" s="2041"/>
      <c r="CY25" s="2042"/>
      <c r="CZ25" s="2042"/>
      <c r="DA25" s="2042"/>
      <c r="DB25" s="2042"/>
      <c r="DC25" s="2042"/>
      <c r="DD25" s="2042"/>
      <c r="DE25" s="2042"/>
      <c r="DF25" s="2042"/>
      <c r="DG25" s="2042"/>
      <c r="DH25" s="2042"/>
      <c r="DI25" s="2042"/>
      <c r="DJ25" s="2042"/>
      <c r="DK25" s="2041"/>
      <c r="DL25" s="2041"/>
      <c r="DM25" s="2041"/>
      <c r="DN25" s="2041"/>
      <c r="DO25" s="2041"/>
      <c r="DP25" s="2041"/>
      <c r="DQ25" s="2041"/>
      <c r="DR25" s="2041"/>
      <c r="DS25" s="2041"/>
      <c r="DT25" s="2041"/>
      <c r="DU25" s="2041"/>
      <c r="DV25" s="2041"/>
      <c r="DW25" s="2041"/>
      <c r="DX25" s="2041"/>
      <c r="DY25" s="2041"/>
      <c r="DZ25" s="2041"/>
      <c r="EA25" s="2041"/>
      <c r="EB25" s="2041"/>
      <c r="EC25" s="2041"/>
      <c r="ED25" s="2041"/>
      <c r="EE25" s="2041"/>
      <c r="EF25" s="2041"/>
      <c r="EG25" s="2041"/>
      <c r="EH25" s="2041"/>
      <c r="EI25" s="2041"/>
      <c r="EJ25" s="2041"/>
      <c r="EK25" s="2041"/>
      <c r="EL25" s="2041"/>
      <c r="EM25" s="2041"/>
      <c r="EN25" s="2041"/>
      <c r="EO25" s="2041"/>
      <c r="EP25" s="2041"/>
      <c r="EQ25" s="2041"/>
      <c r="ER25" s="2041"/>
      <c r="ES25" s="2041"/>
      <c r="ET25" s="2041"/>
      <c r="EU25" s="2041"/>
      <c r="EV25" s="2041"/>
      <c r="EW25" s="2041"/>
      <c r="EX25" s="2041"/>
      <c r="EY25" s="2041"/>
      <c r="EZ25" s="2041"/>
      <c r="FA25" s="2041"/>
      <c r="FB25" s="2041"/>
      <c r="FC25" s="2041"/>
      <c r="FD25" s="2041"/>
      <c r="FE25" s="2041"/>
      <c r="FF25" s="2041"/>
      <c r="FG25" s="2041"/>
      <c r="FH25" s="2041"/>
      <c r="FI25" s="2041"/>
      <c r="FJ25" s="2041"/>
      <c r="FK25" s="2041"/>
      <c r="FL25" s="2041"/>
      <c r="FM25" s="2041"/>
      <c r="FN25" s="2041"/>
      <c r="FO25" s="2041"/>
      <c r="FP25" s="2041"/>
      <c r="FQ25" s="2041"/>
      <c r="FR25" s="2041"/>
      <c r="FS25" s="2041"/>
      <c r="FT25" s="2041"/>
      <c r="FU25" s="2041"/>
      <c r="FV25" s="2041"/>
      <c r="FW25" s="2041"/>
      <c r="FX25" s="2036"/>
      <c r="FY25" s="2027"/>
      <c r="FZ25" s="2027"/>
      <c r="GA25" s="2027"/>
      <c r="GB25" s="2027"/>
    </row>
    <row r="26" spans="1:185" s="2452" customFormat="1" ht="12" customHeight="1">
      <c r="A26" s="2027" t="s">
        <v>987</v>
      </c>
      <c r="B26" s="2026"/>
      <c r="C26" s="2027"/>
      <c r="D26" s="2027"/>
      <c r="E26" s="2027"/>
      <c r="F26" s="2219"/>
      <c r="G26" s="2220" t="s">
        <v>1167</v>
      </c>
      <c r="H26" s="2221"/>
      <c r="I26" s="2222"/>
      <c r="J26" s="2223"/>
      <c r="K26" s="2224"/>
      <c r="L26" s="2225"/>
      <c r="M26" s="2226"/>
      <c r="N26" s="2227"/>
      <c r="O26" s="2228"/>
      <c r="P26" s="2229"/>
      <c r="Q26" s="2230"/>
      <c r="R26" s="2231"/>
      <c r="S26" s="2232"/>
      <c r="T26" s="2233"/>
      <c r="U26" s="2234"/>
      <c r="V26" s="2235"/>
      <c r="W26" s="2236"/>
      <c r="X26" s="2237"/>
      <c r="Y26" s="2238"/>
      <c r="Z26" s="2239"/>
      <c r="AA26" s="2240"/>
      <c r="AB26" s="2241"/>
      <c r="AC26" s="2242"/>
      <c r="AD26" s="2243"/>
      <c r="AE26" s="2244"/>
      <c r="AF26" s="2245"/>
      <c r="AG26" s="2246"/>
      <c r="AH26" s="2247"/>
      <c r="AI26" s="2248"/>
      <c r="AJ26" s="2249"/>
      <c r="AK26" s="2250"/>
      <c r="AL26" s="2251"/>
      <c r="AM26" s="2252"/>
      <c r="AN26" s="2253"/>
      <c r="AO26" s="2254"/>
      <c r="AP26" s="2255"/>
      <c r="AQ26" s="2256"/>
      <c r="AR26" s="2257"/>
      <c r="AS26" s="2258"/>
      <c r="AT26" s="2259"/>
      <c r="AU26" s="2260"/>
      <c r="AV26" s="2261"/>
      <c r="AW26" s="2262"/>
      <c r="AX26" s="2263"/>
      <c r="AY26" s="2264"/>
      <c r="AZ26" s="2265"/>
      <c r="BA26" s="2266"/>
      <c r="BB26" s="2267"/>
      <c r="BC26" s="2268"/>
      <c r="BD26" s="2269"/>
      <c r="BE26" s="2270"/>
      <c r="BF26" s="2271"/>
      <c r="BG26" s="2272"/>
      <c r="BH26" s="2273"/>
      <c r="BI26" s="2274"/>
      <c r="BJ26" s="2275"/>
      <c r="BK26" s="2276"/>
      <c r="BL26" s="2277"/>
      <c r="BM26" s="2278"/>
      <c r="BN26" s="2279"/>
      <c r="BO26" s="2280"/>
      <c r="BP26" s="2281"/>
      <c r="BQ26" s="2282"/>
      <c r="BR26" s="2283"/>
      <c r="BS26" s="2284"/>
      <c r="BT26" s="2285"/>
      <c r="BU26" s="2286"/>
      <c r="BV26" s="2287"/>
      <c r="BW26" s="2288"/>
      <c r="BX26" s="2289"/>
      <c r="BY26" s="2290"/>
      <c r="BZ26" s="2291"/>
      <c r="CA26" s="2292"/>
      <c r="CB26" s="2293"/>
      <c r="CC26" s="2294"/>
      <c r="CD26" s="2295"/>
      <c r="CE26" s="2296"/>
      <c r="CF26" s="2297"/>
      <c r="CG26" s="2298"/>
      <c r="CH26" s="2299"/>
      <c r="CI26" s="2300"/>
      <c r="CJ26" s="2301"/>
      <c r="CK26" s="2302"/>
      <c r="CL26" s="2303"/>
      <c r="CM26" s="2304"/>
      <c r="CN26" s="2305"/>
      <c r="CO26" s="2306"/>
      <c r="CP26" s="2307"/>
      <c r="CQ26" s="2308"/>
      <c r="CR26" s="2309"/>
      <c r="CS26" s="2310"/>
      <c r="CT26" s="2311"/>
      <c r="CU26" s="2312"/>
      <c r="CV26" s="2313"/>
      <c r="CW26" s="2314"/>
      <c r="CX26" s="2315"/>
      <c r="CY26" s="2316"/>
      <c r="CZ26" s="2317"/>
      <c r="DA26" s="2318"/>
      <c r="DB26" s="2319"/>
      <c r="DC26" s="2320"/>
      <c r="DD26" s="2321"/>
      <c r="DE26" s="2322"/>
      <c r="DF26" s="2323"/>
      <c r="DG26" s="2324"/>
      <c r="DH26" s="2325"/>
      <c r="DI26" s="2326"/>
      <c r="DJ26" s="2327"/>
      <c r="DK26" s="2328"/>
      <c r="DL26" s="2329"/>
      <c r="DM26" s="2330"/>
      <c r="DN26" s="2331"/>
      <c r="DO26" s="2332"/>
      <c r="DP26" s="2333"/>
      <c r="DQ26" s="2334"/>
      <c r="DR26" s="2335"/>
      <c r="DS26" s="2336"/>
      <c r="DT26" s="2337"/>
      <c r="DU26" s="2338"/>
      <c r="DV26" s="2339"/>
      <c r="DW26" s="2340"/>
      <c r="DX26" s="2341"/>
      <c r="DY26" s="2342"/>
      <c r="DZ26" s="2343"/>
      <c r="EA26" s="2344"/>
      <c r="EB26" s="2345"/>
      <c r="EC26" s="2346"/>
      <c r="ED26" s="2347"/>
      <c r="EE26" s="2348"/>
      <c r="EF26" s="2349"/>
      <c r="EG26" s="2350"/>
      <c r="EH26" s="2351"/>
      <c r="EI26" s="2352"/>
      <c r="EJ26" s="2353"/>
      <c r="EK26" s="2354"/>
      <c r="EL26" s="2355"/>
      <c r="EM26" s="2356"/>
      <c r="EN26" s="2357"/>
      <c r="EO26" s="2358"/>
      <c r="EP26" s="2359"/>
      <c r="EQ26" s="2360"/>
      <c r="ER26" s="2361"/>
      <c r="ES26" s="2362"/>
      <c r="ET26" s="2363"/>
      <c r="EU26" s="2364"/>
      <c r="EV26" s="2365"/>
      <c r="EW26" s="2366"/>
      <c r="EX26" s="2367"/>
      <c r="EY26" s="2368"/>
      <c r="EZ26" s="2369"/>
      <c r="FA26" s="2370"/>
      <c r="FB26" s="2371"/>
      <c r="FC26" s="2372"/>
      <c r="FD26" s="2373"/>
      <c r="FE26" s="2374"/>
      <c r="FF26" s="2375"/>
      <c r="FG26" s="2376"/>
      <c r="FH26" s="2377"/>
      <c r="FI26" s="2378"/>
      <c r="FJ26" s="2379"/>
      <c r="FK26" s="2380"/>
      <c r="FL26" s="2381"/>
      <c r="FM26" s="2382"/>
      <c r="FN26" s="2383"/>
      <c r="FO26" s="2384"/>
      <c r="FP26" s="2385"/>
      <c r="FQ26" s="2386"/>
      <c r="FR26" s="2387"/>
      <c r="FS26" s="2388"/>
      <c r="FT26" s="2389"/>
      <c r="FU26" s="2390"/>
      <c r="FV26" s="2391"/>
      <c r="FW26" s="2392"/>
      <c r="FX26" s="2217"/>
      <c r="FY26" s="2218"/>
      <c r="FZ26" s="2218"/>
      <c r="GA26" s="2218"/>
      <c r="GB26" s="2218"/>
    </row>
    <row r="27" spans="1:185" s="2447" customFormat="1" ht="12.75" customHeight="1">
      <c r="A27" s="866"/>
      <c r="B27" s="866"/>
      <c r="C27" s="866"/>
      <c r="D27" s="866"/>
      <c r="E27" s="866"/>
      <c r="F27" s="864"/>
      <c r="G27" s="864"/>
      <c r="H27" s="864"/>
      <c r="I27" s="864"/>
      <c r="J27" s="864"/>
      <c r="K27" s="864"/>
      <c r="L27" s="864"/>
      <c r="M27" s="864"/>
      <c r="N27" s="864"/>
      <c r="O27" s="864"/>
      <c r="P27" s="864"/>
      <c r="Q27" s="864"/>
      <c r="R27" s="864"/>
      <c r="S27" s="867"/>
      <c r="T27" s="867"/>
      <c r="U27" s="864"/>
      <c r="V27" s="864"/>
      <c r="W27" s="864"/>
      <c r="X27" s="864"/>
      <c r="Y27" s="864"/>
      <c r="Z27" s="864"/>
      <c r="AA27" s="864"/>
      <c r="AB27" s="864"/>
      <c r="AC27" s="864"/>
      <c r="AD27" s="864"/>
      <c r="AE27" s="864"/>
      <c r="AF27" s="864"/>
      <c r="AG27" s="864"/>
      <c r="AH27" s="864"/>
      <c r="AI27" s="864"/>
      <c r="AJ27" s="864"/>
      <c r="AK27" s="864"/>
      <c r="AL27" s="864"/>
      <c r="AM27" s="864"/>
      <c r="AN27" s="864"/>
      <c r="AO27" s="864"/>
      <c r="AP27" s="864"/>
      <c r="AQ27" s="864"/>
      <c r="AR27" s="864"/>
      <c r="AS27" s="864"/>
      <c r="AT27" s="864"/>
      <c r="AU27" s="864"/>
      <c r="AV27" s="864"/>
      <c r="AW27" s="864"/>
      <c r="AX27" s="864"/>
      <c r="AY27" s="864"/>
      <c r="AZ27" s="864"/>
      <c r="BA27" s="864"/>
      <c r="BB27" s="864"/>
      <c r="BC27" s="864"/>
      <c r="BD27" s="864"/>
      <c r="BE27" s="864"/>
      <c r="BF27" s="864"/>
      <c r="BG27" s="864"/>
      <c r="BH27" s="864"/>
      <c r="BI27" s="864"/>
      <c r="BJ27" s="864"/>
      <c r="BK27" s="864"/>
      <c r="BL27" s="864"/>
      <c r="BM27" s="864"/>
      <c r="BN27" s="864"/>
      <c r="BO27" s="864"/>
      <c r="BP27" s="864"/>
      <c r="BQ27" s="864"/>
      <c r="BR27" s="864"/>
      <c r="BS27" s="864"/>
      <c r="BT27" s="864"/>
      <c r="BU27" s="864"/>
      <c r="BV27" s="864"/>
      <c r="BW27" s="864"/>
      <c r="BX27" s="864"/>
      <c r="BY27" s="864"/>
      <c r="BZ27" s="864"/>
      <c r="CA27" s="864"/>
      <c r="CB27" s="864"/>
      <c r="CC27" s="864"/>
      <c r="CD27" s="864"/>
      <c r="CE27" s="864"/>
      <c r="CF27" s="864"/>
      <c r="CG27" s="864"/>
      <c r="CH27" s="864"/>
      <c r="CI27" s="864"/>
      <c r="CJ27" s="864"/>
      <c r="CK27" s="864"/>
      <c r="CL27" s="864"/>
      <c r="CM27" s="864"/>
      <c r="CN27" s="864"/>
      <c r="CO27" s="864"/>
      <c r="CP27" s="864"/>
      <c r="CQ27" s="864"/>
      <c r="CR27" s="864"/>
      <c r="CS27" s="864"/>
      <c r="CT27" s="864"/>
      <c r="CU27" s="864"/>
      <c r="CV27" s="864"/>
      <c r="CW27" s="864"/>
      <c r="CX27" s="864"/>
      <c r="CY27" s="864"/>
      <c r="CZ27" s="864"/>
      <c r="DA27" s="864"/>
      <c r="DB27" s="864"/>
      <c r="DC27" s="864"/>
      <c r="DD27" s="864"/>
      <c r="DE27" s="864"/>
      <c r="DF27" s="864"/>
      <c r="DG27" s="864"/>
      <c r="DH27" s="864"/>
      <c r="DI27" s="864"/>
      <c r="DJ27" s="864"/>
      <c r="DK27" s="864"/>
      <c r="DL27" s="864"/>
      <c r="DM27" s="864"/>
      <c r="DN27" s="864"/>
      <c r="DO27" s="864"/>
      <c r="DP27" s="864"/>
      <c r="DQ27" s="864"/>
      <c r="DR27" s="864"/>
      <c r="DS27" s="864"/>
      <c r="DT27" s="864"/>
      <c r="DU27" s="864"/>
      <c r="DV27" s="864"/>
      <c r="DW27" s="864"/>
      <c r="DX27" s="864"/>
      <c r="DY27" s="864"/>
      <c r="DZ27" s="864"/>
      <c r="EA27" s="864"/>
      <c r="EB27" s="864"/>
      <c r="EC27" s="864"/>
      <c r="ED27" s="864"/>
      <c r="EE27" s="864"/>
      <c r="EF27" s="864"/>
      <c r="EG27" s="864"/>
      <c r="EH27" s="864"/>
      <c r="EI27" s="864"/>
      <c r="EJ27" s="864"/>
      <c r="EK27" s="864"/>
      <c r="EL27" s="864"/>
      <c r="EM27" s="864"/>
      <c r="EN27" s="864"/>
      <c r="EO27" s="864"/>
      <c r="EP27" s="864"/>
      <c r="EQ27" s="864"/>
      <c r="ER27" s="864"/>
      <c r="ES27" s="864"/>
      <c r="ET27" s="864"/>
      <c r="EU27" s="864"/>
      <c r="EV27" s="864"/>
      <c r="EW27" s="864"/>
      <c r="EX27" s="864"/>
      <c r="EY27" s="864"/>
      <c r="EZ27" s="864"/>
      <c r="FA27" s="864"/>
      <c r="FB27" s="864"/>
      <c r="FC27" s="864"/>
      <c r="FD27" s="864"/>
      <c r="FE27" s="864"/>
      <c r="FF27" s="864"/>
      <c r="FG27" s="864"/>
      <c r="FH27" s="864"/>
      <c r="FI27" s="864"/>
      <c r="FJ27" s="864"/>
      <c r="FK27" s="864"/>
      <c r="FL27" s="864"/>
      <c r="FM27" s="864"/>
      <c r="FN27" s="864"/>
      <c r="FO27" s="864"/>
      <c r="FP27" s="864"/>
      <c r="FQ27" s="864"/>
      <c r="FR27" s="864"/>
      <c r="FS27" s="864"/>
      <c r="FT27" s="864"/>
      <c r="FU27" s="864"/>
      <c r="FV27" s="864"/>
      <c r="FW27" s="864"/>
      <c r="FX27" s="866"/>
      <c r="FY27" s="866"/>
      <c r="FZ27" s="866"/>
      <c r="GA27" s="866"/>
      <c r="GB27" s="866"/>
      <c r="GC27" s="847">
        <v>12</v>
      </c>
    </row>
    <row r="28" spans="1:185" s="2447" customFormat="1" ht="12.75" customHeight="1">
      <c r="A28" s="866"/>
      <c r="B28" s="866"/>
      <c r="C28" s="866"/>
      <c r="D28" s="866"/>
      <c r="E28" s="866"/>
      <c r="FX28" s="866"/>
      <c r="FY28" s="866"/>
      <c r="FZ28" s="866"/>
      <c r="GA28" s="866"/>
      <c r="GB28" s="866"/>
      <c r="GC28" s="847">
        <v>12</v>
      </c>
    </row>
    <row r="29" spans="1:185" s="2453" customFormat="1" ht="12.75" customHeight="1">
      <c r="A29" s="985"/>
      <c r="B29" s="985"/>
      <c r="C29" s="985"/>
      <c r="D29" s="985"/>
      <c r="E29" s="985"/>
      <c r="O29" s="987"/>
      <c r="P29" s="987"/>
      <c r="Q29" s="987"/>
      <c r="R29" s="987"/>
      <c r="S29" s="987"/>
      <c r="T29" s="987"/>
      <c r="U29" s="987"/>
      <c r="V29" s="987"/>
      <c r="W29" s="987"/>
      <c r="X29" s="987"/>
      <c r="Y29" s="987"/>
      <c r="Z29" s="987"/>
      <c r="AA29" s="987"/>
      <c r="AB29" s="987"/>
      <c r="AC29" s="987"/>
      <c r="AD29" s="987"/>
      <c r="AE29" s="987"/>
      <c r="AF29" s="987"/>
      <c r="AG29" s="987"/>
      <c r="AH29" s="987"/>
      <c r="AI29" s="987"/>
      <c r="AJ29" s="987"/>
      <c r="AK29" s="987"/>
      <c r="AL29" s="987"/>
      <c r="AM29" s="987"/>
      <c r="AN29" s="987"/>
      <c r="AO29" s="987"/>
      <c r="AP29" s="987"/>
      <c r="AQ29" s="987"/>
      <c r="AR29" s="987"/>
      <c r="AS29" s="987"/>
      <c r="AT29" s="987"/>
      <c r="AU29" s="987"/>
      <c r="AV29" s="987"/>
      <c r="AW29" s="987"/>
      <c r="AX29" s="987"/>
      <c r="AY29" s="987"/>
      <c r="AZ29" s="987"/>
      <c r="BA29" s="987"/>
      <c r="BB29" s="987"/>
      <c r="BC29" s="987"/>
      <c r="BD29" s="987"/>
      <c r="BE29" s="987"/>
      <c r="BF29" s="987"/>
      <c r="BG29" s="987"/>
      <c r="BH29" s="987"/>
      <c r="BI29" s="987"/>
      <c r="BJ29" s="987"/>
      <c r="BK29" s="987"/>
      <c r="BL29" s="987"/>
      <c r="BM29" s="987"/>
      <c r="BN29" s="987"/>
      <c r="BO29" s="987"/>
      <c r="BP29" s="987"/>
      <c r="BQ29" s="987"/>
      <c r="BR29" s="987"/>
      <c r="BS29" s="987"/>
      <c r="BT29" s="988"/>
      <c r="BU29" s="988"/>
      <c r="BV29" s="988"/>
      <c r="BW29" s="988"/>
      <c r="BX29" s="988"/>
      <c r="BY29" s="988"/>
      <c r="BZ29" s="988"/>
      <c r="CA29" s="988"/>
      <c r="CB29" s="988"/>
      <c r="CC29" s="988"/>
      <c r="CD29" s="988"/>
      <c r="CE29" s="988"/>
      <c r="CF29" s="988"/>
      <c r="CG29" s="988"/>
      <c r="CH29" s="988"/>
      <c r="CI29" s="988"/>
      <c r="CJ29" s="988"/>
      <c r="CK29" s="988"/>
      <c r="CL29" s="988"/>
      <c r="CM29" s="988"/>
      <c r="CN29" s="988"/>
      <c r="CO29" s="988"/>
      <c r="CP29" s="988"/>
      <c r="CQ29" s="988"/>
      <c r="CR29" s="988"/>
      <c r="CS29" s="988"/>
      <c r="CT29" s="988"/>
      <c r="CU29" s="988"/>
      <c r="CV29" s="988"/>
      <c r="CW29" s="988"/>
      <c r="CX29" s="988"/>
      <c r="CY29" s="988"/>
      <c r="CZ29" s="988"/>
      <c r="DA29" s="988"/>
      <c r="DB29" s="988"/>
      <c r="DC29" s="988"/>
      <c r="DD29" s="988"/>
      <c r="DE29" s="988"/>
      <c r="DF29" s="988"/>
      <c r="DG29" s="988"/>
      <c r="DH29" s="988"/>
      <c r="DI29" s="988"/>
      <c r="DJ29" s="988"/>
      <c r="DK29" s="988"/>
      <c r="DL29" s="988"/>
      <c r="DM29" s="988"/>
      <c r="DN29" s="988"/>
      <c r="DO29" s="988"/>
      <c r="DP29" s="988"/>
      <c r="DQ29" s="988"/>
      <c r="DR29" s="988"/>
      <c r="DS29" s="988"/>
      <c r="DT29" s="988"/>
      <c r="DU29" s="988"/>
      <c r="DV29" s="988"/>
      <c r="DW29" s="988"/>
      <c r="DX29" s="988"/>
      <c r="FX29" s="985"/>
      <c r="FY29" s="985"/>
      <c r="FZ29" s="985"/>
      <c r="GA29" s="985"/>
      <c r="GB29" s="985"/>
      <c r="GC29" s="986">
        <v>12</v>
      </c>
    </row>
    <row r="30" spans="1:185" ht="12.75" customHeight="1">
      <c r="S30" s="863"/>
      <c r="T30" s="863"/>
      <c r="U30" s="863"/>
      <c r="V30" s="863"/>
      <c r="W30" s="863"/>
      <c r="X30" s="863"/>
      <c r="Y30" s="863"/>
      <c r="Z30" s="863"/>
      <c r="AA30" s="863"/>
      <c r="AB30" s="863"/>
      <c r="FX30" s="863"/>
      <c r="FY30" s="863"/>
      <c r="FZ30" s="863"/>
      <c r="GA30" s="863"/>
      <c r="GB30" s="863"/>
      <c r="GC30" s="851">
        <v>12</v>
      </c>
    </row>
    <row r="31" spans="1:185" ht="12" hidden="1" customHeight="1">
      <c r="A31" s="851" t="s">
        <v>78</v>
      </c>
      <c r="B31" s="861">
        <v>0</v>
      </c>
      <c r="C31" s="851">
        <v>0</v>
      </c>
      <c r="D31" s="851">
        <v>0</v>
      </c>
      <c r="E31" s="851">
        <v>3</v>
      </c>
      <c r="F31" s="851">
        <v>6</v>
      </c>
      <c r="G31" s="851">
        <v>18</v>
      </c>
      <c r="H31" s="851">
        <v>27</v>
      </c>
      <c r="I31" s="851">
        <v>18</v>
      </c>
      <c r="J31" s="851">
        <v>0</v>
      </c>
      <c r="K31" s="851">
        <v>0</v>
      </c>
      <c r="L31" s="851">
        <v>0</v>
      </c>
      <c r="M31" s="851">
        <v>0</v>
      </c>
      <c r="N31" s="851">
        <v>0</v>
      </c>
      <c r="O31" s="851">
        <v>0</v>
      </c>
      <c r="P31" s="851">
        <v>0</v>
      </c>
      <c r="Q31" s="851">
        <v>0</v>
      </c>
      <c r="R31" s="851">
        <v>0</v>
      </c>
      <c r="S31" s="851">
        <v>0</v>
      </c>
      <c r="T31" s="851">
        <v>0</v>
      </c>
      <c r="U31" s="851">
        <v>0</v>
      </c>
      <c r="V31" s="851">
        <v>0</v>
      </c>
      <c r="W31" s="851">
        <v>0</v>
      </c>
      <c r="X31" s="851">
        <v>0</v>
      </c>
      <c r="Y31" s="851">
        <v>0</v>
      </c>
      <c r="Z31" s="851">
        <v>0</v>
      </c>
      <c r="AA31" s="851">
        <v>0</v>
      </c>
      <c r="AB31" s="851">
        <v>0</v>
      </c>
      <c r="AC31" s="851">
        <v>0</v>
      </c>
      <c r="AD31" s="851">
        <v>0</v>
      </c>
      <c r="AE31" s="851">
        <v>0</v>
      </c>
      <c r="AF31" s="851">
        <v>0</v>
      </c>
      <c r="AG31" s="851">
        <v>0</v>
      </c>
      <c r="AH31" s="851">
        <v>0</v>
      </c>
      <c r="AI31" s="851">
        <v>0</v>
      </c>
      <c r="AJ31" s="851">
        <v>0</v>
      </c>
      <c r="AK31" s="851">
        <v>0</v>
      </c>
      <c r="AL31" s="851">
        <v>0</v>
      </c>
      <c r="AM31" s="851">
        <v>0</v>
      </c>
      <c r="AN31" s="851">
        <v>0</v>
      </c>
      <c r="AO31" s="851">
        <v>0</v>
      </c>
      <c r="AP31" s="851">
        <v>0</v>
      </c>
      <c r="AQ31" s="851">
        <v>0</v>
      </c>
      <c r="AR31" s="851">
        <v>0</v>
      </c>
      <c r="AS31" s="851">
        <v>0</v>
      </c>
      <c r="AT31" s="851">
        <v>0</v>
      </c>
      <c r="AU31" s="851">
        <v>0</v>
      </c>
      <c r="AV31" s="851">
        <v>0</v>
      </c>
      <c r="AW31" s="851">
        <v>0</v>
      </c>
      <c r="AX31" s="851">
        <v>0</v>
      </c>
      <c r="AY31" s="851">
        <v>0</v>
      </c>
      <c r="AZ31" s="851">
        <v>0</v>
      </c>
      <c r="BA31" s="851">
        <v>0</v>
      </c>
      <c r="BB31" s="851">
        <v>0</v>
      </c>
      <c r="BC31" s="851">
        <v>0</v>
      </c>
      <c r="BD31" s="851">
        <v>0</v>
      </c>
      <c r="BE31" s="851">
        <v>0</v>
      </c>
      <c r="BF31" s="851">
        <v>0</v>
      </c>
      <c r="BG31" s="851">
        <v>0</v>
      </c>
      <c r="BH31" s="851">
        <v>0</v>
      </c>
      <c r="BI31" s="851">
        <v>0</v>
      </c>
      <c r="BJ31" s="851">
        <v>0</v>
      </c>
      <c r="BK31" s="851">
        <v>0</v>
      </c>
      <c r="BL31" s="851">
        <v>0</v>
      </c>
      <c r="BM31" s="851">
        <v>0</v>
      </c>
      <c r="BN31" s="851">
        <v>0</v>
      </c>
      <c r="BO31" s="851">
        <v>0</v>
      </c>
      <c r="BP31" s="851">
        <v>0</v>
      </c>
      <c r="BQ31" s="851">
        <v>0</v>
      </c>
      <c r="BR31" s="851">
        <v>0</v>
      </c>
      <c r="BS31" s="851">
        <v>0</v>
      </c>
      <c r="BT31" s="851">
        <v>0</v>
      </c>
      <c r="BU31" s="851">
        <v>0</v>
      </c>
      <c r="BV31" s="851">
        <v>0</v>
      </c>
      <c r="BW31" s="851">
        <v>0</v>
      </c>
      <c r="BX31" s="851">
        <v>0</v>
      </c>
      <c r="BY31" s="851">
        <v>0</v>
      </c>
      <c r="BZ31" s="851">
        <v>0</v>
      </c>
      <c r="CA31" s="851">
        <v>0</v>
      </c>
      <c r="CB31" s="851">
        <v>0</v>
      </c>
      <c r="CC31" s="851">
        <v>0</v>
      </c>
      <c r="CD31" s="851">
        <v>0</v>
      </c>
      <c r="CE31" s="851">
        <v>0</v>
      </c>
      <c r="CF31" s="851">
        <v>0</v>
      </c>
      <c r="CG31" s="851">
        <v>0</v>
      </c>
      <c r="CH31" s="851">
        <v>0</v>
      </c>
      <c r="CI31" s="851">
        <v>0</v>
      </c>
      <c r="CJ31" s="851">
        <v>0</v>
      </c>
      <c r="CK31" s="851">
        <v>0</v>
      </c>
      <c r="CL31" s="851">
        <v>0</v>
      </c>
      <c r="CM31" s="851">
        <v>0</v>
      </c>
      <c r="CN31" s="851">
        <v>0</v>
      </c>
      <c r="CO31" s="851">
        <v>0</v>
      </c>
      <c r="CP31" s="851">
        <v>0</v>
      </c>
      <c r="CQ31" s="851">
        <v>0</v>
      </c>
      <c r="CR31" s="851">
        <v>0</v>
      </c>
      <c r="CS31" s="851">
        <v>0</v>
      </c>
      <c r="CT31" s="851">
        <v>0</v>
      </c>
      <c r="CU31" s="851">
        <v>0</v>
      </c>
      <c r="CV31" s="851">
        <v>0</v>
      </c>
      <c r="CW31" s="851">
        <v>0</v>
      </c>
      <c r="CX31" s="851">
        <v>0</v>
      </c>
      <c r="CY31" s="851">
        <v>0</v>
      </c>
      <c r="CZ31" s="851">
        <v>0</v>
      </c>
      <c r="DA31" s="851">
        <v>0</v>
      </c>
      <c r="DB31" s="851">
        <v>0</v>
      </c>
      <c r="DC31" s="851">
        <v>0</v>
      </c>
      <c r="DD31" s="851">
        <v>0</v>
      </c>
      <c r="DE31" s="851">
        <v>0</v>
      </c>
      <c r="DF31" s="851">
        <v>0</v>
      </c>
      <c r="DG31" s="851">
        <v>0</v>
      </c>
      <c r="DH31" s="851">
        <v>0</v>
      </c>
      <c r="DI31" s="851">
        <v>0</v>
      </c>
      <c r="DJ31" s="851">
        <v>0</v>
      </c>
      <c r="DK31" s="851">
        <v>0</v>
      </c>
      <c r="DL31" s="851">
        <v>0</v>
      </c>
      <c r="DM31" s="851">
        <v>0</v>
      </c>
      <c r="DN31" s="851">
        <v>0</v>
      </c>
      <c r="DO31" s="851">
        <v>0</v>
      </c>
      <c r="DP31" s="851">
        <v>0</v>
      </c>
      <c r="DQ31" s="851">
        <v>0</v>
      </c>
      <c r="DR31" s="851">
        <v>0</v>
      </c>
      <c r="DS31" s="851">
        <v>0</v>
      </c>
      <c r="DT31" s="851">
        <v>0</v>
      </c>
      <c r="DU31" s="851">
        <v>0</v>
      </c>
      <c r="DV31" s="851">
        <v>0</v>
      </c>
      <c r="DW31" s="851">
        <v>0</v>
      </c>
      <c r="DX31" s="851">
        <v>0</v>
      </c>
      <c r="DY31" s="851">
        <v>0</v>
      </c>
      <c r="DZ31" s="851">
        <v>0</v>
      </c>
      <c r="EA31" s="851">
        <v>0</v>
      </c>
      <c r="EB31" s="851">
        <v>0</v>
      </c>
      <c r="EC31" s="851">
        <v>0</v>
      </c>
      <c r="ED31" s="851">
        <v>0</v>
      </c>
      <c r="EE31" s="851">
        <v>0</v>
      </c>
      <c r="EF31" s="851">
        <v>0</v>
      </c>
      <c r="EG31" s="851">
        <v>0</v>
      </c>
      <c r="EH31" s="851">
        <v>0</v>
      </c>
      <c r="EI31" s="851">
        <v>0</v>
      </c>
      <c r="EJ31" s="851">
        <v>0</v>
      </c>
      <c r="EK31" s="851">
        <v>0</v>
      </c>
      <c r="EL31" s="851">
        <v>0</v>
      </c>
      <c r="EM31" s="851">
        <v>0</v>
      </c>
      <c r="EN31" s="851">
        <v>0</v>
      </c>
      <c r="EO31" s="851">
        <v>0</v>
      </c>
      <c r="EP31" s="851">
        <v>0</v>
      </c>
      <c r="EQ31" s="851">
        <v>0</v>
      </c>
      <c r="ER31" s="851">
        <v>0</v>
      </c>
      <c r="ES31" s="851">
        <v>0</v>
      </c>
      <c r="ET31" s="851">
        <v>0</v>
      </c>
      <c r="EU31" s="851">
        <v>0</v>
      </c>
      <c r="EV31" s="851">
        <v>0</v>
      </c>
      <c r="EW31" s="851">
        <v>0</v>
      </c>
      <c r="EX31" s="851">
        <v>0</v>
      </c>
      <c r="EY31" s="851">
        <v>0</v>
      </c>
      <c r="EZ31" s="851">
        <v>0</v>
      </c>
      <c r="FA31" s="851">
        <v>0</v>
      </c>
      <c r="FB31" s="851">
        <v>0</v>
      </c>
      <c r="FC31" s="851">
        <v>0</v>
      </c>
      <c r="FD31" s="851">
        <v>0</v>
      </c>
      <c r="FE31" s="851">
        <v>0</v>
      </c>
      <c r="FF31" s="851">
        <v>0</v>
      </c>
      <c r="FG31" s="851">
        <v>0</v>
      </c>
      <c r="FH31" s="851">
        <v>0</v>
      </c>
      <c r="FI31" s="851">
        <v>0</v>
      </c>
      <c r="FJ31" s="851">
        <v>0</v>
      </c>
      <c r="FK31" s="851">
        <v>0</v>
      </c>
      <c r="FL31" s="851">
        <v>0</v>
      </c>
      <c r="FM31" s="851">
        <v>0</v>
      </c>
      <c r="FN31" s="851">
        <v>0</v>
      </c>
      <c r="FO31" s="851">
        <v>0</v>
      </c>
      <c r="FP31" s="851">
        <v>0</v>
      </c>
      <c r="FQ31" s="851">
        <v>0</v>
      </c>
      <c r="FR31" s="851">
        <v>0</v>
      </c>
      <c r="FS31" s="851">
        <v>0</v>
      </c>
      <c r="FT31" s="851">
        <v>0</v>
      </c>
      <c r="FU31" s="851">
        <v>0</v>
      </c>
      <c r="FV31" s="851">
        <v>0</v>
      </c>
      <c r="FW31" s="851">
        <v>0</v>
      </c>
      <c r="FX31" s="851">
        <v>8</v>
      </c>
      <c r="FY31" s="851">
        <v>8</v>
      </c>
      <c r="FZ31" s="851">
        <v>8</v>
      </c>
      <c r="GA31" s="851">
        <v>8</v>
      </c>
      <c r="GB31" s="851">
        <v>8</v>
      </c>
      <c r="GC31"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93">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398" hidden="1" customWidth="1"/>
    <col min="2" max="2" width="9.140625" style="2400" hidden="1" customWidth="1"/>
    <col min="3" max="3" width="4" style="2444" customWidth="1"/>
    <col min="4" max="4" width="6" style="2400" customWidth="1"/>
    <col min="5" max="5" width="36" style="2400" customWidth="1"/>
    <col min="6" max="6" width="9" style="2400" customWidth="1"/>
    <col min="7" max="7" width="42.42578125" style="2400" hidden="1" customWidth="1"/>
    <col min="8" max="8" width="40.7109375" style="2400" customWidth="1"/>
    <col min="9" max="9" width="93" style="2406" customWidth="1"/>
    <col min="10" max="17" width="10" style="2400" customWidth="1"/>
    <col min="18" max="18" width="10" style="2445" customWidth="1"/>
    <col min="19" max="19" width="10.5703125" style="2400" hidden="1"/>
  </cols>
  <sheetData>
    <row r="1" spans="1:19" s="2406" customFormat="1" ht="15" hidden="1" customHeight="1">
      <c r="C1" s="608"/>
      <c r="H1" s="353">
        <v>4</v>
      </c>
      <c r="R1" s="356"/>
      <c r="S1" s="353" t="s">
        <v>14</v>
      </c>
    </row>
    <row r="2" spans="1:19" ht="22.5" hidden="1" customHeight="1">
      <c r="C2" s="1840" t="s">
        <v>680</v>
      </c>
      <c r="D2" s="475"/>
      <c r="E2" s="599"/>
      <c r="F2" s="1678" t="str">
        <f>IF(TEMPLATE_SPHERE="HEAT","Гкал/час","тыс. куб. м/сутки")</f>
        <v>Гкал/час</v>
      </c>
      <c r="G2" s="616"/>
      <c r="H2" s="616"/>
      <c r="I2" s="226"/>
      <c r="S2" s="441">
        <v>0</v>
      </c>
    </row>
    <row r="3" spans="1:19" s="2406" customFormat="1" ht="15" hidden="1" customHeight="1">
      <c r="C3" s="608"/>
      <c r="R3" s="356"/>
      <c r="S3" s="353">
        <v>0</v>
      </c>
    </row>
    <row r="4" spans="1:19" ht="15.75" customHeight="1">
      <c r="C4" s="113"/>
      <c r="D4" s="445"/>
      <c r="E4" s="445"/>
      <c r="F4" s="445"/>
      <c r="G4" s="445"/>
      <c r="H4" s="445"/>
      <c r="S4" s="441">
        <v>15</v>
      </c>
    </row>
    <row r="5" spans="1:19" ht="39.75" customHeight="1">
      <c r="C5" s="113"/>
      <c r="D5" s="262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23"/>
      <c r="F5" s="2623"/>
      <c r="G5" s="2623"/>
      <c r="H5" s="2623"/>
      <c r="I5" s="473"/>
      <c r="S5" s="441">
        <v>38</v>
      </c>
    </row>
    <row r="6" spans="1:19" ht="15.75" customHeight="1">
      <c r="C6" s="113"/>
      <c r="D6" s="2595" t="str">
        <f>IF(org=0,"Не определено",org)</f>
        <v>ПАО "ТГК-1" (филиал "Кольский")</v>
      </c>
      <c r="E6" s="2595"/>
      <c r="F6" s="2595"/>
      <c r="G6" s="2595"/>
      <c r="H6" s="2595"/>
      <c r="I6" s="473"/>
      <c r="S6" s="441">
        <v>15</v>
      </c>
    </row>
    <row r="7" spans="1:19" s="240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110</v>
      </c>
      <c r="S8" s="441">
        <v>1</v>
      </c>
    </row>
    <row r="9" spans="1:19" ht="15.75" customHeight="1">
      <c r="C9" s="113"/>
      <c r="D9" s="647"/>
      <c r="E9" s="2729" t="s">
        <v>98</v>
      </c>
      <c r="F9" s="2730"/>
      <c r="G9" s="746" t="str">
        <f>IF(G8="","",INDEX(DIFFERENTIATION_UNMERGE_VD,MATCH(G8,DIFFERENTIATION_ID_DIFF,0)))</f>
        <v/>
      </c>
      <c r="H9" s="746">
        <f>IF(H8="","",INDEX(DIFFERENTIATION_UNMERGE_VD,MATCH(H8,DIFFERENTIATION_ID_DIFF,0)))</f>
        <v>0</v>
      </c>
      <c r="I9" s="2514" t="s">
        <v>292</v>
      </c>
      <c r="S9" s="441">
        <v>15</v>
      </c>
    </row>
    <row r="10" spans="1:19" s="2400" customFormat="1" ht="15.75" customHeight="1">
      <c r="A10" s="693"/>
      <c r="C10" s="113"/>
      <c r="D10" s="647"/>
      <c r="E10" s="2729" t="s">
        <v>555</v>
      </c>
      <c r="F10" s="2730"/>
      <c r="G10" s="746" t="str">
        <f>IF(G8="","",INDEX(DIFFERENTIATION_UNMERGE_AREA,MATCH(G8,DIFFERENTIATION_ID_DIFF,0)))</f>
        <v/>
      </c>
      <c r="H10" s="746" t="str">
        <f>IF(H8="","",INDEX(DIFFERENTIATION_UNMERGE_AREA,MATCH(H8,DIFFERENTIATION_ID_DIFF,0)))</f>
        <v/>
      </c>
      <c r="I10" s="2514"/>
      <c r="R10" s="611"/>
      <c r="S10" s="692">
        <v>15</v>
      </c>
    </row>
    <row r="11" spans="1:19" s="2400" customFormat="1" ht="15.75" customHeight="1">
      <c r="A11" s="693"/>
      <c r="C11" s="113"/>
      <c r="D11" s="647"/>
      <c r="E11" s="2729" t="s">
        <v>556</v>
      </c>
      <c r="F11" s="2730"/>
      <c r="G11" s="746" t="str">
        <f>IF(G8="","",INDEX(DIFFERENTIATION_UNMERGE_SYSTEM,MATCH(G8,DIFFERENTIATION_ID_DIFF,0)))</f>
        <v/>
      </c>
      <c r="H11" s="746" t="str">
        <f>IF(H8="","",INDEX(DIFFERENTIATION_UNMERGE_SYSTEM,MATCH(H8,DIFFERENTIATION_ID_DIFF,0)))</f>
        <v>без дифференциации</v>
      </c>
      <c r="I11" s="2514"/>
      <c r="R11" s="611"/>
      <c r="S11" s="692">
        <v>15</v>
      </c>
    </row>
    <row r="12" spans="1:19" s="2400" customFormat="1" ht="15.75" customHeight="1">
      <c r="A12" s="693"/>
      <c r="C12" s="113"/>
      <c r="D12" s="2731" t="s">
        <v>291</v>
      </c>
      <c r="E12" s="2732"/>
      <c r="F12" s="2732"/>
      <c r="G12" s="812"/>
      <c r="H12" s="812"/>
      <c r="I12" s="2514"/>
      <c r="R12" s="611"/>
      <c r="S12" s="692">
        <v>15</v>
      </c>
    </row>
    <row r="13" spans="1:19" ht="35.65" customHeight="1">
      <c r="C13" s="113"/>
      <c r="D13" s="695" t="s">
        <v>84</v>
      </c>
      <c r="E13" s="694" t="s">
        <v>293</v>
      </c>
      <c r="F13" s="694" t="s">
        <v>557</v>
      </c>
      <c r="G13" s="738" t="s">
        <v>294</v>
      </c>
      <c r="H13" s="690" t="s">
        <v>294</v>
      </c>
      <c r="I13" s="2514"/>
      <c r="S13" s="441">
        <v>34</v>
      </c>
    </row>
    <row r="14" spans="1:19" ht="15" hidden="1" customHeight="1">
      <c r="C14" s="113"/>
      <c r="D14" s="529" t="s">
        <v>102</v>
      </c>
      <c r="E14" s="529" t="s">
        <v>103</v>
      </c>
      <c r="F14" s="529" t="s">
        <v>86</v>
      </c>
      <c r="G14" s="595" t="str">
        <f>G1&amp;".1"</f>
        <v>.1</v>
      </c>
      <c r="H14" s="595" t="str">
        <f>H1&amp;".1"</f>
        <v>4.1</v>
      </c>
      <c r="I14" s="226"/>
      <c r="S14" s="441">
        <v>0</v>
      </c>
    </row>
    <row r="15" spans="1:19" ht="15.75" customHeight="1">
      <c r="A15" s="441"/>
      <c r="C15" s="462"/>
      <c r="D15" s="457">
        <v>1</v>
      </c>
      <c r="E15" s="1842" t="str">
        <f>TP_P_A</f>
        <v>Количество поданных заявок</v>
      </c>
      <c r="F15" s="457" t="s">
        <v>1168</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2" t="str">
        <f>TP_P_B</f>
        <v>Количество рассмотренных заявок</v>
      </c>
      <c r="F16" s="457" t="s">
        <v>1168</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1168</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297</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1169</v>
      </c>
      <c r="E20" s="624"/>
      <c r="F20" s="445"/>
      <c r="G20" s="445"/>
      <c r="H20" s="445"/>
      <c r="I20" s="1680"/>
      <c r="S20" s="441">
        <v>0</v>
      </c>
    </row>
    <row r="21" spans="1:19" ht="29.25" customHeight="1">
      <c r="C21" s="387"/>
      <c r="D21" s="475" t="s">
        <v>304</v>
      </c>
      <c r="E21" s="606"/>
      <c r="F21" s="1678" t="str">
        <f>IF(TEMPLATE_SPHERE="HEAT","Гкал/час","тыс. куб. м/сутки")</f>
        <v>Гкал/час</v>
      </c>
      <c r="G21" s="616"/>
      <c r="H21" s="616"/>
      <c r="I21" s="255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1170</v>
      </c>
      <c r="F22" s="508"/>
      <c r="G22" s="508"/>
      <c r="H22" s="508"/>
      <c r="I22" s="2560"/>
      <c r="R22" s="441"/>
      <c r="S22" s="441">
        <v>15</v>
      </c>
    </row>
    <row r="23" spans="1:19" ht="22.5" hidden="1" customHeight="1">
      <c r="A23" s="385" t="s">
        <v>78</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434" hidden="1" customWidth="1"/>
    <col min="2" max="2" width="9.140625" style="2406" hidden="1" customWidth="1"/>
    <col min="3" max="3" width="3" style="2435" customWidth="1"/>
    <col min="4" max="4" width="6" style="2400" customWidth="1"/>
    <col min="5" max="6" width="64" style="2400" customWidth="1"/>
    <col min="7" max="7" width="140" style="2400" customWidth="1"/>
    <col min="8" max="8" width="10" style="2400" customWidth="1"/>
    <col min="9" max="10" width="10" style="2413" customWidth="1"/>
    <col min="11" max="16" width="10" style="2400" customWidth="1"/>
    <col min="17" max="17" width="10.5703125" style="240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56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65"/>
      <c r="F5" s="2565"/>
      <c r="G5" s="2566"/>
      <c r="Q5" s="23">
        <v>28</v>
      </c>
    </row>
    <row r="6" spans="1:17" s="2400" customFormat="1" ht="18.75" customHeight="1">
      <c r="A6" s="807"/>
      <c r="B6" s="353"/>
      <c r="C6" s="312"/>
      <c r="D6" s="2617" t="str">
        <f>IF(org=0,"Не определено",org)</f>
        <v>ПАО "ТГК-1" (филиал "Кольский")</v>
      </c>
      <c r="E6" s="2618"/>
      <c r="F6" s="2618"/>
      <c r="G6" s="2619"/>
      <c r="I6" s="436"/>
      <c r="J6" s="436"/>
      <c r="Q6" s="692">
        <v>18</v>
      </c>
    </row>
    <row r="7" spans="1:17" ht="14.65" customHeight="1">
      <c r="C7" s="36"/>
      <c r="D7" s="24"/>
      <c r="E7" s="35"/>
      <c r="F7" s="688"/>
      <c r="G7" s="130"/>
      <c r="Q7" s="23">
        <v>14</v>
      </c>
    </row>
    <row r="8" spans="1:17" s="2400" customFormat="1" ht="1.1499999999999999" customHeight="1">
      <c r="A8" s="1587"/>
      <c r="B8" s="1078"/>
      <c r="C8" s="312"/>
      <c r="D8" s="299"/>
      <c r="E8" s="325"/>
      <c r="F8" s="688"/>
      <c r="G8" s="130"/>
      <c r="I8" s="1542"/>
      <c r="J8" s="1542"/>
      <c r="Q8" s="1549">
        <v>1</v>
      </c>
    </row>
    <row r="9" spans="1:17" ht="14.65" customHeight="1">
      <c r="C9" s="36"/>
      <c r="D9" s="2603" t="s">
        <v>291</v>
      </c>
      <c r="E9" s="2603"/>
      <c r="F9" s="2603"/>
      <c r="G9" s="2746" t="s">
        <v>292</v>
      </c>
      <c r="Q9" s="23">
        <v>14</v>
      </c>
    </row>
    <row r="10" spans="1:17" ht="24" customHeight="1">
      <c r="C10" s="36"/>
      <c r="D10" s="45" t="s">
        <v>84</v>
      </c>
      <c r="E10" s="48" t="s">
        <v>293</v>
      </c>
      <c r="F10" s="48" t="s">
        <v>381</v>
      </c>
      <c r="G10" s="2746"/>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297</v>
      </c>
      <c r="G12" s="89"/>
      <c r="Q12" s="23">
        <v>62</v>
      </c>
    </row>
    <row r="13" spans="1:17" ht="24" customHeight="1">
      <c r="A13" s="129"/>
      <c r="C13" s="36"/>
      <c r="D13" s="85" t="s">
        <v>1073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297</v>
      </c>
      <c r="G13" s="89"/>
      <c r="Q13" s="23">
        <v>23</v>
      </c>
    </row>
    <row r="14" spans="1:17" ht="14.65" customHeight="1">
      <c r="A14" s="129"/>
      <c r="C14" s="36"/>
      <c r="D14" s="85" t="s">
        <v>1109</v>
      </c>
      <c r="E14" s="132"/>
      <c r="F14" s="150"/>
      <c r="G14" s="255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1171</v>
      </c>
      <c r="F15" s="138"/>
      <c r="G15" s="2560"/>
      <c r="Q15" s="23">
        <v>15</v>
      </c>
    </row>
    <row r="16" spans="1:17" ht="14.65" customHeight="1">
      <c r="A16" s="129"/>
      <c r="C16" s="36"/>
      <c r="D16" s="85" t="s">
        <v>1075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297</v>
      </c>
      <c r="G16" s="274"/>
      <c r="Q16" s="23">
        <v>14</v>
      </c>
    </row>
    <row r="17" spans="1:17" ht="14.65" customHeight="1">
      <c r="A17" s="129"/>
      <c r="C17" s="36"/>
      <c r="D17" s="85" t="s">
        <v>1117</v>
      </c>
      <c r="E17" s="132"/>
      <c r="F17" s="321"/>
      <c r="G17" s="255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400" customFormat="1" ht="21.95" customHeight="1">
      <c r="A18" s="280"/>
      <c r="B18" s="84"/>
      <c r="C18" s="244"/>
      <c r="D18" s="284"/>
      <c r="E18" s="285" t="s">
        <v>1172</v>
      </c>
      <c r="F18" s="275"/>
      <c r="G18" s="2560"/>
      <c r="I18" s="286"/>
      <c r="J18" s="286"/>
      <c r="Q18" s="279">
        <v>21</v>
      </c>
    </row>
    <row r="19" spans="1:17" s="2400" customFormat="1" ht="256.5" hidden="1" customHeight="1">
      <c r="A19" s="280"/>
      <c r="B19" s="353"/>
      <c r="C19" s="312"/>
      <c r="D19" s="809" t="s">
        <v>1077</v>
      </c>
      <c r="E19" s="808" t="s">
        <v>1173</v>
      </c>
      <c r="F19" s="321"/>
      <c r="G19" s="274" t="s">
        <v>1174</v>
      </c>
      <c r="I19" s="436"/>
      <c r="J19" s="436"/>
      <c r="Q19" s="692">
        <v>0</v>
      </c>
    </row>
    <row r="20" spans="1:17" s="2400" customFormat="1" ht="14.65" customHeight="1">
      <c r="A20" s="280"/>
      <c r="B20" s="84"/>
      <c r="C20" s="244"/>
      <c r="D20" s="810">
        <v>2</v>
      </c>
      <c r="E20" s="267" t="s">
        <v>1175</v>
      </c>
      <c r="F20" s="135" t="s">
        <v>297</v>
      </c>
      <c r="G20" s="274"/>
      <c r="I20" s="286"/>
      <c r="J20" s="286"/>
      <c r="Q20" s="279">
        <v>14</v>
      </c>
    </row>
    <row r="21" spans="1:17" s="2400" customFormat="1" ht="18.75" hidden="1" customHeight="1">
      <c r="A21" s="280"/>
      <c r="B21" s="84"/>
      <c r="C21" s="244"/>
      <c r="D21" s="270" t="s">
        <v>627</v>
      </c>
      <c r="E21" s="269"/>
      <c r="F21" s="268"/>
      <c r="G21" s="278"/>
      <c r="H21" s="271"/>
      <c r="I21" s="286"/>
      <c r="J21" s="286"/>
      <c r="Q21" s="279">
        <v>0</v>
      </c>
    </row>
    <row r="22" spans="1:17" ht="15.75" customHeight="1">
      <c r="A22" s="129"/>
      <c r="C22" s="36"/>
      <c r="D22" s="49"/>
      <c r="E22" s="140" t="s">
        <v>313</v>
      </c>
      <c r="F22" s="275"/>
      <c r="G22" s="276"/>
      <c r="Q22" s="23">
        <v>15</v>
      </c>
    </row>
    <row r="23" spans="1:17" s="2400" customFormat="1" ht="22.5" hidden="1" customHeight="1">
      <c r="A23" s="280"/>
      <c r="B23" s="1078"/>
      <c r="C23" s="312"/>
      <c r="D23" s="1591" t="s">
        <v>103</v>
      </c>
      <c r="E23" s="134" t="s">
        <v>1176</v>
      </c>
      <c r="F23" s="1588" t="s">
        <v>297</v>
      </c>
      <c r="G23" s="282"/>
      <c r="I23" s="1542"/>
      <c r="J23" s="1542"/>
      <c r="Q23" s="1549">
        <v>0</v>
      </c>
    </row>
    <row r="24" spans="1:17" s="2400" customFormat="1" ht="14.25" hidden="1" customHeight="1">
      <c r="A24" s="280"/>
      <c r="B24" s="1078"/>
      <c r="C24" s="312"/>
      <c r="D24" s="1591" t="s">
        <v>700</v>
      </c>
      <c r="E24" s="1590" t="s">
        <v>1177</v>
      </c>
      <c r="F24" s="1588" t="s">
        <v>297</v>
      </c>
      <c r="G24" s="274"/>
      <c r="I24" s="1542"/>
      <c r="J24" s="1542"/>
      <c r="Q24" s="1549">
        <v>0</v>
      </c>
    </row>
    <row r="25" spans="1:17" s="2400" customFormat="1" ht="14.25" hidden="1" customHeight="1">
      <c r="A25" s="280"/>
      <c r="B25" s="1078"/>
      <c r="C25" s="312"/>
      <c r="D25" s="1591" t="s">
        <v>703</v>
      </c>
      <c r="E25" s="132"/>
      <c r="F25" s="321"/>
      <c r="G25" s="2558" t="s">
        <v>1178</v>
      </c>
      <c r="I25" s="1542"/>
      <c r="J25" s="1542"/>
      <c r="Q25" s="1549">
        <v>0</v>
      </c>
    </row>
    <row r="26" spans="1:17" s="2400" customFormat="1" ht="22.5" hidden="1" customHeight="1">
      <c r="A26" s="280"/>
      <c r="B26" s="1078"/>
      <c r="C26" s="312"/>
      <c r="D26" s="284"/>
      <c r="E26" s="285" t="s">
        <v>1179</v>
      </c>
      <c r="F26" s="275"/>
      <c r="G26" s="2560"/>
      <c r="I26" s="1542"/>
      <c r="J26" s="1542"/>
      <c r="Q26" s="1549">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78</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433" hidden="1" customWidth="1"/>
    <col min="2" max="2" width="9.140625" style="2406" hidden="1" customWidth="1"/>
    <col min="3" max="3" width="3" style="2435" customWidth="1"/>
    <col min="4" max="4" width="6" style="2400" customWidth="1"/>
    <col min="5" max="5" width="63" style="2400" customWidth="1"/>
    <col min="6" max="6" width="1.7109375" style="2400" hidden="1" customWidth="1"/>
    <col min="7" max="8" width="35" style="2400" customWidth="1"/>
    <col min="9" max="9" width="91" style="2400" customWidth="1"/>
    <col min="10" max="10" width="68" style="2400" customWidth="1"/>
    <col min="11" max="12" width="10" style="2413" customWidth="1"/>
    <col min="13" max="13" width="10.5703125" style="2400" hidden="1"/>
  </cols>
  <sheetData>
    <row r="1" spans="1:13" ht="22.5" hidden="1" customHeight="1">
      <c r="M1" s="23" t="s">
        <v>14</v>
      </c>
    </row>
    <row r="2" spans="1:13" s="2400" customFormat="1" ht="18.75" hidden="1" customHeight="1">
      <c r="A2" s="1601"/>
      <c r="B2" s="1078"/>
      <c r="C2" s="1647" t="s">
        <v>680</v>
      </c>
      <c r="D2" s="1591"/>
      <c r="E2" s="136"/>
      <c r="F2" s="1588"/>
      <c r="G2" s="1588" t="s">
        <v>297</v>
      </c>
      <c r="H2" s="1079"/>
      <c r="K2" s="1542"/>
      <c r="L2" s="1542"/>
      <c r="M2" s="1549">
        <v>0</v>
      </c>
    </row>
    <row r="3" spans="1:13" s="2400" customFormat="1" ht="14.25" hidden="1" customHeight="1">
      <c r="A3" s="1280"/>
      <c r="B3" s="1078"/>
      <c r="C3" s="281"/>
      <c r="K3" s="1542"/>
      <c r="L3" s="1542"/>
      <c r="M3" s="1549">
        <v>0</v>
      </c>
    </row>
    <row r="4" spans="1:13" s="2400" customFormat="1" ht="18.75" hidden="1" customHeight="1">
      <c r="A4" s="1601"/>
      <c r="B4" s="1078"/>
      <c r="C4" s="1647" t="s">
        <v>680</v>
      </c>
      <c r="D4" s="1591"/>
      <c r="E4" s="142" t="s">
        <v>1180</v>
      </c>
      <c r="F4" s="1588"/>
      <c r="G4" s="194"/>
      <c r="H4" s="1588" t="s">
        <v>297</v>
      </c>
      <c r="K4" s="1542"/>
      <c r="L4" s="1542"/>
      <c r="M4" s="1549">
        <v>0</v>
      </c>
    </row>
    <row r="5" spans="1:13" s="2400" customFormat="1" ht="14.25" hidden="1" customHeight="1">
      <c r="A5" s="1280"/>
      <c r="B5" s="1078"/>
      <c r="C5" s="281"/>
      <c r="K5" s="1542"/>
      <c r="L5" s="1542"/>
      <c r="M5" s="1549">
        <v>0</v>
      </c>
    </row>
    <row r="6" spans="1:13" s="2400" customFormat="1" ht="18.75" hidden="1" customHeight="1">
      <c r="A6" s="1601"/>
      <c r="B6" s="1078"/>
      <c r="C6" s="1647" t="s">
        <v>680</v>
      </c>
      <c r="D6" s="1591"/>
      <c r="E6" s="143" t="s">
        <v>1181</v>
      </c>
      <c r="F6" s="1588"/>
      <c r="G6" s="194"/>
      <c r="H6" s="1588" t="s">
        <v>297</v>
      </c>
      <c r="K6" s="1542"/>
      <c r="L6" s="1542"/>
      <c r="M6" s="1549">
        <v>0</v>
      </c>
    </row>
    <row r="7" spans="1:13" s="2400" customFormat="1" ht="14.25" hidden="1" customHeight="1">
      <c r="A7" s="1280"/>
      <c r="B7" s="1078"/>
      <c r="C7" s="281"/>
      <c r="K7" s="1542"/>
      <c r="L7" s="1542"/>
      <c r="M7" s="1549">
        <v>0</v>
      </c>
    </row>
    <row r="8" spans="1:13" s="2400" customFormat="1" ht="18.75" hidden="1" customHeight="1">
      <c r="A8" s="1601"/>
      <c r="B8" s="1078"/>
      <c r="C8" s="1647" t="s">
        <v>680</v>
      </c>
      <c r="D8" s="1591"/>
      <c r="E8" s="143" t="s">
        <v>1182</v>
      </c>
      <c r="F8" s="1588"/>
      <c r="G8" s="194"/>
      <c r="H8" s="1588" t="s">
        <v>297</v>
      </c>
      <c r="K8" s="1542"/>
      <c r="L8" s="1542"/>
      <c r="M8" s="1549">
        <v>0</v>
      </c>
    </row>
    <row r="9" spans="1:13" s="2400" customFormat="1" ht="14.25" hidden="1" customHeight="1">
      <c r="A9" s="1280"/>
      <c r="B9" s="1078"/>
      <c r="C9" s="281"/>
      <c r="K9" s="1542"/>
      <c r="L9" s="1542"/>
      <c r="M9" s="1549">
        <v>0</v>
      </c>
    </row>
    <row r="10" spans="1:13" s="2400" customFormat="1" ht="18.75" hidden="1" customHeight="1">
      <c r="A10" s="1601"/>
      <c r="B10" s="1078"/>
      <c r="C10" s="1647" t="s">
        <v>680</v>
      </c>
      <c r="D10" s="1591"/>
      <c r="E10" s="143" t="s">
        <v>1183</v>
      </c>
      <c r="F10" s="1588"/>
      <c r="G10" s="1592"/>
      <c r="H10" s="1588" t="s">
        <v>297</v>
      </c>
      <c r="K10" s="1542"/>
      <c r="L10" s="1542" t="s">
        <v>1184</v>
      </c>
      <c r="M10" s="154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56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65"/>
      <c r="F14" s="2565"/>
      <c r="G14" s="2565"/>
      <c r="H14" s="2566"/>
      <c r="J14" s="1549"/>
      <c r="M14" s="23">
        <v>28</v>
      </c>
    </row>
    <row r="15" spans="1:13" s="2400" customFormat="1" ht="14.65" customHeight="1">
      <c r="A15" s="1280"/>
      <c r="B15" s="1078"/>
      <c r="C15" s="312"/>
      <c r="D15" s="2617" t="str">
        <f>IF(org=0,"Не определено",org)</f>
        <v>ПАО "ТГК-1" (филиал "Кольский")</v>
      </c>
      <c r="E15" s="2618"/>
      <c r="F15" s="2618"/>
      <c r="G15" s="2618"/>
      <c r="H15" s="2619"/>
      <c r="J15" s="778"/>
      <c r="K15" s="1542"/>
      <c r="L15" s="1542"/>
      <c r="M15" s="1549">
        <v>14</v>
      </c>
    </row>
    <row r="16" spans="1:13" ht="14.65" customHeight="1">
      <c r="C16" s="36"/>
      <c r="D16" s="24"/>
      <c r="E16" s="35"/>
      <c r="F16" s="35"/>
      <c r="G16" s="35"/>
      <c r="H16" s="688"/>
      <c r="I16" s="130"/>
      <c r="M16" s="23">
        <v>14</v>
      </c>
    </row>
    <row r="17" spans="1:13" s="2400" customFormat="1" ht="14.25" hidden="1" customHeight="1">
      <c r="A17" s="1280"/>
      <c r="B17" s="1078"/>
      <c r="C17" s="312"/>
      <c r="D17" s="299"/>
      <c r="E17" s="325"/>
      <c r="F17" s="325"/>
      <c r="G17" s="325"/>
      <c r="H17" s="688"/>
      <c r="I17" s="130"/>
      <c r="K17" s="1542"/>
      <c r="L17" s="1542"/>
      <c r="M17" s="1549">
        <v>0</v>
      </c>
    </row>
    <row r="18" spans="1:13" ht="21.95" customHeight="1">
      <c r="C18" s="36"/>
      <c r="D18" s="2603" t="s">
        <v>291</v>
      </c>
      <c r="E18" s="2603"/>
      <c r="F18" s="2603"/>
      <c r="G18" s="2603"/>
      <c r="H18" s="2603"/>
      <c r="I18" s="2746" t="s">
        <v>292</v>
      </c>
      <c r="M18" s="23">
        <v>21</v>
      </c>
    </row>
    <row r="19" spans="1:13" ht="21.95" customHeight="1">
      <c r="C19" s="36"/>
      <c r="D19" s="45" t="s">
        <v>84</v>
      </c>
      <c r="E19" s="48" t="s">
        <v>293</v>
      </c>
      <c r="F19" s="48"/>
      <c r="G19" s="48" t="s">
        <v>294</v>
      </c>
      <c r="H19" s="48" t="s">
        <v>381</v>
      </c>
      <c r="I19" s="2746"/>
      <c r="M19" s="23">
        <v>21</v>
      </c>
    </row>
    <row r="20" spans="1:13" ht="12" hidden="1" customHeight="1">
      <c r="C20" s="36"/>
      <c r="D20" s="27"/>
      <c r="E20" s="27"/>
      <c r="F20" s="27"/>
      <c r="G20" s="27"/>
      <c r="H20" s="27"/>
      <c r="I20" s="27"/>
      <c r="M20" s="23">
        <v>0</v>
      </c>
    </row>
    <row r="21" spans="1:13" ht="14.65" customHeight="1">
      <c r="A21" s="1601"/>
      <c r="C21" s="36"/>
      <c r="D21" s="85">
        <v>1</v>
      </c>
      <c r="E21" s="2843" t="s">
        <v>1185</v>
      </c>
      <c r="F21" s="2843"/>
      <c r="G21" s="2843"/>
      <c r="H21" s="2843"/>
      <c r="I21" s="145"/>
      <c r="M21" s="23">
        <v>14</v>
      </c>
    </row>
    <row r="22" spans="1:13" ht="21" customHeight="1">
      <c r="A22" s="1601"/>
      <c r="C22" s="36"/>
      <c r="D22" s="85" t="s">
        <v>1073</v>
      </c>
      <c r="E22" s="131" t="s">
        <v>1186</v>
      </c>
      <c r="F22" s="135"/>
      <c r="G22" s="1654"/>
      <c r="H22" s="135" t="s">
        <v>297</v>
      </c>
      <c r="I22" s="89" t="s">
        <v>1187</v>
      </c>
      <c r="M22" s="23">
        <v>20</v>
      </c>
    </row>
    <row r="23" spans="1:13" ht="60" customHeight="1">
      <c r="A23" s="1601"/>
      <c r="C23" s="36"/>
      <c r="D23" s="85" t="s">
        <v>1075</v>
      </c>
      <c r="E23" s="131" t="s">
        <v>1188</v>
      </c>
      <c r="F23" s="135"/>
      <c r="G23" s="194"/>
      <c r="H23" s="150"/>
      <c r="I23" s="195" t="s">
        <v>1189</v>
      </c>
      <c r="M23" s="23">
        <v>57</v>
      </c>
    </row>
    <row r="24" spans="1:13" ht="14.65" customHeight="1">
      <c r="A24" s="1601"/>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297</v>
      </c>
      <c r="H24" s="150"/>
      <c r="I24" s="196" t="s">
        <v>622</v>
      </c>
      <c r="M24" s="23">
        <v>14</v>
      </c>
    </row>
    <row r="25" spans="1:13" ht="48.2" customHeight="1">
      <c r="A25" s="1601"/>
      <c r="C25" s="36"/>
      <c r="D25" s="85">
        <v>3</v>
      </c>
      <c r="E25" s="284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43"/>
      <c r="G25" s="2843"/>
      <c r="H25" s="2843"/>
      <c r="I25" s="193"/>
      <c r="M25" s="23">
        <v>46</v>
      </c>
    </row>
    <row r="26" spans="1:13" ht="14.65" customHeight="1">
      <c r="A26" s="1601"/>
      <c r="C26" s="36"/>
      <c r="D26" s="85" t="s">
        <v>315</v>
      </c>
      <c r="E26" s="136"/>
      <c r="F26" s="135"/>
      <c r="G26" s="135" t="s">
        <v>297</v>
      </c>
      <c r="H26" s="150"/>
      <c r="I26" s="2558" t="s">
        <v>1190</v>
      </c>
      <c r="M26" s="23">
        <v>14</v>
      </c>
    </row>
    <row r="27" spans="1:13" ht="15.75" customHeight="1">
      <c r="A27" s="1601" t="s">
        <v>102</v>
      </c>
      <c r="C27" s="36"/>
      <c r="D27" s="49"/>
      <c r="E27" s="140" t="s">
        <v>313</v>
      </c>
      <c r="F27" s="141"/>
      <c r="G27" s="141"/>
      <c r="H27" s="138"/>
      <c r="I27" s="2560"/>
      <c r="M27" s="23">
        <v>15</v>
      </c>
    </row>
    <row r="28" spans="1:13" ht="39.75" customHeight="1">
      <c r="A28" s="1601"/>
      <c r="B28" s="84">
        <v>3</v>
      </c>
      <c r="C28" s="36"/>
      <c r="D28" s="85">
        <v>4</v>
      </c>
      <c r="E28" s="284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43"/>
      <c r="G28" s="2843"/>
      <c r="H28" s="2843"/>
      <c r="I28" s="193"/>
      <c r="M28" s="23">
        <v>38</v>
      </c>
    </row>
    <row r="29" spans="1:13" ht="21" customHeight="1">
      <c r="A29" s="1601"/>
      <c r="C29" s="36"/>
      <c r="D29" s="85" t="s">
        <v>745</v>
      </c>
      <c r="E29" s="142" t="s">
        <v>1180</v>
      </c>
      <c r="F29" s="135"/>
      <c r="G29" s="194"/>
      <c r="H29" s="135" t="s">
        <v>297</v>
      </c>
      <c r="I29" s="2558" t="s">
        <v>1191</v>
      </c>
      <c r="M29" s="23">
        <v>20</v>
      </c>
    </row>
    <row r="30" spans="1:13" ht="15.75" customHeight="1">
      <c r="A30" s="1601" t="s">
        <v>103</v>
      </c>
      <c r="C30" s="36"/>
      <c r="D30" s="49"/>
      <c r="E30" s="140" t="s">
        <v>313</v>
      </c>
      <c r="F30" s="141"/>
      <c r="G30" s="141"/>
      <c r="H30" s="138"/>
      <c r="I30" s="2560"/>
      <c r="M30" s="23">
        <v>15</v>
      </c>
    </row>
    <row r="31" spans="1:13" ht="31.5" customHeight="1">
      <c r="A31" s="1601"/>
      <c r="B31" s="84">
        <v>3</v>
      </c>
      <c r="C31" s="36"/>
      <c r="D31" s="85">
        <v>5</v>
      </c>
      <c r="E31" s="284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43"/>
      <c r="G31" s="2843"/>
      <c r="H31" s="2843"/>
      <c r="I31" s="193"/>
      <c r="M31" s="23">
        <v>30</v>
      </c>
    </row>
    <row r="32" spans="1:13" ht="27.4" customHeight="1">
      <c r="A32" s="1601"/>
      <c r="C32" s="36"/>
      <c r="D32" s="85" t="s">
        <v>304</v>
      </c>
      <c r="E32" s="276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60"/>
      <c r="G32" s="2760"/>
      <c r="H32" s="2760"/>
      <c r="I32" s="193"/>
      <c r="M32" s="23">
        <v>26</v>
      </c>
    </row>
    <row r="33" spans="1:13" ht="14.65" customHeight="1">
      <c r="A33" s="1601"/>
      <c r="C33" s="36"/>
      <c r="D33" s="85" t="s">
        <v>1192</v>
      </c>
      <c r="E33" s="143" t="s">
        <v>1181</v>
      </c>
      <c r="F33" s="135"/>
      <c r="G33" s="194"/>
      <c r="H33" s="135" t="s">
        <v>297</v>
      </c>
      <c r="I33" s="2558" t="s">
        <v>1193</v>
      </c>
      <c r="M33" s="23">
        <v>14</v>
      </c>
    </row>
    <row r="34" spans="1:13" ht="15.75" customHeight="1">
      <c r="A34" s="1601" t="s">
        <v>86</v>
      </c>
      <c r="C34" s="36"/>
      <c r="D34" s="49"/>
      <c r="E34" s="141" t="s">
        <v>313</v>
      </c>
      <c r="F34" s="137"/>
      <c r="G34" s="137"/>
      <c r="H34" s="138"/>
      <c r="I34" s="2560"/>
      <c r="M34" s="23">
        <v>15</v>
      </c>
    </row>
    <row r="35" spans="1:13" ht="25.15" customHeight="1">
      <c r="A35" s="1601"/>
      <c r="C35" s="36"/>
      <c r="D35" s="85" t="s">
        <v>873</v>
      </c>
      <c r="E35" s="276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60"/>
      <c r="G35" s="2760"/>
      <c r="H35" s="2760"/>
      <c r="I35" s="193"/>
      <c r="M35" s="23">
        <v>24</v>
      </c>
    </row>
    <row r="36" spans="1:13" ht="14.65" customHeight="1">
      <c r="A36" s="1601"/>
      <c r="C36" s="36"/>
      <c r="D36" s="85" t="s">
        <v>1194</v>
      </c>
      <c r="E36" s="143" t="s">
        <v>1182</v>
      </c>
      <c r="F36" s="135"/>
      <c r="G36" s="194"/>
      <c r="H36" s="135" t="s">
        <v>297</v>
      </c>
      <c r="I36" s="2536" t="s">
        <v>1195</v>
      </c>
      <c r="M36" s="23">
        <v>14</v>
      </c>
    </row>
    <row r="37" spans="1:13" ht="15.75" customHeight="1">
      <c r="A37" s="1601" t="s">
        <v>87</v>
      </c>
      <c r="C37" s="36"/>
      <c r="D37" s="49"/>
      <c r="E37" s="141" t="s">
        <v>313</v>
      </c>
      <c r="F37" s="137"/>
      <c r="G37" s="137"/>
      <c r="H37" s="138"/>
      <c r="I37" s="2536"/>
      <c r="M37" s="23">
        <v>15</v>
      </c>
    </row>
    <row r="38" spans="1:13" ht="27.4" customHeight="1">
      <c r="A38" s="1601"/>
      <c r="C38" s="36"/>
      <c r="D38" s="85" t="s">
        <v>874</v>
      </c>
      <c r="E38" s="276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60"/>
      <c r="G38" s="2760"/>
      <c r="H38" s="2760"/>
      <c r="I38" s="193"/>
      <c r="M38" s="23">
        <v>26</v>
      </c>
    </row>
    <row r="39" spans="1:13" ht="14.65" customHeight="1">
      <c r="A39" s="1601"/>
      <c r="C39" s="36"/>
      <c r="D39" s="85" t="s">
        <v>875</v>
      </c>
      <c r="E39" s="143" t="s">
        <v>1183</v>
      </c>
      <c r="F39" s="135"/>
      <c r="G39" s="144"/>
      <c r="H39" s="135" t="s">
        <v>297</v>
      </c>
      <c r="I39" s="2558" t="s">
        <v>1196</v>
      </c>
      <c r="L39" s="93" t="s">
        <v>1184</v>
      </c>
      <c r="M39" s="23">
        <v>14</v>
      </c>
    </row>
    <row r="40" spans="1:13" ht="15.75" customHeight="1">
      <c r="A40" s="1601" t="s">
        <v>104</v>
      </c>
      <c r="C40" s="36"/>
      <c r="D40" s="49"/>
      <c r="E40" s="141" t="s">
        <v>313</v>
      </c>
      <c r="F40" s="137"/>
      <c r="G40" s="137"/>
      <c r="H40" s="138"/>
      <c r="I40" s="2560"/>
      <c r="M40" s="23">
        <v>15</v>
      </c>
    </row>
    <row r="41" spans="1:13" s="2455" customFormat="1" ht="3" customHeight="1">
      <c r="A41" s="1601"/>
      <c r="K41" s="133"/>
      <c r="L41" s="133"/>
      <c r="M41" s="79">
        <v>3</v>
      </c>
    </row>
    <row r="42" spans="1:13" ht="26.25" customHeight="1">
      <c r="D42" s="1599" t="s">
        <v>795</v>
      </c>
      <c r="E42" s="264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41"/>
      <c r="G42" s="2641"/>
      <c r="H42" s="2641"/>
      <c r="I42" s="2641"/>
      <c r="M42" s="23">
        <v>25</v>
      </c>
    </row>
    <row r="43" spans="1:13" ht="22.5" hidden="1" customHeight="1">
      <c r="A43" s="1280" t="s">
        <v>78</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456" hidden="1" customWidth="1"/>
    <col min="3" max="3" width="9.140625" style="2457" hidden="1" customWidth="1"/>
    <col min="4" max="4" width="3" style="2435" customWidth="1"/>
    <col min="5" max="5" width="6" style="2400" customWidth="1"/>
    <col min="6" max="6" width="46.7109375" style="2400" customWidth="1"/>
    <col min="7" max="7" width="35" style="2400" customWidth="1"/>
    <col min="8" max="8" width="3" style="2400" customWidth="1"/>
    <col min="9" max="10" width="11" style="2400" customWidth="1"/>
    <col min="11" max="12" width="35" style="2400" customWidth="1"/>
    <col min="13" max="13" width="84" style="2400" customWidth="1"/>
    <col min="14" max="14" width="10" style="2400" customWidth="1"/>
    <col min="15" max="16" width="10" style="2413" customWidth="1"/>
    <col min="17" max="33" width="10" style="2400" customWidth="1"/>
    <col min="34" max="34" width="10.5703125" style="2400" hidden="1"/>
  </cols>
  <sheetData>
    <row r="1" spans="1:34" s="2400" customFormat="1" ht="22.5" hidden="1" customHeight="1">
      <c r="A1" s="1696"/>
      <c r="B1" s="1696"/>
      <c r="C1" s="305"/>
      <c r="D1" s="281"/>
      <c r="N1" s="1554">
        <f>IFERROR(MATCH("метод экономически обоснованных расходов (затрат)",OFFER_METHOD,0),0)</f>
        <v>0</v>
      </c>
      <c r="O1" s="1542"/>
      <c r="P1" s="1542"/>
      <c r="T1" s="761"/>
      <c r="AG1" s="192"/>
      <c r="AH1" s="1549" t="s">
        <v>14</v>
      </c>
    </row>
    <row r="2" spans="1:34" s="2400" customFormat="1" ht="18.75" hidden="1" customHeight="1">
      <c r="A2" s="1697" t="s">
        <v>148</v>
      </c>
      <c r="B2" s="1697" t="s">
        <v>149</v>
      </c>
      <c r="C2" s="305"/>
      <c r="D2" s="281"/>
      <c r="E2" s="954"/>
      <c r="F2" s="954"/>
      <c r="G2" s="2820" t="str">
        <f>INDEX(PT_DIFFERENTIATION_NTAR,MATCH(B2,PT_DIFFERENTIATION_NTAR_ID,0))</f>
        <v/>
      </c>
      <c r="H2" s="1779"/>
      <c r="I2" s="1656"/>
      <c r="J2" s="1690"/>
      <c r="K2" s="1780"/>
      <c r="L2" s="1779" t="s">
        <v>297</v>
      </c>
      <c r="M2" s="1790"/>
      <c r="N2" s="271"/>
      <c r="O2" s="1542"/>
      <c r="P2" s="1542"/>
      <c r="AH2" s="1549">
        <v>0</v>
      </c>
    </row>
    <row r="3" spans="1:34" s="2400" customFormat="1" ht="18.75" hidden="1" customHeight="1">
      <c r="A3" s="1697"/>
      <c r="B3" s="1697"/>
      <c r="C3" s="305" t="s">
        <v>1197</v>
      </c>
      <c r="D3" s="281"/>
      <c r="E3" s="954"/>
      <c r="F3" s="954"/>
      <c r="G3" s="2820"/>
      <c r="H3" s="1418"/>
      <c r="I3" s="587" t="s">
        <v>1198</v>
      </c>
      <c r="J3" s="507"/>
      <c r="K3" s="1418"/>
      <c r="L3" s="151"/>
      <c r="M3" s="1790"/>
      <c r="N3" s="271"/>
      <c r="O3" s="1542"/>
      <c r="P3" s="1542"/>
      <c r="AH3" s="1549">
        <v>0</v>
      </c>
    </row>
    <row r="4" spans="1:34" s="2400" customFormat="1" ht="14.25" hidden="1" customHeight="1">
      <c r="A4" s="1696"/>
      <c r="B4" s="1696"/>
      <c r="C4" s="305"/>
      <c r="D4" s="281"/>
      <c r="N4" s="1554">
        <f>IFERROR(MATCH("метод экономически обоснованных расходов (затрат)",OFFER_METHOD,0),0)</f>
        <v>0</v>
      </c>
      <c r="O4" s="1542"/>
      <c r="P4" s="1542"/>
      <c r="T4" s="761"/>
      <c r="AG4" s="192"/>
      <c r="AH4" s="1549">
        <v>0</v>
      </c>
    </row>
    <row r="5" spans="1:34" s="2400" customFormat="1" ht="18.75" hidden="1" customHeight="1">
      <c r="A5" s="1697" t="s">
        <v>148</v>
      </c>
      <c r="B5" s="1697" t="s">
        <v>149</v>
      </c>
      <c r="C5" s="305"/>
      <c r="D5" s="281"/>
      <c r="E5" s="954"/>
      <c r="F5" s="954"/>
      <c r="G5" s="2820" t="str">
        <f>INDEX(PT_DIFFERENTIATION_NTAR,MATCH(B5,PT_DIFFERENTIATION_NTAR_ID,0))</f>
        <v/>
      </c>
      <c r="H5" s="1779"/>
      <c r="I5" s="1656"/>
      <c r="J5" s="1690"/>
      <c r="K5" s="1695"/>
      <c r="L5" s="1779" t="s">
        <v>297</v>
      </c>
      <c r="M5" s="1790"/>
      <c r="N5" s="271"/>
      <c r="O5" s="1542"/>
      <c r="P5" s="1542"/>
      <c r="AH5" s="1549">
        <v>0</v>
      </c>
    </row>
    <row r="6" spans="1:34" s="2400" customFormat="1" ht="18.75" hidden="1" customHeight="1">
      <c r="A6" s="1697"/>
      <c r="B6" s="1697"/>
      <c r="C6" s="305" t="s">
        <v>1199</v>
      </c>
      <c r="D6" s="281"/>
      <c r="E6" s="954"/>
      <c r="F6" s="954"/>
      <c r="G6" s="2820"/>
      <c r="H6" s="1418"/>
      <c r="I6" s="587" t="s">
        <v>1198</v>
      </c>
      <c r="J6" s="507"/>
      <c r="K6" s="1418"/>
      <c r="L6" s="151"/>
      <c r="M6" s="1790"/>
      <c r="N6" s="271"/>
      <c r="O6" s="1542"/>
      <c r="P6" s="1542"/>
      <c r="AH6" s="1549">
        <v>0</v>
      </c>
    </row>
    <row r="7" spans="1:34" s="2400" customFormat="1" ht="14.25" hidden="1" customHeight="1">
      <c r="A7" s="1696"/>
      <c r="B7" s="1696"/>
      <c r="C7" s="305"/>
      <c r="D7" s="281"/>
      <c r="N7" s="1554">
        <f>IFERROR(MATCH("метод экономически обоснованных расходов (затрат)",OFFER_METHOD,0),0)</f>
        <v>0</v>
      </c>
      <c r="O7" s="1542"/>
      <c r="P7" s="1542"/>
      <c r="T7" s="761"/>
      <c r="AG7" s="192"/>
      <c r="AH7" s="1549">
        <v>0</v>
      </c>
    </row>
    <row r="8" spans="1:34" s="2400" customFormat="1" ht="56.25" hidden="1" customHeight="1">
      <c r="A8" s="1697"/>
      <c r="B8" s="1697"/>
      <c r="C8" s="305"/>
      <c r="D8" s="281"/>
      <c r="E8" s="954"/>
      <c r="F8" s="954"/>
      <c r="G8" s="954"/>
      <c r="H8" s="1688"/>
      <c r="I8" s="1656"/>
      <c r="J8" s="1690"/>
      <c r="K8" s="1780"/>
      <c r="L8" s="1688" t="s">
        <v>297</v>
      </c>
      <c r="M8" s="1790"/>
      <c r="N8" s="271"/>
      <c r="O8" s="1542"/>
      <c r="P8" s="1542"/>
      <c r="AH8" s="1549">
        <v>0</v>
      </c>
    </row>
    <row r="9" spans="1:34" ht="14.25" hidden="1" customHeight="1">
      <c r="T9" s="333"/>
      <c r="AG9" s="192"/>
      <c r="AH9" s="310">
        <v>0</v>
      </c>
    </row>
    <row r="10" spans="1:34" s="2400" customFormat="1" ht="56.25" hidden="1" customHeight="1">
      <c r="A10" s="1697"/>
      <c r="B10" s="1697"/>
      <c r="C10" s="305"/>
      <c r="D10" s="281"/>
      <c r="E10" s="954"/>
      <c r="F10" s="954"/>
      <c r="G10" s="954"/>
      <c r="H10" s="1687"/>
      <c r="I10" s="1656"/>
      <c r="J10" s="1690"/>
      <c r="K10" s="1695"/>
      <c r="L10" s="1688" t="s">
        <v>297</v>
      </c>
      <c r="M10" s="1790"/>
      <c r="N10" s="271"/>
      <c r="O10" s="1542"/>
      <c r="P10" s="1542"/>
      <c r="AH10" s="1549">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84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45"/>
      <c r="G14" s="2845"/>
      <c r="H14" s="2845"/>
      <c r="I14" s="2845"/>
      <c r="J14" s="2845"/>
      <c r="K14" s="2845"/>
      <c r="L14" s="2845"/>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634" t="str">
        <f>IF(TITLE_DATE_PR_CHANGE="",IF(TITLE_DATE_PR="","",TITLE_DATE_PR),TITLE_DATE_PR_CHANGE)</f>
        <v/>
      </c>
      <c r="H16" s="2634"/>
      <c r="I16" s="2634"/>
      <c r="J16" s="2634"/>
      <c r="K16" s="2634"/>
      <c r="L16" s="2634"/>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635" t="str">
        <f>IF(TITLE_NUMBER_PR_CHANGE="",IF(TITLE_NUMBER_PR="","",TITLE_NUMBER_PR),TITLE_NUMBER_PR_CHANGE)</f>
        <v/>
      </c>
      <c r="H17" s="2635"/>
      <c r="I17" s="2635"/>
      <c r="J17" s="2635"/>
      <c r="K17" s="2635"/>
      <c r="L17" s="2635"/>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603" t="s">
        <v>291</v>
      </c>
      <c r="F19" s="2603"/>
      <c r="G19" s="2603"/>
      <c r="H19" s="2603"/>
      <c r="I19" s="2603"/>
      <c r="J19" s="2603"/>
      <c r="K19" s="2603"/>
      <c r="L19" s="2603"/>
      <c r="M19" s="2746" t="s">
        <v>292</v>
      </c>
      <c r="AH19" s="310">
        <v>21</v>
      </c>
    </row>
    <row r="20" spans="1:34" ht="21.95" customHeight="1">
      <c r="D20" s="312"/>
      <c r="E20" s="2659" t="s">
        <v>84</v>
      </c>
      <c r="F20" s="2609" t="s">
        <v>115</v>
      </c>
      <c r="G20" s="2609" t="s">
        <v>116</v>
      </c>
      <c r="H20" s="2743" t="s">
        <v>1200</v>
      </c>
      <c r="I20" s="2744"/>
      <c r="J20" s="2822"/>
      <c r="K20" s="2609" t="s">
        <v>294</v>
      </c>
      <c r="L20" s="2609" t="s">
        <v>381</v>
      </c>
      <c r="M20" s="2746"/>
      <c r="AH20" s="310">
        <v>21</v>
      </c>
    </row>
    <row r="21" spans="1:34" ht="21.95" customHeight="1">
      <c r="D21" s="312"/>
      <c r="E21" s="2661"/>
      <c r="F21" s="2610"/>
      <c r="G21" s="2610"/>
      <c r="H21" s="2608" t="s">
        <v>1201</v>
      </c>
      <c r="I21" s="2622"/>
      <c r="J21" s="48" t="s">
        <v>1202</v>
      </c>
      <c r="K21" s="2610"/>
      <c r="L21" s="2610"/>
      <c r="M21" s="2746"/>
      <c r="AH21" s="310">
        <v>21</v>
      </c>
    </row>
    <row r="22" spans="1:34" ht="12.75" customHeight="1">
      <c r="D22" s="312"/>
      <c r="E22" s="218"/>
      <c r="F22" s="218"/>
      <c r="G22" s="218"/>
      <c r="H22" s="2847"/>
      <c r="I22" s="2847"/>
      <c r="J22" s="218"/>
      <c r="K22" s="218"/>
      <c r="L22" s="218"/>
      <c r="M22" s="218"/>
      <c r="AH22" s="310">
        <v>12</v>
      </c>
    </row>
    <row r="23" spans="1:34" ht="19.899999999999999" customHeight="1">
      <c r="A23" s="1697"/>
      <c r="B23" s="1697"/>
      <c r="D23" s="312"/>
      <c r="E23" s="1781" t="s">
        <v>102</v>
      </c>
      <c r="F23" s="2848" t="str">
        <f>"Предлагаемый метод регулирования"&amp;IF(TEMPLATE_SPHERE="HEAT"," в сфере "&amp;TEMPLATE_SPHERE_RUS,"")</f>
        <v>Предлагаемый метод регулирования в сфере теплоснабжения</v>
      </c>
      <c r="G23" s="2848"/>
      <c r="H23" s="2843"/>
      <c r="I23" s="2843"/>
      <c r="J23" s="2843"/>
      <c r="K23" s="2848" t="s">
        <v>297</v>
      </c>
      <c r="L23" s="2843"/>
      <c r="M23" s="1686"/>
      <c r="N23" s="271"/>
      <c r="AH23" s="310">
        <v>19</v>
      </c>
    </row>
    <row r="24" spans="1:34" ht="60.75" hidden="1" customHeight="1">
      <c r="A24" s="1697" t="s">
        <v>148</v>
      </c>
      <c r="B24" s="1697" t="s">
        <v>149</v>
      </c>
      <c r="D24" s="2846"/>
      <c r="E24" s="2598"/>
      <c r="F24" s="284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20" t="str">
        <f>INDEX(PT_DIFFERENTIATION_NTAR,MATCH(B24,PT_DIFFERENTIATION_NTAR_ID,0))</f>
        <v/>
      </c>
      <c r="H24" s="1777"/>
      <c r="I24" s="1656"/>
      <c r="J24" s="1690"/>
      <c r="K24" s="1780"/>
      <c r="L24" s="1685" t="s">
        <v>297</v>
      </c>
      <c r="M24" s="25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400" customFormat="1" ht="18.75" hidden="1" customHeight="1">
      <c r="A25" s="1697"/>
      <c r="B25" s="1697"/>
      <c r="C25" s="305" t="s">
        <v>1197</v>
      </c>
      <c r="D25" s="2846"/>
      <c r="E25" s="2598"/>
      <c r="F25" s="2849"/>
      <c r="G25" s="2820"/>
      <c r="H25" s="1418"/>
      <c r="I25" s="587" t="s">
        <v>1198</v>
      </c>
      <c r="J25" s="507"/>
      <c r="K25" s="1418"/>
      <c r="L25" s="151"/>
      <c r="M25" s="2559"/>
      <c r="N25" s="271"/>
      <c r="O25" s="1542"/>
      <c r="P25" s="1542"/>
      <c r="AH25" s="1549">
        <v>0</v>
      </c>
    </row>
    <row r="26" spans="1:34" ht="0.75" hidden="1" customHeight="1">
      <c r="A26" s="1697"/>
      <c r="B26" s="1697"/>
      <c r="C26" s="305" t="s">
        <v>1203</v>
      </c>
      <c r="D26" s="2846"/>
      <c r="E26" s="2598"/>
      <c r="F26" s="2736"/>
      <c r="G26" s="336"/>
      <c r="H26" s="1418"/>
      <c r="I26" s="331"/>
      <c r="J26" s="285"/>
      <c r="K26" s="1418"/>
      <c r="L26" s="138"/>
      <c r="M26" s="2559"/>
      <c r="N26" s="271"/>
      <c r="AH26" s="310">
        <v>0</v>
      </c>
    </row>
    <row r="27" spans="1:34" s="2400" customFormat="1" ht="45" hidden="1" customHeight="1">
      <c r="A27" s="1697" t="s">
        <v>153</v>
      </c>
      <c r="B27" s="1697" t="s">
        <v>154</v>
      </c>
      <c r="C27" s="305"/>
      <c r="D27" s="2844"/>
      <c r="E27" s="2850"/>
      <c r="F27" s="2851" t="str">
        <f>INDEX(PT_DIFFERENTIATION_VTAR,MATCH(A27,PT_DIFFERENTIATION_VTAR_ID,0))</f>
        <v/>
      </c>
      <c r="G27" s="2820" t="str">
        <f>INDEX(PT_DIFFERENTIATION_NTAR,MATCH(B27,PT_DIFFERENTIATION_NTAR_ID,0))</f>
        <v/>
      </c>
      <c r="H27" s="1777"/>
      <c r="I27" s="1656"/>
      <c r="J27" s="1690"/>
      <c r="K27" s="1780"/>
      <c r="L27" s="1777" t="s">
        <v>297</v>
      </c>
      <c r="M27" s="2559"/>
      <c r="N27" s="271"/>
      <c r="O27" s="1542"/>
      <c r="P27" s="1542"/>
      <c r="AH27" s="1549">
        <v>0</v>
      </c>
    </row>
    <row r="28" spans="1:34" s="2400" customFormat="1" ht="18.75" hidden="1" customHeight="1">
      <c r="A28" s="1697"/>
      <c r="B28" s="1697"/>
      <c r="C28" s="305" t="s">
        <v>1197</v>
      </c>
      <c r="D28" s="2844"/>
      <c r="E28" s="2850"/>
      <c r="F28" s="2851"/>
      <c r="G28" s="2820"/>
      <c r="H28" s="1418"/>
      <c r="I28" s="587" t="s">
        <v>1198</v>
      </c>
      <c r="J28" s="507"/>
      <c r="K28" s="1418"/>
      <c r="L28" s="151"/>
      <c r="M28" s="2559"/>
      <c r="N28" s="271"/>
      <c r="O28" s="1542"/>
      <c r="P28" s="1542"/>
      <c r="AH28" s="1549">
        <v>0</v>
      </c>
    </row>
    <row r="29" spans="1:34" s="2400" customFormat="1" ht="0.75" hidden="1" customHeight="1">
      <c r="A29" s="1697"/>
      <c r="B29" s="1697"/>
      <c r="C29" s="305" t="s">
        <v>1203</v>
      </c>
      <c r="D29" s="2844"/>
      <c r="E29" s="2598"/>
      <c r="F29" s="2736"/>
      <c r="G29" s="336"/>
      <c r="H29" s="1418"/>
      <c r="I29" s="587"/>
      <c r="J29" s="507"/>
      <c r="K29" s="1418"/>
      <c r="L29" s="151"/>
      <c r="M29" s="2559"/>
      <c r="N29" s="271"/>
      <c r="O29" s="1542"/>
      <c r="P29" s="1542"/>
      <c r="AH29" s="1549">
        <v>0</v>
      </c>
    </row>
    <row r="30" spans="1:34" s="2400" customFormat="1" ht="45" hidden="1" customHeight="1">
      <c r="A30" s="1697" t="s">
        <v>160</v>
      </c>
      <c r="B30" s="1697" t="s">
        <v>161</v>
      </c>
      <c r="C30" s="305"/>
      <c r="D30" s="2844"/>
      <c r="E30" s="2598"/>
      <c r="F30" s="273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20" t="str">
        <f>INDEX(PT_DIFFERENTIATION_NTAR,MATCH(B30,PT_DIFFERENTIATION_NTAR_ID,0))</f>
        <v/>
      </c>
      <c r="H30" s="1777"/>
      <c r="I30" s="1656"/>
      <c r="J30" s="1690"/>
      <c r="K30" s="1780"/>
      <c r="L30" s="1777" t="s">
        <v>297</v>
      </c>
      <c r="M30" s="2559"/>
      <c r="N30" s="271"/>
      <c r="O30" s="1542"/>
      <c r="P30" s="1542"/>
      <c r="AH30" s="1549">
        <v>0</v>
      </c>
    </row>
    <row r="31" spans="1:34" s="2400" customFormat="1" ht="18.75" hidden="1" customHeight="1">
      <c r="A31" s="1697"/>
      <c r="B31" s="1697"/>
      <c r="C31" s="305" t="s">
        <v>1197</v>
      </c>
      <c r="D31" s="2844"/>
      <c r="E31" s="2598"/>
      <c r="F31" s="2736"/>
      <c r="G31" s="2820"/>
      <c r="H31" s="1418"/>
      <c r="I31" s="587" t="s">
        <v>1198</v>
      </c>
      <c r="J31" s="507"/>
      <c r="K31" s="1418"/>
      <c r="L31" s="151"/>
      <c r="M31" s="2559"/>
      <c r="N31" s="271"/>
      <c r="O31" s="1542"/>
      <c r="P31" s="1542"/>
      <c r="AH31" s="1549">
        <v>0</v>
      </c>
    </row>
    <row r="32" spans="1:34" s="2400" customFormat="1" ht="0.75" hidden="1" customHeight="1">
      <c r="A32" s="1697"/>
      <c r="B32" s="1697"/>
      <c r="C32" s="305" t="s">
        <v>1203</v>
      </c>
      <c r="D32" s="2844"/>
      <c r="E32" s="2598"/>
      <c r="F32" s="2736"/>
      <c r="G32" s="336"/>
      <c r="H32" s="1418"/>
      <c r="I32" s="587"/>
      <c r="J32" s="507"/>
      <c r="K32" s="1418"/>
      <c r="L32" s="151"/>
      <c r="M32" s="2559"/>
      <c r="N32" s="271"/>
      <c r="O32" s="1542"/>
      <c r="P32" s="1542"/>
      <c r="AH32" s="1549">
        <v>0</v>
      </c>
    </row>
    <row r="33" spans="1:34" s="2400" customFormat="1" ht="45" hidden="1" customHeight="1">
      <c r="A33" s="1697" t="s">
        <v>166</v>
      </c>
      <c r="B33" s="1697" t="s">
        <v>167</v>
      </c>
      <c r="C33" s="305"/>
      <c r="D33" s="2844"/>
      <c r="E33" s="2598"/>
      <c r="F33" s="273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20" t="str">
        <f>INDEX(PT_DIFFERENTIATION_NTAR,MATCH(B33,PT_DIFFERENTIATION_NTAR_ID,0))</f>
        <v/>
      </c>
      <c r="H33" s="1777"/>
      <c r="I33" s="1656"/>
      <c r="J33" s="1690"/>
      <c r="K33" s="1780"/>
      <c r="L33" s="1777" t="s">
        <v>297</v>
      </c>
      <c r="M33" s="2559"/>
      <c r="N33" s="271"/>
      <c r="O33" s="1542"/>
      <c r="P33" s="1542"/>
      <c r="AH33" s="1549">
        <v>0</v>
      </c>
    </row>
    <row r="34" spans="1:34" s="2400" customFormat="1" ht="18.75" hidden="1" customHeight="1">
      <c r="A34" s="1697"/>
      <c r="B34" s="1697"/>
      <c r="C34" s="305" t="s">
        <v>1197</v>
      </c>
      <c r="D34" s="2844"/>
      <c r="E34" s="2598"/>
      <c r="F34" s="2736"/>
      <c r="G34" s="2820"/>
      <c r="H34" s="1418"/>
      <c r="I34" s="587" t="s">
        <v>1198</v>
      </c>
      <c r="J34" s="507"/>
      <c r="K34" s="1418"/>
      <c r="L34" s="151"/>
      <c r="M34" s="2559"/>
      <c r="N34" s="271"/>
      <c r="O34" s="1542"/>
      <c r="P34" s="1542"/>
      <c r="AH34" s="1549">
        <v>0</v>
      </c>
    </row>
    <row r="35" spans="1:34" s="2400" customFormat="1" ht="0.75" hidden="1" customHeight="1">
      <c r="A35" s="1697"/>
      <c r="B35" s="1697"/>
      <c r="C35" s="305" t="s">
        <v>1203</v>
      </c>
      <c r="D35" s="2844"/>
      <c r="E35" s="2598"/>
      <c r="F35" s="2736"/>
      <c r="G35" s="336"/>
      <c r="H35" s="1418"/>
      <c r="I35" s="587"/>
      <c r="J35" s="507"/>
      <c r="K35" s="1418"/>
      <c r="L35" s="151"/>
      <c r="M35" s="2559"/>
      <c r="N35" s="271"/>
      <c r="O35" s="1542"/>
      <c r="P35" s="1542"/>
      <c r="AH35" s="1549">
        <v>0</v>
      </c>
    </row>
    <row r="36" spans="1:34" s="2400" customFormat="1" ht="18.75" hidden="1" customHeight="1">
      <c r="A36" s="1697" t="s">
        <v>172</v>
      </c>
      <c r="B36" s="1697" t="s">
        <v>173</v>
      </c>
      <c r="C36" s="305"/>
      <c r="D36" s="2844"/>
      <c r="E36" s="2598"/>
      <c r="F36" s="2736" t="str">
        <f>INDEX(PT_DIFFERENTIATION_VTAR,MATCH(A36,PT_DIFFERENTIATION_VTAR_ID,0))</f>
        <v>Тарифы на услуги по передаче тепловой энергии</v>
      </c>
      <c r="G36" s="2820" t="str">
        <f>INDEX(PT_DIFFERENTIATION_NTAR,MATCH(B36,PT_DIFFERENTIATION_NTAR_ID,0))</f>
        <v/>
      </c>
      <c r="H36" s="1777"/>
      <c r="I36" s="1656"/>
      <c r="J36" s="1690"/>
      <c r="K36" s="1780"/>
      <c r="L36" s="1777" t="s">
        <v>297</v>
      </c>
      <c r="M36" s="2559"/>
      <c r="N36" s="271"/>
      <c r="O36" s="1542"/>
      <c r="P36" s="1542"/>
      <c r="AH36" s="1549">
        <v>0</v>
      </c>
    </row>
    <row r="37" spans="1:34" s="2400" customFormat="1" ht="18.75" hidden="1" customHeight="1">
      <c r="A37" s="1697"/>
      <c r="B37" s="1697"/>
      <c r="C37" s="305" t="s">
        <v>1197</v>
      </c>
      <c r="D37" s="2844"/>
      <c r="E37" s="2598"/>
      <c r="F37" s="2736"/>
      <c r="G37" s="2820"/>
      <c r="H37" s="1418"/>
      <c r="I37" s="587" t="s">
        <v>1198</v>
      </c>
      <c r="J37" s="507"/>
      <c r="K37" s="1418"/>
      <c r="L37" s="151"/>
      <c r="M37" s="2559"/>
      <c r="N37" s="271"/>
      <c r="O37" s="1542"/>
      <c r="P37" s="1542"/>
      <c r="AH37" s="1549">
        <v>0</v>
      </c>
    </row>
    <row r="38" spans="1:34" s="2400" customFormat="1" ht="0.75" hidden="1" customHeight="1">
      <c r="A38" s="1697"/>
      <c r="B38" s="1697"/>
      <c r="C38" s="305" t="s">
        <v>1203</v>
      </c>
      <c r="D38" s="2844"/>
      <c r="E38" s="2598"/>
      <c r="F38" s="2736"/>
      <c r="G38" s="336"/>
      <c r="H38" s="1418"/>
      <c r="I38" s="587"/>
      <c r="J38" s="507"/>
      <c r="K38" s="1418"/>
      <c r="L38" s="151"/>
      <c r="M38" s="2559"/>
      <c r="N38" s="271"/>
      <c r="O38" s="1542"/>
      <c r="P38" s="1542"/>
      <c r="AH38" s="1549">
        <v>0</v>
      </c>
    </row>
    <row r="39" spans="1:34" s="2400" customFormat="1" ht="18.75" hidden="1" customHeight="1">
      <c r="A39" s="1697" t="s">
        <v>178</v>
      </c>
      <c r="B39" s="1697" t="s">
        <v>179</v>
      </c>
      <c r="C39" s="305"/>
      <c r="D39" s="2844"/>
      <c r="E39" s="2598"/>
      <c r="F39" s="2736" t="str">
        <f>INDEX(PT_DIFFERENTIATION_VTAR,MATCH(A39,PT_DIFFERENTIATION_VTAR_ID,0))</f>
        <v>Тарифы на услуги по передаче теплоносителя</v>
      </c>
      <c r="G39" s="2820" t="str">
        <f>INDEX(PT_DIFFERENTIATION_NTAR,MATCH(B39,PT_DIFFERENTIATION_NTAR_ID,0))</f>
        <v/>
      </c>
      <c r="H39" s="1777"/>
      <c r="I39" s="1656"/>
      <c r="J39" s="1690"/>
      <c r="K39" s="1780"/>
      <c r="L39" s="1777" t="s">
        <v>297</v>
      </c>
      <c r="M39" s="2559"/>
      <c r="N39" s="271"/>
      <c r="O39" s="1542"/>
      <c r="P39" s="1542"/>
      <c r="AH39" s="1549">
        <v>0</v>
      </c>
    </row>
    <row r="40" spans="1:34" s="2400" customFormat="1" ht="18.75" hidden="1" customHeight="1">
      <c r="A40" s="1697"/>
      <c r="B40" s="1697"/>
      <c r="C40" s="305" t="s">
        <v>1197</v>
      </c>
      <c r="D40" s="2844"/>
      <c r="E40" s="2598"/>
      <c r="F40" s="2736"/>
      <c r="G40" s="2820"/>
      <c r="H40" s="1418"/>
      <c r="I40" s="587" t="s">
        <v>1198</v>
      </c>
      <c r="J40" s="507"/>
      <c r="K40" s="1418"/>
      <c r="L40" s="151"/>
      <c r="M40" s="2559"/>
      <c r="N40" s="271"/>
      <c r="O40" s="1542"/>
      <c r="P40" s="1542"/>
      <c r="AH40" s="1549">
        <v>0</v>
      </c>
    </row>
    <row r="41" spans="1:34" s="2400" customFormat="1" ht="0.75" hidden="1" customHeight="1">
      <c r="A41" s="1697"/>
      <c r="B41" s="1697"/>
      <c r="C41" s="305" t="s">
        <v>1203</v>
      </c>
      <c r="D41" s="2844"/>
      <c r="E41" s="2598"/>
      <c r="F41" s="2736"/>
      <c r="G41" s="336"/>
      <c r="H41" s="1418"/>
      <c r="I41" s="587"/>
      <c r="J41" s="507"/>
      <c r="K41" s="1418"/>
      <c r="L41" s="151"/>
      <c r="M41" s="2559"/>
      <c r="N41" s="271"/>
      <c r="O41" s="1542"/>
      <c r="P41" s="1542"/>
      <c r="AH41" s="1549">
        <v>0</v>
      </c>
    </row>
    <row r="42" spans="1:34" s="2400" customFormat="1" ht="18.75" hidden="1" customHeight="1">
      <c r="A42" s="1697" t="s">
        <v>184</v>
      </c>
      <c r="B42" s="1697" t="s">
        <v>185</v>
      </c>
      <c r="C42" s="305"/>
      <c r="D42" s="2844"/>
      <c r="E42" s="2598"/>
      <c r="F42" s="2736" t="str">
        <f>INDEX(PT_DIFFERENTIATION_VTAR,MATCH(A42,PT_DIFFERENTIATION_VTAR_ID,0))</f>
        <v>Плата за услуги по поддержанию резервной тепловой мощности при отсутствии потребления тепловой энергии</v>
      </c>
      <c r="G42" s="2820" t="str">
        <f>INDEX(PT_DIFFERENTIATION_NTAR,MATCH(B42,PT_DIFFERENTIATION_NTAR_ID,0))</f>
        <v/>
      </c>
      <c r="H42" s="1777"/>
      <c r="I42" s="1656"/>
      <c r="J42" s="1690"/>
      <c r="K42" s="1780"/>
      <c r="L42" s="1777" t="s">
        <v>297</v>
      </c>
      <c r="M42" s="2559"/>
      <c r="N42" s="271"/>
      <c r="O42" s="1542"/>
      <c r="P42" s="1542"/>
      <c r="AH42" s="1549">
        <v>0</v>
      </c>
    </row>
    <row r="43" spans="1:34" s="2400" customFormat="1" ht="18.75" hidden="1" customHeight="1">
      <c r="A43" s="1697"/>
      <c r="B43" s="1697"/>
      <c r="C43" s="305" t="s">
        <v>1197</v>
      </c>
      <c r="D43" s="2844"/>
      <c r="E43" s="2598"/>
      <c r="F43" s="2736"/>
      <c r="G43" s="2820"/>
      <c r="H43" s="1418"/>
      <c r="I43" s="587" t="s">
        <v>1198</v>
      </c>
      <c r="J43" s="507"/>
      <c r="K43" s="1418"/>
      <c r="L43" s="151"/>
      <c r="M43" s="2559"/>
      <c r="N43" s="271"/>
      <c r="O43" s="1542"/>
      <c r="P43" s="1542"/>
      <c r="AH43" s="1549">
        <v>0</v>
      </c>
    </row>
    <row r="44" spans="1:34" s="2400" customFormat="1" ht="0.75" hidden="1" customHeight="1">
      <c r="A44" s="1697"/>
      <c r="B44" s="1697"/>
      <c r="C44" s="305" t="s">
        <v>1203</v>
      </c>
      <c r="D44" s="2844"/>
      <c r="E44" s="2598"/>
      <c r="F44" s="2736"/>
      <c r="G44" s="336"/>
      <c r="H44" s="1418"/>
      <c r="I44" s="587"/>
      <c r="J44" s="507"/>
      <c r="K44" s="1418"/>
      <c r="L44" s="151"/>
      <c r="M44" s="2559"/>
      <c r="N44" s="271"/>
      <c r="O44" s="1542"/>
      <c r="P44" s="1542"/>
      <c r="AH44" s="1549">
        <v>0</v>
      </c>
    </row>
    <row r="45" spans="1:34" s="2400" customFormat="1" ht="18.75" hidden="1" customHeight="1">
      <c r="A45" s="1697" t="s">
        <v>190</v>
      </c>
      <c r="B45" s="1697" t="s">
        <v>191</v>
      </c>
      <c r="C45" s="305"/>
      <c r="D45" s="2844"/>
      <c r="E45" s="2598"/>
      <c r="F45" s="2736" t="str">
        <f>INDEX(PT_DIFFERENTIATION_VTAR,MATCH(A45,PT_DIFFERENTIATION_VTAR_ID,0))</f>
        <v>Плата за подключение (технологическое присоединение) к системе теплоснабжения</v>
      </c>
      <c r="G45" s="2820" t="str">
        <f>INDEX(PT_DIFFERENTIATION_NTAR,MATCH(B45,PT_DIFFERENTIATION_NTAR_ID,0))</f>
        <v/>
      </c>
      <c r="H45" s="1777"/>
      <c r="I45" s="1656"/>
      <c r="J45" s="1690"/>
      <c r="K45" s="1780"/>
      <c r="L45" s="1777" t="s">
        <v>297</v>
      </c>
      <c r="M45" s="2559"/>
      <c r="N45" s="271"/>
      <c r="O45" s="1542"/>
      <c r="P45" s="1542"/>
      <c r="AH45" s="1549">
        <v>0</v>
      </c>
    </row>
    <row r="46" spans="1:34" s="2400" customFormat="1" ht="18.75" hidden="1" customHeight="1">
      <c r="A46" s="1697"/>
      <c r="B46" s="1697"/>
      <c r="C46" s="305" t="s">
        <v>1197</v>
      </c>
      <c r="D46" s="2844"/>
      <c r="E46" s="2598"/>
      <c r="F46" s="2736"/>
      <c r="G46" s="2820"/>
      <c r="H46" s="1418"/>
      <c r="I46" s="587" t="s">
        <v>1198</v>
      </c>
      <c r="J46" s="507"/>
      <c r="K46" s="1418"/>
      <c r="L46" s="151"/>
      <c r="M46" s="2559"/>
      <c r="N46" s="271"/>
      <c r="O46" s="1542"/>
      <c r="P46" s="1542"/>
      <c r="AH46" s="1549">
        <v>0</v>
      </c>
    </row>
    <row r="47" spans="1:34" s="2400" customFormat="1" ht="0.75" hidden="1" customHeight="1">
      <c r="A47" s="1697"/>
      <c r="B47" s="1697"/>
      <c r="C47" s="305" t="s">
        <v>1203</v>
      </c>
      <c r="D47" s="2844"/>
      <c r="E47" s="2598"/>
      <c r="F47" s="2736"/>
      <c r="G47" s="336"/>
      <c r="H47" s="1418"/>
      <c r="I47" s="587"/>
      <c r="J47" s="507"/>
      <c r="K47" s="1418"/>
      <c r="L47" s="151"/>
      <c r="M47" s="2559"/>
      <c r="N47" s="271"/>
      <c r="O47" s="1542"/>
      <c r="P47" s="1542"/>
      <c r="AH47" s="1549">
        <v>0</v>
      </c>
    </row>
    <row r="48" spans="1:34" s="2400" customFormat="1" ht="18.75" hidden="1" customHeight="1">
      <c r="A48" s="1697" t="s">
        <v>196</v>
      </c>
      <c r="B48" s="1697" t="s">
        <v>197</v>
      </c>
      <c r="C48" s="305"/>
      <c r="D48" s="2844"/>
      <c r="E48" s="2598"/>
      <c r="F48" s="2736" t="str">
        <f>INDEX(PT_DIFFERENTIATION_VTAR,MATCH(A48,PT_DIFFERENTIATION_VTAR_ID,0))</f>
        <v>Плата за подключение (технологическое присоединение) к системе теплоснабжения (индивидуальная)</v>
      </c>
      <c r="G48" s="2820" t="str">
        <f>INDEX(PT_DIFFERENTIATION_NTAR,MATCH(B48,PT_DIFFERENTIATION_NTAR_ID,0))</f>
        <v/>
      </c>
      <c r="H48" s="1901"/>
      <c r="I48" s="1656"/>
      <c r="J48" s="1690"/>
      <c r="K48" s="1780"/>
      <c r="L48" s="1901" t="s">
        <v>297</v>
      </c>
      <c r="M48" s="2559"/>
      <c r="N48" s="271"/>
      <c r="O48" s="1542"/>
      <c r="P48" s="1542"/>
      <c r="AH48" s="1549">
        <v>0</v>
      </c>
    </row>
    <row r="49" spans="1:34" s="2400" customFormat="1" ht="18.75" hidden="1" customHeight="1">
      <c r="A49" s="1697"/>
      <c r="B49" s="1697"/>
      <c r="C49" s="305" t="s">
        <v>1197</v>
      </c>
      <c r="D49" s="2844"/>
      <c r="E49" s="2598"/>
      <c r="F49" s="2736"/>
      <c r="G49" s="2820"/>
      <c r="H49" s="1418"/>
      <c r="I49" s="587" t="s">
        <v>1198</v>
      </c>
      <c r="J49" s="507"/>
      <c r="K49" s="1418"/>
      <c r="L49" s="151"/>
      <c r="M49" s="2559"/>
      <c r="N49" s="271"/>
      <c r="O49" s="1542"/>
      <c r="P49" s="1542"/>
      <c r="AH49" s="1549">
        <v>0</v>
      </c>
    </row>
    <row r="50" spans="1:34" s="2400" customFormat="1" ht="0.75" hidden="1" customHeight="1">
      <c r="A50" s="1697"/>
      <c r="B50" s="1697"/>
      <c r="C50" s="305" t="s">
        <v>1203</v>
      </c>
      <c r="D50" s="2844"/>
      <c r="E50" s="2598"/>
      <c r="F50" s="2736"/>
      <c r="G50" s="336"/>
      <c r="H50" s="1418"/>
      <c r="I50" s="587"/>
      <c r="J50" s="507"/>
      <c r="K50" s="1418"/>
      <c r="L50" s="151"/>
      <c r="M50" s="2559"/>
      <c r="N50" s="271"/>
      <c r="O50" s="1542"/>
      <c r="P50" s="1542"/>
      <c r="AH50" s="1549">
        <v>0</v>
      </c>
    </row>
    <row r="51" spans="1:34" s="2400" customFormat="1" ht="18.75" hidden="1" customHeight="1">
      <c r="A51" s="1697" t="s">
        <v>216</v>
      </c>
      <c r="B51" s="1697" t="s">
        <v>217</v>
      </c>
      <c r="C51" s="305"/>
      <c r="D51" s="2844"/>
      <c r="E51" s="2598"/>
      <c r="F51" s="2736" t="str">
        <f>INDEX(PT_DIFFERENTIATION_VTAR,MATCH(A51,PT_DIFFERENTIATION_VTAR_ID,0))</f>
        <v>Тариф на питьевую воду (питьевое водоснабжение)</v>
      </c>
      <c r="G51" s="2820" t="str">
        <f>INDEX(PT_DIFFERENTIATION_NTAR,MATCH(B51,PT_DIFFERENTIATION_NTAR_ID,0))</f>
        <v/>
      </c>
      <c r="H51" s="1777"/>
      <c r="I51" s="1656"/>
      <c r="J51" s="1690"/>
      <c r="K51" s="1780"/>
      <c r="L51" s="1777" t="s">
        <v>297</v>
      </c>
      <c r="M51" s="2559"/>
      <c r="N51" s="271"/>
      <c r="O51" s="1542"/>
      <c r="P51" s="1542"/>
      <c r="AH51" s="1549">
        <v>0</v>
      </c>
    </row>
    <row r="52" spans="1:34" s="2400" customFormat="1" ht="18.75" hidden="1" customHeight="1">
      <c r="A52" s="1697"/>
      <c r="B52" s="1697"/>
      <c r="C52" s="305" t="s">
        <v>1197</v>
      </c>
      <c r="D52" s="2844"/>
      <c r="E52" s="2598"/>
      <c r="F52" s="2736"/>
      <c r="G52" s="2820"/>
      <c r="H52" s="1418"/>
      <c r="I52" s="587" t="s">
        <v>1198</v>
      </c>
      <c r="J52" s="507"/>
      <c r="K52" s="1418"/>
      <c r="L52" s="151"/>
      <c r="M52" s="2559"/>
      <c r="N52" s="271"/>
      <c r="O52" s="1542"/>
      <c r="P52" s="1542"/>
      <c r="AH52" s="1549">
        <v>0</v>
      </c>
    </row>
    <row r="53" spans="1:34" s="2400" customFormat="1" ht="0.75" hidden="1" customHeight="1">
      <c r="A53" s="1697"/>
      <c r="B53" s="1697"/>
      <c r="C53" s="305" t="s">
        <v>1203</v>
      </c>
      <c r="D53" s="2844"/>
      <c r="E53" s="2598"/>
      <c r="F53" s="2736"/>
      <c r="G53" s="336"/>
      <c r="H53" s="1418"/>
      <c r="I53" s="587"/>
      <c r="J53" s="507"/>
      <c r="K53" s="1418"/>
      <c r="L53" s="151"/>
      <c r="M53" s="2559"/>
      <c r="N53" s="271"/>
      <c r="O53" s="1542"/>
      <c r="P53" s="1542"/>
      <c r="AH53" s="1549">
        <v>0</v>
      </c>
    </row>
    <row r="54" spans="1:34" s="2400" customFormat="1" ht="18.75" hidden="1" customHeight="1">
      <c r="A54" s="1697" t="s">
        <v>221</v>
      </c>
      <c r="B54" s="1697" t="s">
        <v>222</v>
      </c>
      <c r="C54" s="305"/>
      <c r="D54" s="2844"/>
      <c r="E54" s="2598"/>
      <c r="F54" s="2736" t="str">
        <f>INDEX(PT_DIFFERENTIATION_VTAR,MATCH(A54,PT_DIFFERENTIATION_VTAR_ID,0))</f>
        <v>Тариф на техническую воду</v>
      </c>
      <c r="G54" s="2820" t="str">
        <f>INDEX(PT_DIFFERENTIATION_NTAR,MATCH(B54,PT_DIFFERENTIATION_NTAR_ID,0))</f>
        <v/>
      </c>
      <c r="H54" s="1777"/>
      <c r="I54" s="1656"/>
      <c r="J54" s="1690"/>
      <c r="K54" s="1780"/>
      <c r="L54" s="1777" t="s">
        <v>297</v>
      </c>
      <c r="M54" s="2559"/>
      <c r="N54" s="271"/>
      <c r="O54" s="1542"/>
      <c r="P54" s="1542"/>
      <c r="AH54" s="1549">
        <v>0</v>
      </c>
    </row>
    <row r="55" spans="1:34" s="2400" customFormat="1" ht="18.75" hidden="1" customHeight="1">
      <c r="A55" s="1697"/>
      <c r="B55" s="1697"/>
      <c r="C55" s="305" t="s">
        <v>1197</v>
      </c>
      <c r="D55" s="2844"/>
      <c r="E55" s="2598"/>
      <c r="F55" s="2736"/>
      <c r="G55" s="2820"/>
      <c r="H55" s="1418"/>
      <c r="I55" s="587" t="s">
        <v>1198</v>
      </c>
      <c r="J55" s="507"/>
      <c r="K55" s="1418"/>
      <c r="L55" s="151"/>
      <c r="M55" s="2559"/>
      <c r="N55" s="271"/>
      <c r="O55" s="1542"/>
      <c r="P55" s="1542"/>
      <c r="AH55" s="1549">
        <v>0</v>
      </c>
    </row>
    <row r="56" spans="1:34" s="2400" customFormat="1" ht="0.75" hidden="1" customHeight="1">
      <c r="A56" s="1697"/>
      <c r="B56" s="1697"/>
      <c r="C56" s="305" t="s">
        <v>1203</v>
      </c>
      <c r="D56" s="2844"/>
      <c r="E56" s="2598"/>
      <c r="F56" s="2736"/>
      <c r="G56" s="336"/>
      <c r="H56" s="1418"/>
      <c r="I56" s="587"/>
      <c r="J56" s="507"/>
      <c r="K56" s="1418"/>
      <c r="L56" s="151"/>
      <c r="M56" s="2559"/>
      <c r="N56" s="271"/>
      <c r="O56" s="1542"/>
      <c r="P56" s="1542"/>
      <c r="AH56" s="1549">
        <v>0</v>
      </c>
    </row>
    <row r="57" spans="1:34" s="2400" customFormat="1" ht="18.75" hidden="1" customHeight="1">
      <c r="A57" s="1697" t="s">
        <v>226</v>
      </c>
      <c r="B57" s="1697" t="s">
        <v>227</v>
      </c>
      <c r="C57" s="305"/>
      <c r="D57" s="2844"/>
      <c r="E57" s="2598"/>
      <c r="F57" s="2736" t="str">
        <f>INDEX(PT_DIFFERENTIATION_VTAR,MATCH(A57,PT_DIFFERENTIATION_VTAR_ID,0))</f>
        <v>Тариф на транспортировку воды</v>
      </c>
      <c r="G57" s="2820" t="str">
        <f>INDEX(PT_DIFFERENTIATION_NTAR,MATCH(B57,PT_DIFFERENTIATION_NTAR_ID,0))</f>
        <v/>
      </c>
      <c r="H57" s="1777"/>
      <c r="I57" s="1656"/>
      <c r="J57" s="1690"/>
      <c r="K57" s="1780"/>
      <c r="L57" s="1777" t="s">
        <v>297</v>
      </c>
      <c r="M57" s="2559"/>
      <c r="N57" s="271"/>
      <c r="O57" s="1542"/>
      <c r="P57" s="1542"/>
      <c r="AH57" s="1549">
        <v>0</v>
      </c>
    </row>
    <row r="58" spans="1:34" s="2400" customFormat="1" ht="18.75" hidden="1" customHeight="1">
      <c r="A58" s="1697"/>
      <c r="B58" s="1697"/>
      <c r="C58" s="305" t="s">
        <v>1197</v>
      </c>
      <c r="D58" s="2844"/>
      <c r="E58" s="2598"/>
      <c r="F58" s="2736"/>
      <c r="G58" s="2820"/>
      <c r="H58" s="1418"/>
      <c r="I58" s="587" t="s">
        <v>1198</v>
      </c>
      <c r="J58" s="507"/>
      <c r="K58" s="1418"/>
      <c r="L58" s="151"/>
      <c r="M58" s="2559"/>
      <c r="N58" s="271"/>
      <c r="O58" s="1542"/>
      <c r="P58" s="1542"/>
      <c r="AH58" s="1549">
        <v>0</v>
      </c>
    </row>
    <row r="59" spans="1:34" s="2400" customFormat="1" ht="0.75" hidden="1" customHeight="1">
      <c r="A59" s="1697"/>
      <c r="B59" s="1697"/>
      <c r="C59" s="305" t="s">
        <v>1203</v>
      </c>
      <c r="D59" s="2844"/>
      <c r="E59" s="2598"/>
      <c r="F59" s="2736"/>
      <c r="G59" s="336"/>
      <c r="H59" s="1418"/>
      <c r="I59" s="587"/>
      <c r="J59" s="507"/>
      <c r="K59" s="1418"/>
      <c r="L59" s="151"/>
      <c r="M59" s="2559"/>
      <c r="N59" s="271"/>
      <c r="O59" s="1542"/>
      <c r="P59" s="1542"/>
      <c r="AH59" s="1549">
        <v>0</v>
      </c>
    </row>
    <row r="60" spans="1:34" s="2400" customFormat="1" ht="18.75" hidden="1" customHeight="1">
      <c r="A60" s="1697" t="s">
        <v>231</v>
      </c>
      <c r="B60" s="1697" t="s">
        <v>232</v>
      </c>
      <c r="C60" s="305"/>
      <c r="D60" s="2844"/>
      <c r="E60" s="2598"/>
      <c r="F60" s="2736" t="str">
        <f>INDEX(PT_DIFFERENTIATION_VTAR,MATCH(A60,PT_DIFFERENTIATION_VTAR_ID,0))</f>
        <v>Тариф на подвоз воды</v>
      </c>
      <c r="G60" s="2820" t="str">
        <f>INDEX(PT_DIFFERENTIATION_NTAR,MATCH(B60,PT_DIFFERENTIATION_NTAR_ID,0))</f>
        <v/>
      </c>
      <c r="H60" s="1777"/>
      <c r="I60" s="1656"/>
      <c r="J60" s="1690"/>
      <c r="K60" s="1780"/>
      <c r="L60" s="1777" t="s">
        <v>297</v>
      </c>
      <c r="M60" s="2559"/>
      <c r="N60" s="271"/>
      <c r="O60" s="1542"/>
      <c r="P60" s="1542"/>
      <c r="AH60" s="1549">
        <v>0</v>
      </c>
    </row>
    <row r="61" spans="1:34" s="2400" customFormat="1" ht="18.75" hidden="1" customHeight="1">
      <c r="A61" s="1697"/>
      <c r="B61" s="1697"/>
      <c r="C61" s="305" t="s">
        <v>1197</v>
      </c>
      <c r="D61" s="2844"/>
      <c r="E61" s="2598"/>
      <c r="F61" s="2736"/>
      <c r="G61" s="2820"/>
      <c r="H61" s="1418"/>
      <c r="I61" s="587" t="s">
        <v>1198</v>
      </c>
      <c r="J61" s="507"/>
      <c r="K61" s="1418"/>
      <c r="L61" s="151"/>
      <c r="M61" s="2559"/>
      <c r="N61" s="271"/>
      <c r="O61" s="1542"/>
      <c r="P61" s="1542"/>
      <c r="AH61" s="1549">
        <v>0</v>
      </c>
    </row>
    <row r="62" spans="1:34" s="2400" customFormat="1" ht="0.75" hidden="1" customHeight="1">
      <c r="A62" s="1697"/>
      <c r="B62" s="1697"/>
      <c r="C62" s="305" t="s">
        <v>1203</v>
      </c>
      <c r="D62" s="2844"/>
      <c r="E62" s="2598"/>
      <c r="F62" s="2736"/>
      <c r="G62" s="336"/>
      <c r="H62" s="1418"/>
      <c r="I62" s="587"/>
      <c r="J62" s="507"/>
      <c r="K62" s="1418"/>
      <c r="L62" s="151"/>
      <c r="M62" s="2559"/>
      <c r="N62" s="271"/>
      <c r="O62" s="1542"/>
      <c r="P62" s="1542"/>
      <c r="AH62" s="1549">
        <v>0</v>
      </c>
    </row>
    <row r="63" spans="1:34" s="2400" customFormat="1" ht="18.75" hidden="1" customHeight="1">
      <c r="A63" s="1697" t="s">
        <v>236</v>
      </c>
      <c r="B63" s="1697" t="s">
        <v>237</v>
      </c>
      <c r="C63" s="305"/>
      <c r="D63" s="2844"/>
      <c r="E63" s="2598"/>
      <c r="F63" s="273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20" t="str">
        <f>INDEX(PT_DIFFERENTIATION_NTAR,MATCH(B63,PT_DIFFERENTIATION_NTAR_ID,0))</f>
        <v/>
      </c>
      <c r="H63" s="1777"/>
      <c r="I63" s="1656"/>
      <c r="J63" s="1690"/>
      <c r="K63" s="1780"/>
      <c r="L63" s="1777" t="s">
        <v>297</v>
      </c>
      <c r="M63" s="2559"/>
      <c r="N63" s="271"/>
      <c r="O63" s="1542"/>
      <c r="P63" s="1542"/>
      <c r="AH63" s="1549">
        <v>0</v>
      </c>
    </row>
    <row r="64" spans="1:34" s="2400" customFormat="1" ht="18.75" hidden="1" customHeight="1">
      <c r="A64" s="1697"/>
      <c r="B64" s="1697"/>
      <c r="C64" s="305" t="s">
        <v>1197</v>
      </c>
      <c r="D64" s="2844"/>
      <c r="E64" s="2598"/>
      <c r="F64" s="2736"/>
      <c r="G64" s="2820"/>
      <c r="H64" s="1418"/>
      <c r="I64" s="587" t="s">
        <v>1198</v>
      </c>
      <c r="J64" s="507"/>
      <c r="K64" s="1418"/>
      <c r="L64" s="151"/>
      <c r="M64" s="2559"/>
      <c r="N64" s="271"/>
      <c r="O64" s="1542"/>
      <c r="P64" s="1542"/>
      <c r="AH64" s="1549">
        <v>0</v>
      </c>
    </row>
    <row r="65" spans="1:34" s="2400" customFormat="1" ht="0.75" hidden="1" customHeight="1">
      <c r="A65" s="1697"/>
      <c r="B65" s="1697"/>
      <c r="C65" s="305" t="s">
        <v>1203</v>
      </c>
      <c r="D65" s="2844"/>
      <c r="E65" s="2598"/>
      <c r="F65" s="2736"/>
      <c r="G65" s="336"/>
      <c r="H65" s="1418"/>
      <c r="I65" s="587"/>
      <c r="J65" s="507"/>
      <c r="K65" s="1418"/>
      <c r="L65" s="151"/>
      <c r="M65" s="2559"/>
      <c r="N65" s="271"/>
      <c r="O65" s="1542"/>
      <c r="P65" s="1542"/>
      <c r="AH65" s="1549">
        <v>0</v>
      </c>
    </row>
    <row r="66" spans="1:34" s="2400" customFormat="1" ht="18.75" hidden="1" customHeight="1">
      <c r="A66" s="1697" t="s">
        <v>241</v>
      </c>
      <c r="B66" s="1697" t="s">
        <v>242</v>
      </c>
      <c r="C66" s="305"/>
      <c r="D66" s="2844"/>
      <c r="E66" s="2598"/>
      <c r="F66" s="2736" t="str">
        <f>INDEX(PT_DIFFERENTIATION_VTAR,MATCH(A66,PT_DIFFERENTIATION_VTAR_ID,0))</f>
        <v>Тариф на горячую воду (горячее водоснабжение)</v>
      </c>
      <c r="G66" s="2820" t="str">
        <f>INDEX(PT_DIFFERENTIATION_NTAR,MATCH(B66,PT_DIFFERENTIATION_NTAR_ID,0))</f>
        <v/>
      </c>
      <c r="H66" s="1777"/>
      <c r="I66" s="1656"/>
      <c r="J66" s="1690"/>
      <c r="K66" s="1780"/>
      <c r="L66" s="1777" t="s">
        <v>297</v>
      </c>
      <c r="M66" s="2559"/>
      <c r="N66" s="271"/>
      <c r="O66" s="1542"/>
      <c r="P66" s="1542"/>
      <c r="AH66" s="1549">
        <v>0</v>
      </c>
    </row>
    <row r="67" spans="1:34" s="2400" customFormat="1" ht="18.75" hidden="1" customHeight="1">
      <c r="A67" s="1697"/>
      <c r="B67" s="1697"/>
      <c r="C67" s="305" t="s">
        <v>1197</v>
      </c>
      <c r="D67" s="2844"/>
      <c r="E67" s="2598"/>
      <c r="F67" s="2736"/>
      <c r="G67" s="2820"/>
      <c r="H67" s="1418"/>
      <c r="I67" s="587" t="s">
        <v>1198</v>
      </c>
      <c r="J67" s="507"/>
      <c r="K67" s="1418"/>
      <c r="L67" s="151"/>
      <c r="M67" s="2559"/>
      <c r="N67" s="271"/>
      <c r="O67" s="1542"/>
      <c r="P67" s="1542"/>
      <c r="AH67" s="1549">
        <v>0</v>
      </c>
    </row>
    <row r="68" spans="1:34" s="2400" customFormat="1" ht="0.75" hidden="1" customHeight="1">
      <c r="A68" s="1697"/>
      <c r="B68" s="1697"/>
      <c r="C68" s="305" t="s">
        <v>1203</v>
      </c>
      <c r="D68" s="2844"/>
      <c r="E68" s="2598"/>
      <c r="F68" s="2736"/>
      <c r="G68" s="336"/>
      <c r="H68" s="1418"/>
      <c r="I68" s="587"/>
      <c r="J68" s="507"/>
      <c r="K68" s="1418"/>
      <c r="L68" s="151"/>
      <c r="M68" s="2559"/>
      <c r="N68" s="271"/>
      <c r="O68" s="1542"/>
      <c r="P68" s="1542"/>
      <c r="AH68" s="1549">
        <v>0</v>
      </c>
    </row>
    <row r="69" spans="1:34" s="2400" customFormat="1" ht="18.75" hidden="1" customHeight="1">
      <c r="A69" s="1697" t="s">
        <v>246</v>
      </c>
      <c r="B69" s="1697" t="s">
        <v>247</v>
      </c>
      <c r="C69" s="305"/>
      <c r="D69" s="2844"/>
      <c r="E69" s="2598"/>
      <c r="F69" s="2736" t="str">
        <f>INDEX(PT_DIFFERENTIATION_VTAR,MATCH(A69,PT_DIFFERENTIATION_VTAR_ID,0))</f>
        <v>Тариф на транспортировку горячей воды</v>
      </c>
      <c r="G69" s="2820" t="str">
        <f>INDEX(PT_DIFFERENTIATION_NTAR,MATCH(B69,PT_DIFFERENTIATION_NTAR_ID,0))</f>
        <v/>
      </c>
      <c r="H69" s="1777"/>
      <c r="I69" s="1656"/>
      <c r="J69" s="1690"/>
      <c r="K69" s="1780"/>
      <c r="L69" s="1777" t="s">
        <v>297</v>
      </c>
      <c r="M69" s="2559"/>
      <c r="N69" s="271"/>
      <c r="O69" s="1542"/>
      <c r="P69" s="1542"/>
      <c r="AH69" s="1549">
        <v>0</v>
      </c>
    </row>
    <row r="70" spans="1:34" s="2400" customFormat="1" ht="18.75" hidden="1" customHeight="1">
      <c r="A70" s="1697"/>
      <c r="B70" s="1697"/>
      <c r="C70" s="305" t="s">
        <v>1197</v>
      </c>
      <c r="D70" s="2844"/>
      <c r="E70" s="2598"/>
      <c r="F70" s="2736"/>
      <c r="G70" s="2820"/>
      <c r="H70" s="1418"/>
      <c r="I70" s="587" t="s">
        <v>1198</v>
      </c>
      <c r="J70" s="507"/>
      <c r="K70" s="1418"/>
      <c r="L70" s="151"/>
      <c r="M70" s="2559"/>
      <c r="N70" s="271"/>
      <c r="O70" s="1542"/>
      <c r="P70" s="1542"/>
      <c r="AH70" s="1549">
        <v>0</v>
      </c>
    </row>
    <row r="71" spans="1:34" s="2400" customFormat="1" ht="0.75" hidden="1" customHeight="1">
      <c r="A71" s="1697"/>
      <c r="B71" s="1697"/>
      <c r="C71" s="305" t="s">
        <v>1203</v>
      </c>
      <c r="D71" s="2844"/>
      <c r="E71" s="2598"/>
      <c r="F71" s="2736"/>
      <c r="G71" s="336"/>
      <c r="H71" s="1418"/>
      <c r="I71" s="587"/>
      <c r="J71" s="507"/>
      <c r="K71" s="1418"/>
      <c r="L71" s="151"/>
      <c r="M71" s="2559"/>
      <c r="N71" s="271"/>
      <c r="O71" s="1542"/>
      <c r="P71" s="1542"/>
      <c r="AH71" s="1549">
        <v>0</v>
      </c>
    </row>
    <row r="72" spans="1:34" s="2400" customFormat="1" ht="18.75" hidden="1" customHeight="1">
      <c r="A72" s="1697" t="s">
        <v>251</v>
      </c>
      <c r="B72" s="1697" t="s">
        <v>252</v>
      </c>
      <c r="C72" s="305"/>
      <c r="D72" s="2844"/>
      <c r="E72" s="2598"/>
      <c r="F72" s="2736" t="str">
        <f>INDEX(PT_DIFFERENTIATION_VTAR,MATCH(A72,PT_DIFFERENTIATION_VTAR_ID,0))</f>
        <v>Тариф на подключение (технологическое присоединение) к централизованной системе горячего водоснабжения</v>
      </c>
      <c r="G72" s="2820" t="str">
        <f>INDEX(PT_DIFFERENTIATION_NTAR,MATCH(B72,PT_DIFFERENTIATION_NTAR_ID,0))</f>
        <v/>
      </c>
      <c r="H72" s="1777"/>
      <c r="I72" s="1656"/>
      <c r="J72" s="1690"/>
      <c r="K72" s="1780"/>
      <c r="L72" s="1777" t="s">
        <v>297</v>
      </c>
      <c r="M72" s="2559"/>
      <c r="N72" s="271"/>
      <c r="O72" s="1542"/>
      <c r="P72" s="1542"/>
      <c r="AH72" s="1549">
        <v>0</v>
      </c>
    </row>
    <row r="73" spans="1:34" s="2400" customFormat="1" ht="18.75" hidden="1" customHeight="1">
      <c r="A73" s="1697"/>
      <c r="B73" s="1697"/>
      <c r="C73" s="305" t="s">
        <v>1197</v>
      </c>
      <c r="D73" s="2844"/>
      <c r="E73" s="2598"/>
      <c r="F73" s="2736"/>
      <c r="G73" s="2820"/>
      <c r="H73" s="1418"/>
      <c r="I73" s="587" t="s">
        <v>1198</v>
      </c>
      <c r="J73" s="507"/>
      <c r="K73" s="1418"/>
      <c r="L73" s="151"/>
      <c r="M73" s="2559"/>
      <c r="N73" s="271"/>
      <c r="O73" s="1542"/>
      <c r="P73" s="1542"/>
      <c r="AH73" s="1549">
        <v>0</v>
      </c>
    </row>
    <row r="74" spans="1:34" s="2400" customFormat="1" ht="0.75" hidden="1" customHeight="1">
      <c r="A74" s="1697"/>
      <c r="B74" s="1697"/>
      <c r="C74" s="305" t="s">
        <v>1203</v>
      </c>
      <c r="D74" s="2844"/>
      <c r="E74" s="2598"/>
      <c r="F74" s="2736"/>
      <c r="G74" s="336"/>
      <c r="H74" s="1418"/>
      <c r="I74" s="587"/>
      <c r="J74" s="507"/>
      <c r="K74" s="1418"/>
      <c r="L74" s="151"/>
      <c r="M74" s="2559"/>
      <c r="N74" s="271"/>
      <c r="O74" s="1542"/>
      <c r="P74" s="1542"/>
      <c r="AH74" s="1549">
        <v>0</v>
      </c>
    </row>
    <row r="75" spans="1:34" s="2400" customFormat="1" ht="18.75" hidden="1" customHeight="1">
      <c r="A75" s="1697" t="s">
        <v>256</v>
      </c>
      <c r="B75" s="1697" t="s">
        <v>257</v>
      </c>
      <c r="C75" s="305"/>
      <c r="D75" s="2844"/>
      <c r="E75" s="2598"/>
      <c r="F75" s="2736" t="str">
        <f>INDEX(PT_DIFFERENTIATION_VTAR,MATCH(A75,PT_DIFFERENTIATION_VTAR_ID,0))</f>
        <v>Тариф на водоотведение</v>
      </c>
      <c r="G75" s="2820" t="str">
        <f>INDEX(PT_DIFFERENTIATION_NTAR,MATCH(B75,PT_DIFFERENTIATION_NTAR_ID,0))</f>
        <v/>
      </c>
      <c r="H75" s="1777"/>
      <c r="I75" s="1656"/>
      <c r="J75" s="1690"/>
      <c r="K75" s="1780"/>
      <c r="L75" s="1777" t="s">
        <v>297</v>
      </c>
      <c r="M75" s="2559"/>
      <c r="N75" s="271"/>
      <c r="O75" s="1542"/>
      <c r="P75" s="1542"/>
      <c r="AH75" s="1549">
        <v>0</v>
      </c>
    </row>
    <row r="76" spans="1:34" s="2400" customFormat="1" ht="18.75" hidden="1" customHeight="1">
      <c r="A76" s="1697"/>
      <c r="B76" s="1697"/>
      <c r="C76" s="305" t="s">
        <v>1197</v>
      </c>
      <c r="D76" s="2844"/>
      <c r="E76" s="2598"/>
      <c r="F76" s="2736"/>
      <c r="G76" s="2820"/>
      <c r="H76" s="1418"/>
      <c r="I76" s="587" t="s">
        <v>1198</v>
      </c>
      <c r="J76" s="507"/>
      <c r="K76" s="1418"/>
      <c r="L76" s="151"/>
      <c r="M76" s="2559"/>
      <c r="N76" s="271"/>
      <c r="O76" s="1542"/>
      <c r="P76" s="1542"/>
      <c r="AH76" s="1549">
        <v>0</v>
      </c>
    </row>
    <row r="77" spans="1:34" s="2400" customFormat="1" ht="0.75" hidden="1" customHeight="1">
      <c r="A77" s="1697"/>
      <c r="B77" s="1697"/>
      <c r="C77" s="305" t="s">
        <v>1203</v>
      </c>
      <c r="D77" s="2844"/>
      <c r="E77" s="2598"/>
      <c r="F77" s="2736"/>
      <c r="G77" s="336"/>
      <c r="H77" s="1418"/>
      <c r="I77" s="587"/>
      <c r="J77" s="507"/>
      <c r="K77" s="1418"/>
      <c r="L77" s="151"/>
      <c r="M77" s="2559"/>
      <c r="N77" s="271"/>
      <c r="O77" s="1542"/>
      <c r="P77" s="1542"/>
      <c r="AH77" s="1549">
        <v>0</v>
      </c>
    </row>
    <row r="78" spans="1:34" s="2400" customFormat="1" ht="18.75" hidden="1" customHeight="1">
      <c r="A78" s="1697" t="s">
        <v>261</v>
      </c>
      <c r="B78" s="1697" t="s">
        <v>262</v>
      </c>
      <c r="C78" s="305"/>
      <c r="D78" s="2844"/>
      <c r="E78" s="2598"/>
      <c r="F78" s="2736" t="str">
        <f>INDEX(PT_DIFFERENTIATION_VTAR,MATCH(A78,PT_DIFFERENTIATION_VTAR_ID,0))</f>
        <v>Тариф на транспортировку сточных вод</v>
      </c>
      <c r="G78" s="2820" t="str">
        <f>INDEX(PT_DIFFERENTIATION_NTAR,MATCH(B78,PT_DIFFERENTIATION_NTAR_ID,0))</f>
        <v/>
      </c>
      <c r="H78" s="1777"/>
      <c r="I78" s="1656"/>
      <c r="J78" s="1690"/>
      <c r="K78" s="1780"/>
      <c r="L78" s="1777" t="s">
        <v>297</v>
      </c>
      <c r="M78" s="2559"/>
      <c r="N78" s="271"/>
      <c r="O78" s="1542"/>
      <c r="P78" s="1542"/>
      <c r="AH78" s="1549">
        <v>0</v>
      </c>
    </row>
    <row r="79" spans="1:34" s="2400" customFormat="1" ht="18.75" hidden="1" customHeight="1">
      <c r="A79" s="1697"/>
      <c r="B79" s="1697"/>
      <c r="C79" s="305" t="s">
        <v>1197</v>
      </c>
      <c r="D79" s="2844"/>
      <c r="E79" s="2598"/>
      <c r="F79" s="2736"/>
      <c r="G79" s="2820"/>
      <c r="H79" s="1418"/>
      <c r="I79" s="587" t="s">
        <v>1198</v>
      </c>
      <c r="J79" s="507"/>
      <c r="K79" s="1418"/>
      <c r="L79" s="151"/>
      <c r="M79" s="2559"/>
      <c r="N79" s="271"/>
      <c r="O79" s="1542"/>
      <c r="P79" s="1542"/>
      <c r="AH79" s="1549">
        <v>0</v>
      </c>
    </row>
    <row r="80" spans="1:34" s="2400" customFormat="1" ht="0.75" hidden="1" customHeight="1">
      <c r="A80" s="1697"/>
      <c r="B80" s="1697"/>
      <c r="C80" s="305" t="s">
        <v>1203</v>
      </c>
      <c r="D80" s="2844"/>
      <c r="E80" s="2598"/>
      <c r="F80" s="2736"/>
      <c r="G80" s="336"/>
      <c r="H80" s="1418"/>
      <c r="I80" s="587"/>
      <c r="J80" s="507"/>
      <c r="K80" s="1418"/>
      <c r="L80" s="151"/>
      <c r="M80" s="2559"/>
      <c r="N80" s="271"/>
      <c r="O80" s="1542"/>
      <c r="P80" s="1542"/>
      <c r="AH80" s="1549">
        <v>0</v>
      </c>
    </row>
    <row r="81" spans="1:34" s="2400" customFormat="1" ht="18.75" hidden="1" customHeight="1">
      <c r="A81" s="1697" t="s">
        <v>266</v>
      </c>
      <c r="B81" s="1697" t="s">
        <v>267</v>
      </c>
      <c r="C81" s="305"/>
      <c r="D81" s="2844"/>
      <c r="E81" s="2598"/>
      <c r="F81" s="2736" t="str">
        <f>INDEX(PT_DIFFERENTIATION_VTAR,MATCH(A81,PT_DIFFERENTIATION_VTAR_ID,0))</f>
        <v>Тариф на подключение (технологическое присоединение) к централизованной системе водоотведения</v>
      </c>
      <c r="G81" s="2820" t="str">
        <f>INDEX(PT_DIFFERENTIATION_NTAR,MATCH(B81,PT_DIFFERENTIATION_NTAR_ID,0))</f>
        <v/>
      </c>
      <c r="H81" s="1777"/>
      <c r="I81" s="1656"/>
      <c r="J81" s="1690"/>
      <c r="K81" s="1780"/>
      <c r="L81" s="1777" t="s">
        <v>297</v>
      </c>
      <c r="M81" s="2559"/>
      <c r="N81" s="271"/>
      <c r="O81" s="1542"/>
      <c r="P81" s="1542"/>
      <c r="AH81" s="1549">
        <v>0</v>
      </c>
    </row>
    <row r="82" spans="1:34" s="2400" customFormat="1" ht="18.75" hidden="1" customHeight="1">
      <c r="A82" s="1697"/>
      <c r="B82" s="1697"/>
      <c r="C82" s="305" t="s">
        <v>1197</v>
      </c>
      <c r="D82" s="2844"/>
      <c r="E82" s="2598"/>
      <c r="F82" s="2736"/>
      <c r="G82" s="2820"/>
      <c r="H82" s="1418"/>
      <c r="I82" s="587" t="s">
        <v>1198</v>
      </c>
      <c r="J82" s="507"/>
      <c r="K82" s="1418"/>
      <c r="L82" s="151"/>
      <c r="M82" s="2559"/>
      <c r="N82" s="271"/>
      <c r="O82" s="1542"/>
      <c r="P82" s="1542"/>
      <c r="AH82" s="1549">
        <v>0</v>
      </c>
    </row>
    <row r="83" spans="1:34" s="2400" customFormat="1" ht="1.1499999999999999" customHeight="1">
      <c r="A83" s="1697"/>
      <c r="B83" s="1697"/>
      <c r="C83" s="305" t="s">
        <v>1203</v>
      </c>
      <c r="D83" s="2844"/>
      <c r="E83" s="2598"/>
      <c r="F83" s="2736"/>
      <c r="G83" s="336"/>
      <c r="H83" s="1418"/>
      <c r="I83" s="587"/>
      <c r="J83" s="507"/>
      <c r="K83" s="1418"/>
      <c r="L83" s="151"/>
      <c r="M83" s="2559"/>
      <c r="N83" s="271"/>
      <c r="O83" s="1542"/>
      <c r="P83" s="1542"/>
      <c r="AH83" s="1549">
        <v>1</v>
      </c>
    </row>
    <row r="84" spans="1:34" ht="19.899999999999999" customHeight="1">
      <c r="A84" s="1697"/>
      <c r="B84" s="1697"/>
      <c r="D84" s="312"/>
      <c r="E84" s="85" t="s">
        <v>103</v>
      </c>
      <c r="F84" s="284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43"/>
      <c r="H84" s="2843"/>
      <c r="I84" s="2843"/>
      <c r="J84" s="2843"/>
      <c r="K84" s="2843"/>
      <c r="L84" s="2843"/>
      <c r="M84" s="234"/>
      <c r="N84" s="271"/>
      <c r="AH84" s="310">
        <v>19</v>
      </c>
    </row>
    <row r="85" spans="1:34" ht="35.65" customHeight="1">
      <c r="A85" s="1697"/>
      <c r="B85" s="1697"/>
      <c r="D85" s="312"/>
      <c r="E85" s="335"/>
      <c r="F85" s="135" t="s">
        <v>297</v>
      </c>
      <c r="G85" s="135" t="s">
        <v>297</v>
      </c>
      <c r="H85" s="2608" t="s">
        <v>297</v>
      </c>
      <c r="I85" s="2622"/>
      <c r="J85" s="135" t="s">
        <v>297</v>
      </c>
      <c r="K85" s="135" t="s">
        <v>297</v>
      </c>
      <c r="L85" s="337"/>
      <c r="M85" s="282" t="s">
        <v>1204</v>
      </c>
      <c r="N85" s="271"/>
      <c r="AH85" s="310">
        <v>34</v>
      </c>
    </row>
    <row r="86" spans="1:34" ht="19.899999999999999" customHeight="1">
      <c r="A86" s="1697"/>
      <c r="B86" s="1697"/>
      <c r="D86" s="312"/>
      <c r="E86" s="85" t="s">
        <v>86</v>
      </c>
      <c r="F86" s="2843" t="s">
        <v>1205</v>
      </c>
      <c r="G86" s="2843"/>
      <c r="H86" s="2843"/>
      <c r="I86" s="2843"/>
      <c r="J86" s="2843"/>
      <c r="K86" s="2843"/>
      <c r="L86" s="2843"/>
      <c r="M86" s="234"/>
      <c r="N86" s="271"/>
      <c r="AH86" s="310">
        <v>19</v>
      </c>
    </row>
    <row r="87" spans="1:34" s="2400" customFormat="1" ht="60.75" hidden="1" customHeight="1">
      <c r="A87" s="1697" t="s">
        <v>148</v>
      </c>
      <c r="B87" s="1697" t="s">
        <v>149</v>
      </c>
      <c r="C87" s="305"/>
      <c r="D87" s="2844"/>
      <c r="E87" s="2598"/>
      <c r="F87" s="273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20" t="str">
        <f>INDEX(PT_DIFFERENTIATION_NTAR,MATCH(B87,PT_DIFFERENTIATION_NTAR_ID,0))</f>
        <v/>
      </c>
      <c r="H87" s="1777"/>
      <c r="I87" s="1656"/>
      <c r="J87" s="1690"/>
      <c r="K87" s="1695"/>
      <c r="L87" s="1777" t="s">
        <v>297</v>
      </c>
      <c r="M87" s="25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2"/>
      <c r="P87" s="1542"/>
      <c r="AH87" s="1549">
        <v>0</v>
      </c>
    </row>
    <row r="88" spans="1:34" s="2400" customFormat="1" ht="18.75" hidden="1" customHeight="1">
      <c r="A88" s="1697"/>
      <c r="B88" s="1697"/>
      <c r="C88" s="305" t="s">
        <v>1199</v>
      </c>
      <c r="D88" s="2844"/>
      <c r="E88" s="2598"/>
      <c r="F88" s="2736"/>
      <c r="G88" s="2820"/>
      <c r="H88" s="1418"/>
      <c r="I88" s="587" t="s">
        <v>1198</v>
      </c>
      <c r="J88" s="507"/>
      <c r="K88" s="1418"/>
      <c r="L88" s="151"/>
      <c r="M88" s="2559"/>
      <c r="N88" s="271"/>
      <c r="O88" s="1542"/>
      <c r="P88" s="1542"/>
      <c r="AH88" s="1549">
        <v>0</v>
      </c>
    </row>
    <row r="89" spans="1:34" s="2400" customFormat="1" ht="0.75" hidden="1" customHeight="1">
      <c r="A89" s="1697"/>
      <c r="B89" s="1697"/>
      <c r="C89" s="305" t="s">
        <v>1206</v>
      </c>
      <c r="D89" s="2844"/>
      <c r="E89" s="2598"/>
      <c r="F89" s="2736"/>
      <c r="G89" s="336"/>
      <c r="H89" s="1418"/>
      <c r="I89" s="587"/>
      <c r="J89" s="507"/>
      <c r="K89" s="1418"/>
      <c r="L89" s="151"/>
      <c r="M89" s="2559"/>
      <c r="N89" s="271"/>
      <c r="O89" s="1542"/>
      <c r="P89" s="1542"/>
      <c r="AH89" s="1549">
        <v>0</v>
      </c>
    </row>
    <row r="90" spans="1:34" s="2400" customFormat="1" ht="45" hidden="1" customHeight="1">
      <c r="A90" s="1697" t="s">
        <v>153</v>
      </c>
      <c r="B90" s="1697" t="s">
        <v>154</v>
      </c>
      <c r="C90" s="305"/>
      <c r="D90" s="2844"/>
      <c r="E90" s="2598"/>
      <c r="F90" s="2736" t="str">
        <f>INDEX(PT_DIFFERENTIATION_VTAR,MATCH(A90,PT_DIFFERENTIATION_VTAR_ID,0))</f>
        <v/>
      </c>
      <c r="G90" s="2820" t="str">
        <f>INDEX(PT_DIFFERENTIATION_NTAR,MATCH(B90,PT_DIFFERENTIATION_NTAR_ID,0))</f>
        <v/>
      </c>
      <c r="H90" s="1777"/>
      <c r="I90" s="1656"/>
      <c r="J90" s="1690"/>
      <c r="K90" s="1695"/>
      <c r="L90" s="1777" t="s">
        <v>297</v>
      </c>
      <c r="M90" s="2560"/>
      <c r="N90" s="271"/>
      <c r="O90" s="1542"/>
      <c r="P90" s="1542"/>
      <c r="AH90" s="1549">
        <v>0</v>
      </c>
    </row>
    <row r="91" spans="1:34" s="2400" customFormat="1" ht="18.75" hidden="1" customHeight="1">
      <c r="A91" s="1697"/>
      <c r="B91" s="1697"/>
      <c r="C91" s="305" t="s">
        <v>1199</v>
      </c>
      <c r="D91" s="2844"/>
      <c r="E91" s="2598"/>
      <c r="F91" s="2736"/>
      <c r="G91" s="2820"/>
      <c r="H91" s="1418"/>
      <c r="I91" s="587" t="s">
        <v>1198</v>
      </c>
      <c r="J91" s="507"/>
      <c r="K91" s="1418"/>
      <c r="L91" s="151"/>
      <c r="M91" s="1776"/>
      <c r="N91" s="271"/>
      <c r="O91" s="1542"/>
      <c r="P91" s="1542"/>
      <c r="AH91" s="1549">
        <v>0</v>
      </c>
    </row>
    <row r="92" spans="1:34" s="2400" customFormat="1" ht="0.75" hidden="1" customHeight="1">
      <c r="A92" s="1697"/>
      <c r="B92" s="1697"/>
      <c r="C92" s="305" t="s">
        <v>1206</v>
      </c>
      <c r="D92" s="2844"/>
      <c r="E92" s="2598"/>
      <c r="F92" s="2736"/>
      <c r="G92" s="336"/>
      <c r="H92" s="1418"/>
      <c r="I92" s="587"/>
      <c r="J92" s="507"/>
      <c r="K92" s="1418"/>
      <c r="L92" s="151"/>
      <c r="M92" s="278"/>
      <c r="N92" s="271"/>
      <c r="O92" s="1542"/>
      <c r="P92" s="1542"/>
      <c r="AH92" s="1549">
        <v>0</v>
      </c>
    </row>
    <row r="93" spans="1:34" s="2400" customFormat="1" ht="45" hidden="1" customHeight="1">
      <c r="A93" s="1697" t="s">
        <v>160</v>
      </c>
      <c r="B93" s="1697" t="s">
        <v>161</v>
      </c>
      <c r="C93" s="305"/>
      <c r="D93" s="2844"/>
      <c r="E93" s="2598"/>
      <c r="F93" s="273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20" t="str">
        <f>INDEX(PT_DIFFERENTIATION_NTAR,MATCH(B93,PT_DIFFERENTIATION_NTAR_ID,0))</f>
        <v/>
      </c>
      <c r="H93" s="1777"/>
      <c r="I93" s="1656"/>
      <c r="J93" s="1690"/>
      <c r="K93" s="1695"/>
      <c r="L93" s="1777" t="s">
        <v>297</v>
      </c>
      <c r="M93" s="278"/>
      <c r="N93" s="271"/>
      <c r="O93" s="1542"/>
      <c r="P93" s="1542"/>
      <c r="AH93" s="1549">
        <v>0</v>
      </c>
    </row>
    <row r="94" spans="1:34" s="2400" customFormat="1" ht="18.75" hidden="1" customHeight="1">
      <c r="A94" s="1697"/>
      <c r="B94" s="1697"/>
      <c r="C94" s="305" t="s">
        <v>1199</v>
      </c>
      <c r="D94" s="2844"/>
      <c r="E94" s="2598"/>
      <c r="F94" s="2736"/>
      <c r="G94" s="2820"/>
      <c r="H94" s="1418"/>
      <c r="I94" s="587" t="s">
        <v>1198</v>
      </c>
      <c r="J94" s="507"/>
      <c r="K94" s="1418"/>
      <c r="L94" s="151"/>
      <c r="M94" s="278"/>
      <c r="N94" s="271"/>
      <c r="O94" s="1542"/>
      <c r="P94" s="1542"/>
      <c r="AH94" s="1549">
        <v>0</v>
      </c>
    </row>
    <row r="95" spans="1:34" s="2400" customFormat="1" ht="0.75" hidden="1" customHeight="1">
      <c r="A95" s="1697"/>
      <c r="B95" s="1697"/>
      <c r="C95" s="305" t="s">
        <v>1206</v>
      </c>
      <c r="D95" s="2844"/>
      <c r="E95" s="2598"/>
      <c r="F95" s="2736"/>
      <c r="G95" s="336"/>
      <c r="H95" s="1418"/>
      <c r="I95" s="587"/>
      <c r="J95" s="507"/>
      <c r="K95" s="1418"/>
      <c r="L95" s="151"/>
      <c r="M95" s="278"/>
      <c r="N95" s="271"/>
      <c r="O95" s="1542"/>
      <c r="P95" s="1542"/>
      <c r="AH95" s="1549">
        <v>0</v>
      </c>
    </row>
    <row r="96" spans="1:34" s="2400" customFormat="1" ht="45" hidden="1" customHeight="1">
      <c r="A96" s="1697" t="s">
        <v>166</v>
      </c>
      <c r="B96" s="1697" t="s">
        <v>167</v>
      </c>
      <c r="C96" s="305"/>
      <c r="D96" s="2844"/>
      <c r="E96" s="2598"/>
      <c r="F96" s="273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20" t="str">
        <f>INDEX(PT_DIFFERENTIATION_NTAR,MATCH(B96,PT_DIFFERENTIATION_NTAR_ID,0))</f>
        <v/>
      </c>
      <c r="H96" s="1777"/>
      <c r="I96" s="1656"/>
      <c r="J96" s="1690"/>
      <c r="K96" s="1695"/>
      <c r="L96" s="1777" t="s">
        <v>297</v>
      </c>
      <c r="M96" s="278"/>
      <c r="N96" s="271"/>
      <c r="O96" s="1542"/>
      <c r="P96" s="1542"/>
      <c r="AH96" s="1549">
        <v>0</v>
      </c>
    </row>
    <row r="97" spans="1:34" s="2400" customFormat="1" ht="18.75" hidden="1" customHeight="1">
      <c r="A97" s="1697"/>
      <c r="B97" s="1697"/>
      <c r="C97" s="305" t="s">
        <v>1199</v>
      </c>
      <c r="D97" s="2844"/>
      <c r="E97" s="2598"/>
      <c r="F97" s="2736"/>
      <c r="G97" s="2820"/>
      <c r="H97" s="1418"/>
      <c r="I97" s="587" t="s">
        <v>1198</v>
      </c>
      <c r="J97" s="507"/>
      <c r="K97" s="1418"/>
      <c r="L97" s="151"/>
      <c r="M97" s="278"/>
      <c r="N97" s="271"/>
      <c r="O97" s="1542"/>
      <c r="P97" s="1542"/>
      <c r="AH97" s="1549">
        <v>0</v>
      </c>
    </row>
    <row r="98" spans="1:34" s="2400" customFormat="1" ht="0.75" hidden="1" customHeight="1">
      <c r="A98" s="1697"/>
      <c r="B98" s="1697"/>
      <c r="C98" s="305" t="s">
        <v>1206</v>
      </c>
      <c r="D98" s="2844"/>
      <c r="E98" s="2598"/>
      <c r="F98" s="2736"/>
      <c r="G98" s="336"/>
      <c r="H98" s="1418"/>
      <c r="I98" s="587"/>
      <c r="J98" s="507"/>
      <c r="K98" s="1418"/>
      <c r="L98" s="151"/>
      <c r="M98" s="278"/>
      <c r="N98" s="271"/>
      <c r="O98" s="1542"/>
      <c r="P98" s="1542"/>
      <c r="AH98" s="1549">
        <v>0</v>
      </c>
    </row>
    <row r="99" spans="1:34" s="2400" customFormat="1" ht="18.75" hidden="1" customHeight="1">
      <c r="A99" s="1697" t="s">
        <v>172</v>
      </c>
      <c r="B99" s="1697" t="s">
        <v>173</v>
      </c>
      <c r="C99" s="305"/>
      <c r="D99" s="2844"/>
      <c r="E99" s="2598"/>
      <c r="F99" s="2736" t="str">
        <f>INDEX(PT_DIFFERENTIATION_VTAR,MATCH(A99,PT_DIFFERENTIATION_VTAR_ID,0))</f>
        <v>Тарифы на услуги по передаче тепловой энергии</v>
      </c>
      <c r="G99" s="2820" t="str">
        <f>INDEX(PT_DIFFERENTIATION_NTAR,MATCH(B99,PT_DIFFERENTIATION_NTAR_ID,0))</f>
        <v/>
      </c>
      <c r="H99" s="1777"/>
      <c r="I99" s="1656"/>
      <c r="J99" s="1690"/>
      <c r="K99" s="1695"/>
      <c r="L99" s="1777" t="s">
        <v>297</v>
      </c>
      <c r="M99" s="278"/>
      <c r="N99" s="271"/>
      <c r="O99" s="1542"/>
      <c r="P99" s="1542"/>
      <c r="AH99" s="1549">
        <v>0</v>
      </c>
    </row>
    <row r="100" spans="1:34" s="2400" customFormat="1" ht="18.75" hidden="1" customHeight="1">
      <c r="A100" s="1697"/>
      <c r="B100" s="1697"/>
      <c r="C100" s="305" t="s">
        <v>1199</v>
      </c>
      <c r="D100" s="2844"/>
      <c r="E100" s="2598"/>
      <c r="F100" s="2736"/>
      <c r="G100" s="2820"/>
      <c r="H100" s="1418"/>
      <c r="I100" s="587" t="s">
        <v>1198</v>
      </c>
      <c r="J100" s="507"/>
      <c r="K100" s="1418"/>
      <c r="L100" s="151"/>
      <c r="M100" s="278"/>
      <c r="N100" s="271"/>
      <c r="O100" s="1542"/>
      <c r="P100" s="1542"/>
      <c r="AH100" s="1549">
        <v>0</v>
      </c>
    </row>
    <row r="101" spans="1:34" s="2400" customFormat="1" ht="0.75" hidden="1" customHeight="1">
      <c r="A101" s="1697"/>
      <c r="B101" s="1697"/>
      <c r="C101" s="305" t="s">
        <v>1206</v>
      </c>
      <c r="D101" s="2844"/>
      <c r="E101" s="2598"/>
      <c r="F101" s="2736"/>
      <c r="G101" s="336"/>
      <c r="H101" s="1418"/>
      <c r="I101" s="587"/>
      <c r="J101" s="507"/>
      <c r="K101" s="1418"/>
      <c r="L101" s="151"/>
      <c r="M101" s="278"/>
      <c r="N101" s="271"/>
      <c r="O101" s="1542"/>
      <c r="P101" s="1542"/>
      <c r="AH101" s="1549">
        <v>0</v>
      </c>
    </row>
    <row r="102" spans="1:34" s="2400" customFormat="1" ht="18.75" hidden="1" customHeight="1">
      <c r="A102" s="1697" t="s">
        <v>178</v>
      </c>
      <c r="B102" s="1697" t="s">
        <v>179</v>
      </c>
      <c r="C102" s="305"/>
      <c r="D102" s="2844"/>
      <c r="E102" s="2598"/>
      <c r="F102" s="2736" t="str">
        <f>INDEX(PT_DIFFERENTIATION_VTAR,MATCH(A102,PT_DIFFERENTIATION_VTAR_ID,0))</f>
        <v>Тарифы на услуги по передаче теплоносителя</v>
      </c>
      <c r="G102" s="2820" t="str">
        <f>INDEX(PT_DIFFERENTIATION_NTAR,MATCH(B102,PT_DIFFERENTIATION_NTAR_ID,0))</f>
        <v/>
      </c>
      <c r="H102" s="1777"/>
      <c r="I102" s="1656"/>
      <c r="J102" s="1690"/>
      <c r="K102" s="1695"/>
      <c r="L102" s="1777" t="s">
        <v>297</v>
      </c>
      <c r="M102" s="278"/>
      <c r="N102" s="271"/>
      <c r="O102" s="1542"/>
      <c r="P102" s="1542"/>
      <c r="AH102" s="1549">
        <v>0</v>
      </c>
    </row>
    <row r="103" spans="1:34" s="2400" customFormat="1" ht="18.75" hidden="1" customHeight="1">
      <c r="A103" s="1697"/>
      <c r="B103" s="1697"/>
      <c r="C103" s="305" t="s">
        <v>1199</v>
      </c>
      <c r="D103" s="2844"/>
      <c r="E103" s="2598"/>
      <c r="F103" s="2736"/>
      <c r="G103" s="2820"/>
      <c r="H103" s="1418"/>
      <c r="I103" s="587" t="s">
        <v>1198</v>
      </c>
      <c r="J103" s="507"/>
      <c r="K103" s="1418"/>
      <c r="L103" s="151"/>
      <c r="M103" s="278"/>
      <c r="N103" s="271"/>
      <c r="O103" s="1542"/>
      <c r="P103" s="1542"/>
      <c r="AH103" s="1549">
        <v>0</v>
      </c>
    </row>
    <row r="104" spans="1:34" s="2400" customFormat="1" ht="0.75" hidden="1" customHeight="1">
      <c r="A104" s="1697"/>
      <c r="B104" s="1697"/>
      <c r="C104" s="305" t="s">
        <v>1206</v>
      </c>
      <c r="D104" s="2844"/>
      <c r="E104" s="2598"/>
      <c r="F104" s="2736"/>
      <c r="G104" s="336"/>
      <c r="H104" s="1418"/>
      <c r="I104" s="587"/>
      <c r="J104" s="507"/>
      <c r="K104" s="1418"/>
      <c r="L104" s="151"/>
      <c r="M104" s="278"/>
      <c r="N104" s="271"/>
      <c r="O104" s="1542"/>
      <c r="P104" s="1542"/>
      <c r="AH104" s="1549">
        <v>0</v>
      </c>
    </row>
    <row r="105" spans="1:34" s="2400" customFormat="1" ht="18.75" hidden="1" customHeight="1">
      <c r="A105" s="1697" t="s">
        <v>184</v>
      </c>
      <c r="B105" s="1697" t="s">
        <v>185</v>
      </c>
      <c r="C105" s="305"/>
      <c r="D105" s="2844"/>
      <c r="E105" s="2598"/>
      <c r="F105" s="273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20" t="str">
        <f>INDEX(PT_DIFFERENTIATION_NTAR,MATCH(B105,PT_DIFFERENTIATION_NTAR_ID,0))</f>
        <v/>
      </c>
      <c r="H105" s="1777"/>
      <c r="I105" s="1656"/>
      <c r="J105" s="1690"/>
      <c r="K105" s="1695"/>
      <c r="L105" s="1777" t="s">
        <v>297</v>
      </c>
      <c r="M105" s="278"/>
      <c r="N105" s="271"/>
      <c r="O105" s="1542"/>
      <c r="P105" s="1542"/>
      <c r="AH105" s="1549">
        <v>0</v>
      </c>
    </row>
    <row r="106" spans="1:34" s="2400" customFormat="1" ht="18.75" hidden="1" customHeight="1">
      <c r="A106" s="1697"/>
      <c r="B106" s="1697"/>
      <c r="C106" s="305" t="s">
        <v>1199</v>
      </c>
      <c r="D106" s="2844"/>
      <c r="E106" s="2598"/>
      <c r="F106" s="2736"/>
      <c r="G106" s="2820"/>
      <c r="H106" s="1418"/>
      <c r="I106" s="587" t="s">
        <v>1198</v>
      </c>
      <c r="J106" s="507"/>
      <c r="K106" s="1418"/>
      <c r="L106" s="151"/>
      <c r="M106" s="278"/>
      <c r="N106" s="271"/>
      <c r="O106" s="1542"/>
      <c r="P106" s="1542"/>
      <c r="AH106" s="1549">
        <v>0</v>
      </c>
    </row>
    <row r="107" spans="1:34" s="2400" customFormat="1" ht="0.75" hidden="1" customHeight="1">
      <c r="A107" s="1697"/>
      <c r="B107" s="1697"/>
      <c r="C107" s="305" t="s">
        <v>1206</v>
      </c>
      <c r="D107" s="2844"/>
      <c r="E107" s="2598"/>
      <c r="F107" s="2736"/>
      <c r="G107" s="336"/>
      <c r="H107" s="1418"/>
      <c r="I107" s="587"/>
      <c r="J107" s="507"/>
      <c r="K107" s="1418"/>
      <c r="L107" s="151"/>
      <c r="M107" s="278"/>
      <c r="N107" s="271"/>
      <c r="O107" s="1542"/>
      <c r="P107" s="1542"/>
      <c r="AH107" s="1549">
        <v>0</v>
      </c>
    </row>
    <row r="108" spans="1:34" s="2400" customFormat="1" ht="18.75" hidden="1" customHeight="1">
      <c r="A108" s="1697" t="s">
        <v>190</v>
      </c>
      <c r="B108" s="1697" t="s">
        <v>191</v>
      </c>
      <c r="C108" s="305"/>
      <c r="D108" s="2844"/>
      <c r="E108" s="2598"/>
      <c r="F108" s="2736" t="str">
        <f>INDEX(PT_DIFFERENTIATION_VTAR,MATCH(A108,PT_DIFFERENTIATION_VTAR_ID,0))</f>
        <v>Плата за подключение (технологическое присоединение) к системе теплоснабжения</v>
      </c>
      <c r="G108" s="2820" t="str">
        <f>INDEX(PT_DIFFERENTIATION_NTAR,MATCH(B108,PT_DIFFERENTIATION_NTAR_ID,0))</f>
        <v/>
      </c>
      <c r="H108" s="1777"/>
      <c r="I108" s="1656"/>
      <c r="J108" s="1690"/>
      <c r="K108" s="1695"/>
      <c r="L108" s="1777" t="s">
        <v>297</v>
      </c>
      <c r="M108" s="278"/>
      <c r="N108" s="271"/>
      <c r="O108" s="1542"/>
      <c r="P108" s="1542"/>
      <c r="AH108" s="1549">
        <v>0</v>
      </c>
    </row>
    <row r="109" spans="1:34" s="2400" customFormat="1" ht="18.75" hidden="1" customHeight="1">
      <c r="A109" s="1697"/>
      <c r="B109" s="1697"/>
      <c r="C109" s="305" t="s">
        <v>1199</v>
      </c>
      <c r="D109" s="2844"/>
      <c r="E109" s="2598"/>
      <c r="F109" s="2736"/>
      <c r="G109" s="2820"/>
      <c r="H109" s="1418"/>
      <c r="I109" s="587" t="s">
        <v>1198</v>
      </c>
      <c r="J109" s="507"/>
      <c r="K109" s="1418"/>
      <c r="L109" s="151"/>
      <c r="M109" s="278"/>
      <c r="N109" s="271"/>
      <c r="O109" s="1542"/>
      <c r="P109" s="1542"/>
      <c r="AH109" s="1549">
        <v>0</v>
      </c>
    </row>
    <row r="110" spans="1:34" s="2400" customFormat="1" ht="0.75" hidden="1" customHeight="1">
      <c r="A110" s="1697"/>
      <c r="B110" s="1697"/>
      <c r="C110" s="305" t="s">
        <v>1206</v>
      </c>
      <c r="D110" s="2844"/>
      <c r="E110" s="2598"/>
      <c r="F110" s="2736"/>
      <c r="G110" s="336"/>
      <c r="H110" s="1418"/>
      <c r="I110" s="587"/>
      <c r="J110" s="507"/>
      <c r="K110" s="1418"/>
      <c r="L110" s="151"/>
      <c r="M110" s="278"/>
      <c r="N110" s="271"/>
      <c r="O110" s="1542"/>
      <c r="P110" s="1542"/>
      <c r="AH110" s="1549">
        <v>0</v>
      </c>
    </row>
    <row r="111" spans="1:34" s="2400" customFormat="1" ht="18.75" hidden="1" customHeight="1">
      <c r="A111" s="1697" t="s">
        <v>196</v>
      </c>
      <c r="B111" s="1697" t="s">
        <v>197</v>
      </c>
      <c r="C111" s="305"/>
      <c r="D111" s="2844"/>
      <c r="E111" s="2598"/>
      <c r="F111" s="2736" t="str">
        <f>INDEX(PT_DIFFERENTIATION_VTAR,MATCH(A111,PT_DIFFERENTIATION_VTAR_ID,0))</f>
        <v>Плата за подключение (технологическое присоединение) к системе теплоснабжения (индивидуальная)</v>
      </c>
      <c r="G111" s="2820" t="str">
        <f>INDEX(PT_DIFFERENTIATION_NTAR,MATCH(B111,PT_DIFFERENTIATION_NTAR_ID,0))</f>
        <v/>
      </c>
      <c r="H111" s="1901"/>
      <c r="I111" s="1656"/>
      <c r="J111" s="1690"/>
      <c r="K111" s="1695"/>
      <c r="L111" s="1901" t="s">
        <v>297</v>
      </c>
      <c r="M111" s="278"/>
      <c r="N111" s="271"/>
      <c r="O111" s="1542"/>
      <c r="P111" s="1542"/>
      <c r="AH111" s="1549">
        <v>0</v>
      </c>
    </row>
    <row r="112" spans="1:34" s="2400" customFormat="1" ht="18.75" hidden="1" customHeight="1">
      <c r="A112" s="1697"/>
      <c r="B112" s="1697"/>
      <c r="C112" s="305" t="s">
        <v>1199</v>
      </c>
      <c r="D112" s="2844"/>
      <c r="E112" s="2598"/>
      <c r="F112" s="2736"/>
      <c r="G112" s="2820"/>
      <c r="H112" s="1418"/>
      <c r="I112" s="587" t="s">
        <v>1198</v>
      </c>
      <c r="J112" s="507"/>
      <c r="K112" s="1418"/>
      <c r="L112" s="151"/>
      <c r="M112" s="278"/>
      <c r="N112" s="271"/>
      <c r="O112" s="1542"/>
      <c r="P112" s="1542"/>
      <c r="AH112" s="1549">
        <v>0</v>
      </c>
    </row>
    <row r="113" spans="1:34" s="2400" customFormat="1" ht="0.75" hidden="1" customHeight="1">
      <c r="A113" s="1697"/>
      <c r="B113" s="1697"/>
      <c r="C113" s="305" t="s">
        <v>1206</v>
      </c>
      <c r="D113" s="2844"/>
      <c r="E113" s="2598"/>
      <c r="F113" s="2736"/>
      <c r="G113" s="336"/>
      <c r="H113" s="1418"/>
      <c r="I113" s="587"/>
      <c r="J113" s="507"/>
      <c r="K113" s="1418"/>
      <c r="L113" s="151"/>
      <c r="M113" s="278"/>
      <c r="N113" s="271"/>
      <c r="O113" s="1542"/>
      <c r="P113" s="1542"/>
      <c r="AH113" s="1549">
        <v>0</v>
      </c>
    </row>
    <row r="114" spans="1:34" s="2400" customFormat="1" ht="18.75" hidden="1" customHeight="1">
      <c r="A114" s="1697" t="s">
        <v>216</v>
      </c>
      <c r="B114" s="1697" t="s">
        <v>217</v>
      </c>
      <c r="C114" s="305"/>
      <c r="D114" s="2844"/>
      <c r="E114" s="2598"/>
      <c r="F114" s="2736" t="str">
        <f>INDEX(PT_DIFFERENTIATION_VTAR,MATCH(A114,PT_DIFFERENTIATION_VTAR_ID,0))</f>
        <v>Тариф на питьевую воду (питьевое водоснабжение)</v>
      </c>
      <c r="G114" s="2820" t="str">
        <f>INDEX(PT_DIFFERENTIATION_NTAR,MATCH(B114,PT_DIFFERENTIATION_NTAR_ID,0))</f>
        <v/>
      </c>
      <c r="H114" s="1777"/>
      <c r="I114" s="1656"/>
      <c r="J114" s="1690"/>
      <c r="K114" s="1695"/>
      <c r="L114" s="1777" t="s">
        <v>297</v>
      </c>
      <c r="M114" s="278"/>
      <c r="N114" s="271"/>
      <c r="O114" s="1542"/>
      <c r="P114" s="1542"/>
      <c r="AH114" s="1549">
        <v>0</v>
      </c>
    </row>
    <row r="115" spans="1:34" s="2400" customFormat="1" ht="18.75" hidden="1" customHeight="1">
      <c r="A115" s="1697"/>
      <c r="B115" s="1697"/>
      <c r="C115" s="305" t="s">
        <v>1199</v>
      </c>
      <c r="D115" s="2844"/>
      <c r="E115" s="2598"/>
      <c r="F115" s="2736"/>
      <c r="G115" s="2820"/>
      <c r="H115" s="1418"/>
      <c r="I115" s="587" t="s">
        <v>1198</v>
      </c>
      <c r="J115" s="507"/>
      <c r="K115" s="1418"/>
      <c r="L115" s="151"/>
      <c r="M115" s="278"/>
      <c r="N115" s="271"/>
      <c r="O115" s="1542"/>
      <c r="P115" s="1542"/>
      <c r="AH115" s="1549">
        <v>0</v>
      </c>
    </row>
    <row r="116" spans="1:34" s="2400" customFormat="1" ht="0.75" hidden="1" customHeight="1">
      <c r="A116" s="1697"/>
      <c r="B116" s="1697"/>
      <c r="C116" s="305" t="s">
        <v>1206</v>
      </c>
      <c r="D116" s="2844"/>
      <c r="E116" s="2598"/>
      <c r="F116" s="2736"/>
      <c r="G116" s="336"/>
      <c r="H116" s="1418"/>
      <c r="I116" s="587"/>
      <c r="J116" s="507"/>
      <c r="K116" s="1418"/>
      <c r="L116" s="151"/>
      <c r="M116" s="278"/>
      <c r="N116" s="271"/>
      <c r="O116" s="1542"/>
      <c r="P116" s="1542"/>
      <c r="AH116" s="1549">
        <v>0</v>
      </c>
    </row>
    <row r="117" spans="1:34" s="2400" customFormat="1" ht="18.75" hidden="1" customHeight="1">
      <c r="A117" s="1697" t="s">
        <v>221</v>
      </c>
      <c r="B117" s="1697" t="s">
        <v>222</v>
      </c>
      <c r="C117" s="305"/>
      <c r="D117" s="2844"/>
      <c r="E117" s="2598"/>
      <c r="F117" s="2736" t="str">
        <f>INDEX(PT_DIFFERENTIATION_VTAR,MATCH(A117,PT_DIFFERENTIATION_VTAR_ID,0))</f>
        <v>Тариф на техническую воду</v>
      </c>
      <c r="G117" s="2820" t="str">
        <f>INDEX(PT_DIFFERENTIATION_NTAR,MATCH(B117,PT_DIFFERENTIATION_NTAR_ID,0))</f>
        <v/>
      </c>
      <c r="H117" s="1777"/>
      <c r="I117" s="1656"/>
      <c r="J117" s="1690"/>
      <c r="K117" s="1695"/>
      <c r="L117" s="1777" t="s">
        <v>297</v>
      </c>
      <c r="M117" s="278"/>
      <c r="N117" s="271"/>
      <c r="O117" s="1542"/>
      <c r="P117" s="1542"/>
      <c r="AH117" s="1549">
        <v>0</v>
      </c>
    </row>
    <row r="118" spans="1:34" s="2400" customFormat="1" ht="18.75" hidden="1" customHeight="1">
      <c r="A118" s="1697"/>
      <c r="B118" s="1697"/>
      <c r="C118" s="305" t="s">
        <v>1199</v>
      </c>
      <c r="D118" s="2844"/>
      <c r="E118" s="2598"/>
      <c r="F118" s="2736"/>
      <c r="G118" s="2820"/>
      <c r="H118" s="1418"/>
      <c r="I118" s="587" t="s">
        <v>1198</v>
      </c>
      <c r="J118" s="507"/>
      <c r="K118" s="1418"/>
      <c r="L118" s="151"/>
      <c r="M118" s="278"/>
      <c r="N118" s="271"/>
      <c r="O118" s="1542"/>
      <c r="P118" s="1542"/>
      <c r="AH118" s="1549">
        <v>0</v>
      </c>
    </row>
    <row r="119" spans="1:34" s="2400" customFormat="1" ht="0.75" hidden="1" customHeight="1">
      <c r="A119" s="1697"/>
      <c r="B119" s="1697"/>
      <c r="C119" s="305" t="s">
        <v>1206</v>
      </c>
      <c r="D119" s="2844"/>
      <c r="E119" s="2598"/>
      <c r="F119" s="2736"/>
      <c r="G119" s="336"/>
      <c r="H119" s="1418"/>
      <c r="I119" s="587"/>
      <c r="J119" s="507"/>
      <c r="K119" s="1418"/>
      <c r="L119" s="151"/>
      <c r="M119" s="278"/>
      <c r="N119" s="271"/>
      <c r="O119" s="1542"/>
      <c r="P119" s="1542"/>
      <c r="AH119" s="1549">
        <v>0</v>
      </c>
    </row>
    <row r="120" spans="1:34" s="2400" customFormat="1" ht="18.75" hidden="1" customHeight="1">
      <c r="A120" s="1697" t="s">
        <v>226</v>
      </c>
      <c r="B120" s="1697" t="s">
        <v>227</v>
      </c>
      <c r="C120" s="305"/>
      <c r="D120" s="2844"/>
      <c r="E120" s="2598"/>
      <c r="F120" s="2736" t="str">
        <f>INDEX(PT_DIFFERENTIATION_VTAR,MATCH(A120,PT_DIFFERENTIATION_VTAR_ID,0))</f>
        <v>Тариф на транспортировку воды</v>
      </c>
      <c r="G120" s="2820" t="str">
        <f>INDEX(PT_DIFFERENTIATION_NTAR,MATCH(B120,PT_DIFFERENTIATION_NTAR_ID,0))</f>
        <v/>
      </c>
      <c r="H120" s="1777"/>
      <c r="I120" s="1656"/>
      <c r="J120" s="1690"/>
      <c r="K120" s="1695"/>
      <c r="L120" s="1777" t="s">
        <v>297</v>
      </c>
      <c r="M120" s="278"/>
      <c r="N120" s="271"/>
      <c r="O120" s="1542"/>
      <c r="P120" s="1542"/>
      <c r="AH120" s="1549">
        <v>0</v>
      </c>
    </row>
    <row r="121" spans="1:34" s="2400" customFormat="1" ht="18.75" hidden="1" customHeight="1">
      <c r="A121" s="1697"/>
      <c r="B121" s="1697"/>
      <c r="C121" s="305" t="s">
        <v>1199</v>
      </c>
      <c r="D121" s="2844"/>
      <c r="E121" s="2598"/>
      <c r="F121" s="2736"/>
      <c r="G121" s="2820"/>
      <c r="H121" s="1418"/>
      <c r="I121" s="587" t="s">
        <v>1198</v>
      </c>
      <c r="J121" s="507"/>
      <c r="K121" s="1418"/>
      <c r="L121" s="151"/>
      <c r="M121" s="278"/>
      <c r="N121" s="271"/>
      <c r="O121" s="1542"/>
      <c r="P121" s="1542"/>
      <c r="AH121" s="1549">
        <v>0</v>
      </c>
    </row>
    <row r="122" spans="1:34" s="2400" customFormat="1" ht="0.75" hidden="1" customHeight="1">
      <c r="A122" s="1697"/>
      <c r="B122" s="1697"/>
      <c r="C122" s="305" t="s">
        <v>1206</v>
      </c>
      <c r="D122" s="2844"/>
      <c r="E122" s="2598"/>
      <c r="F122" s="2736"/>
      <c r="G122" s="336"/>
      <c r="H122" s="1418"/>
      <c r="I122" s="587"/>
      <c r="J122" s="507"/>
      <c r="K122" s="1418"/>
      <c r="L122" s="151"/>
      <c r="M122" s="278"/>
      <c r="N122" s="271"/>
      <c r="O122" s="1542"/>
      <c r="P122" s="1542"/>
      <c r="AH122" s="1549">
        <v>0</v>
      </c>
    </row>
    <row r="123" spans="1:34" s="2400" customFormat="1" ht="18.75" hidden="1" customHeight="1">
      <c r="A123" s="1697" t="s">
        <v>231</v>
      </c>
      <c r="B123" s="1697" t="s">
        <v>232</v>
      </c>
      <c r="C123" s="305"/>
      <c r="D123" s="2844"/>
      <c r="E123" s="2598"/>
      <c r="F123" s="2736" t="str">
        <f>INDEX(PT_DIFFERENTIATION_VTAR,MATCH(A123,PT_DIFFERENTIATION_VTAR_ID,0))</f>
        <v>Тариф на подвоз воды</v>
      </c>
      <c r="G123" s="2820" t="str">
        <f>INDEX(PT_DIFFERENTIATION_NTAR,MATCH(B123,PT_DIFFERENTIATION_NTAR_ID,0))</f>
        <v/>
      </c>
      <c r="H123" s="1777"/>
      <c r="I123" s="1656"/>
      <c r="J123" s="1690"/>
      <c r="K123" s="1695"/>
      <c r="L123" s="1777" t="s">
        <v>297</v>
      </c>
      <c r="M123" s="278"/>
      <c r="N123" s="271"/>
      <c r="O123" s="1542"/>
      <c r="P123" s="1542"/>
      <c r="AH123" s="1549">
        <v>0</v>
      </c>
    </row>
    <row r="124" spans="1:34" s="2400" customFormat="1" ht="18.75" hidden="1" customHeight="1">
      <c r="A124" s="1697"/>
      <c r="B124" s="1697"/>
      <c r="C124" s="305" t="s">
        <v>1199</v>
      </c>
      <c r="D124" s="2844"/>
      <c r="E124" s="2598"/>
      <c r="F124" s="2736"/>
      <c r="G124" s="2820"/>
      <c r="H124" s="1418"/>
      <c r="I124" s="587" t="s">
        <v>1198</v>
      </c>
      <c r="J124" s="507"/>
      <c r="K124" s="1418"/>
      <c r="L124" s="151"/>
      <c r="M124" s="278"/>
      <c r="N124" s="271"/>
      <c r="O124" s="1542"/>
      <c r="P124" s="1542"/>
      <c r="AH124" s="1549">
        <v>0</v>
      </c>
    </row>
    <row r="125" spans="1:34" s="2400" customFormat="1" ht="0.75" hidden="1" customHeight="1">
      <c r="A125" s="1697"/>
      <c r="B125" s="1697"/>
      <c r="C125" s="305" t="s">
        <v>1206</v>
      </c>
      <c r="D125" s="2844"/>
      <c r="E125" s="2598"/>
      <c r="F125" s="2736"/>
      <c r="G125" s="336"/>
      <c r="H125" s="1418"/>
      <c r="I125" s="587"/>
      <c r="J125" s="507"/>
      <c r="K125" s="1418"/>
      <c r="L125" s="151"/>
      <c r="M125" s="278"/>
      <c r="N125" s="271"/>
      <c r="O125" s="1542"/>
      <c r="P125" s="1542"/>
      <c r="AH125" s="1549">
        <v>0</v>
      </c>
    </row>
    <row r="126" spans="1:34" s="2400" customFormat="1" ht="18.75" hidden="1" customHeight="1">
      <c r="A126" s="1697" t="s">
        <v>236</v>
      </c>
      <c r="B126" s="1697" t="s">
        <v>237</v>
      </c>
      <c r="C126" s="305"/>
      <c r="D126" s="2844"/>
      <c r="E126" s="2598"/>
      <c r="F126" s="273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20" t="str">
        <f>INDEX(PT_DIFFERENTIATION_NTAR,MATCH(B126,PT_DIFFERENTIATION_NTAR_ID,0))</f>
        <v/>
      </c>
      <c r="H126" s="1777"/>
      <c r="I126" s="1656"/>
      <c r="J126" s="1690"/>
      <c r="K126" s="1695"/>
      <c r="L126" s="1777" t="s">
        <v>297</v>
      </c>
      <c r="M126" s="278"/>
      <c r="N126" s="271"/>
      <c r="O126" s="1542"/>
      <c r="P126" s="1542"/>
      <c r="AH126" s="1549">
        <v>0</v>
      </c>
    </row>
    <row r="127" spans="1:34" s="2400" customFormat="1" ht="18.75" hidden="1" customHeight="1">
      <c r="A127" s="1697"/>
      <c r="B127" s="1697"/>
      <c r="C127" s="305" t="s">
        <v>1199</v>
      </c>
      <c r="D127" s="2844"/>
      <c r="E127" s="2598"/>
      <c r="F127" s="2736"/>
      <c r="G127" s="2820"/>
      <c r="H127" s="1418"/>
      <c r="I127" s="587" t="s">
        <v>1198</v>
      </c>
      <c r="J127" s="507"/>
      <c r="K127" s="1418"/>
      <c r="L127" s="151"/>
      <c r="M127" s="278"/>
      <c r="N127" s="271"/>
      <c r="O127" s="1542"/>
      <c r="P127" s="1542"/>
      <c r="AH127" s="1549">
        <v>0</v>
      </c>
    </row>
    <row r="128" spans="1:34" s="2400" customFormat="1" ht="0.75" hidden="1" customHeight="1">
      <c r="A128" s="1697"/>
      <c r="B128" s="1697"/>
      <c r="C128" s="305" t="s">
        <v>1206</v>
      </c>
      <c r="D128" s="2844"/>
      <c r="E128" s="2598"/>
      <c r="F128" s="2736"/>
      <c r="G128" s="336"/>
      <c r="H128" s="1418"/>
      <c r="I128" s="587"/>
      <c r="J128" s="507"/>
      <c r="K128" s="1418"/>
      <c r="L128" s="151"/>
      <c r="M128" s="278"/>
      <c r="N128" s="271"/>
      <c r="O128" s="1542"/>
      <c r="P128" s="1542"/>
      <c r="AH128" s="1549">
        <v>0</v>
      </c>
    </row>
    <row r="129" spans="1:34" s="2400" customFormat="1" ht="18.75" hidden="1" customHeight="1">
      <c r="A129" s="1697" t="s">
        <v>241</v>
      </c>
      <c r="B129" s="1697" t="s">
        <v>242</v>
      </c>
      <c r="C129" s="305"/>
      <c r="D129" s="2844"/>
      <c r="E129" s="2598"/>
      <c r="F129" s="2736" t="str">
        <f>INDEX(PT_DIFFERENTIATION_VTAR,MATCH(A129,PT_DIFFERENTIATION_VTAR_ID,0))</f>
        <v>Тариф на горячую воду (горячее водоснабжение)</v>
      </c>
      <c r="G129" s="2820" t="str">
        <f>INDEX(PT_DIFFERENTIATION_NTAR,MATCH(B129,PT_DIFFERENTIATION_NTAR_ID,0))</f>
        <v/>
      </c>
      <c r="H129" s="1777"/>
      <c r="I129" s="1656"/>
      <c r="J129" s="1690"/>
      <c r="K129" s="1695"/>
      <c r="L129" s="1777" t="s">
        <v>297</v>
      </c>
      <c r="M129" s="278"/>
      <c r="N129" s="271"/>
      <c r="O129" s="1542"/>
      <c r="P129" s="1542"/>
      <c r="AH129" s="1549">
        <v>0</v>
      </c>
    </row>
    <row r="130" spans="1:34" s="2400" customFormat="1" ht="18.75" hidden="1" customHeight="1">
      <c r="A130" s="1697"/>
      <c r="B130" s="1697"/>
      <c r="C130" s="305" t="s">
        <v>1199</v>
      </c>
      <c r="D130" s="2844"/>
      <c r="E130" s="2598"/>
      <c r="F130" s="2736"/>
      <c r="G130" s="2820"/>
      <c r="H130" s="1418"/>
      <c r="I130" s="587" t="s">
        <v>1198</v>
      </c>
      <c r="J130" s="507"/>
      <c r="K130" s="1418"/>
      <c r="L130" s="151"/>
      <c r="M130" s="278"/>
      <c r="N130" s="271"/>
      <c r="O130" s="1542"/>
      <c r="P130" s="1542"/>
      <c r="AH130" s="1549">
        <v>0</v>
      </c>
    </row>
    <row r="131" spans="1:34" s="2400" customFormat="1" ht="0.75" hidden="1" customHeight="1">
      <c r="A131" s="1697"/>
      <c r="B131" s="1697"/>
      <c r="C131" s="305" t="s">
        <v>1206</v>
      </c>
      <c r="D131" s="2844"/>
      <c r="E131" s="2598"/>
      <c r="F131" s="2736"/>
      <c r="G131" s="336"/>
      <c r="H131" s="1418"/>
      <c r="I131" s="587"/>
      <c r="J131" s="507"/>
      <c r="K131" s="1418"/>
      <c r="L131" s="151"/>
      <c r="M131" s="278"/>
      <c r="N131" s="271"/>
      <c r="O131" s="1542"/>
      <c r="P131" s="1542"/>
      <c r="AH131" s="1549">
        <v>0</v>
      </c>
    </row>
    <row r="132" spans="1:34" s="2400" customFormat="1" ht="18.75" hidden="1" customHeight="1">
      <c r="A132" s="1697" t="s">
        <v>246</v>
      </c>
      <c r="B132" s="1697" t="s">
        <v>247</v>
      </c>
      <c r="C132" s="305"/>
      <c r="D132" s="2844"/>
      <c r="E132" s="2598"/>
      <c r="F132" s="2736" t="str">
        <f>INDEX(PT_DIFFERENTIATION_VTAR,MATCH(A132,PT_DIFFERENTIATION_VTAR_ID,0))</f>
        <v>Тариф на транспортировку горячей воды</v>
      </c>
      <c r="G132" s="2820" t="str">
        <f>INDEX(PT_DIFFERENTIATION_NTAR,MATCH(B132,PT_DIFFERENTIATION_NTAR_ID,0))</f>
        <v/>
      </c>
      <c r="H132" s="1777"/>
      <c r="I132" s="1656"/>
      <c r="J132" s="1690"/>
      <c r="K132" s="1695"/>
      <c r="L132" s="1777" t="s">
        <v>297</v>
      </c>
      <c r="M132" s="278"/>
      <c r="N132" s="271"/>
      <c r="O132" s="1542"/>
      <c r="P132" s="1542"/>
      <c r="AH132" s="1549">
        <v>0</v>
      </c>
    </row>
    <row r="133" spans="1:34" s="2400" customFormat="1" ht="18.75" hidden="1" customHeight="1">
      <c r="A133" s="1697"/>
      <c r="B133" s="1697"/>
      <c r="C133" s="305" t="s">
        <v>1199</v>
      </c>
      <c r="D133" s="2844"/>
      <c r="E133" s="2598"/>
      <c r="F133" s="2736"/>
      <c r="G133" s="2820"/>
      <c r="H133" s="1418"/>
      <c r="I133" s="587" t="s">
        <v>1198</v>
      </c>
      <c r="J133" s="507"/>
      <c r="K133" s="1418"/>
      <c r="L133" s="151"/>
      <c r="M133" s="278"/>
      <c r="N133" s="271"/>
      <c r="O133" s="1542"/>
      <c r="P133" s="1542"/>
      <c r="AH133" s="1549">
        <v>0</v>
      </c>
    </row>
    <row r="134" spans="1:34" s="2400" customFormat="1" ht="0.75" hidden="1" customHeight="1">
      <c r="A134" s="1697"/>
      <c r="B134" s="1697"/>
      <c r="C134" s="305" t="s">
        <v>1206</v>
      </c>
      <c r="D134" s="2844"/>
      <c r="E134" s="2598"/>
      <c r="F134" s="2736"/>
      <c r="G134" s="336"/>
      <c r="H134" s="1418"/>
      <c r="I134" s="587"/>
      <c r="J134" s="507"/>
      <c r="K134" s="1418"/>
      <c r="L134" s="151"/>
      <c r="M134" s="278"/>
      <c r="N134" s="271"/>
      <c r="O134" s="1542"/>
      <c r="P134" s="1542"/>
      <c r="AH134" s="1549">
        <v>0</v>
      </c>
    </row>
    <row r="135" spans="1:34" s="2400" customFormat="1" ht="18.75" hidden="1" customHeight="1">
      <c r="A135" s="1697" t="s">
        <v>251</v>
      </c>
      <c r="B135" s="1697" t="s">
        <v>252</v>
      </c>
      <c r="C135" s="305"/>
      <c r="D135" s="2844"/>
      <c r="E135" s="2598"/>
      <c r="F135" s="273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20" t="str">
        <f>INDEX(PT_DIFFERENTIATION_NTAR,MATCH(B135,PT_DIFFERENTIATION_NTAR_ID,0))</f>
        <v/>
      </c>
      <c r="H135" s="1777"/>
      <c r="I135" s="1656"/>
      <c r="J135" s="1690"/>
      <c r="K135" s="1695"/>
      <c r="L135" s="1777" t="s">
        <v>297</v>
      </c>
      <c r="M135" s="278"/>
      <c r="N135" s="271"/>
      <c r="O135" s="1542"/>
      <c r="P135" s="1542"/>
      <c r="AH135" s="1549">
        <v>0</v>
      </c>
    </row>
    <row r="136" spans="1:34" s="2400" customFormat="1" ht="18.75" hidden="1" customHeight="1">
      <c r="A136" s="1697"/>
      <c r="B136" s="1697"/>
      <c r="C136" s="305" t="s">
        <v>1199</v>
      </c>
      <c r="D136" s="2844"/>
      <c r="E136" s="2598"/>
      <c r="F136" s="2736"/>
      <c r="G136" s="2820"/>
      <c r="H136" s="1418"/>
      <c r="I136" s="587" t="s">
        <v>1198</v>
      </c>
      <c r="J136" s="507"/>
      <c r="K136" s="1418"/>
      <c r="L136" s="151"/>
      <c r="M136" s="278"/>
      <c r="N136" s="271"/>
      <c r="O136" s="1542"/>
      <c r="P136" s="1542"/>
      <c r="AH136" s="1549">
        <v>0</v>
      </c>
    </row>
    <row r="137" spans="1:34" s="2400" customFormat="1" ht="0.75" hidden="1" customHeight="1">
      <c r="A137" s="1697"/>
      <c r="B137" s="1697"/>
      <c r="C137" s="305" t="s">
        <v>1206</v>
      </c>
      <c r="D137" s="2844"/>
      <c r="E137" s="2598"/>
      <c r="F137" s="2736"/>
      <c r="G137" s="336"/>
      <c r="H137" s="1418"/>
      <c r="I137" s="587"/>
      <c r="J137" s="507"/>
      <c r="K137" s="1418"/>
      <c r="L137" s="151"/>
      <c r="M137" s="278"/>
      <c r="N137" s="271"/>
      <c r="O137" s="1542"/>
      <c r="P137" s="1542"/>
      <c r="AH137" s="1549">
        <v>0</v>
      </c>
    </row>
    <row r="138" spans="1:34" s="2400" customFormat="1" ht="18.75" hidden="1" customHeight="1">
      <c r="A138" s="1697" t="s">
        <v>256</v>
      </c>
      <c r="B138" s="1697" t="s">
        <v>257</v>
      </c>
      <c r="C138" s="305"/>
      <c r="D138" s="2844"/>
      <c r="E138" s="2598"/>
      <c r="F138" s="2736" t="str">
        <f>INDEX(PT_DIFFERENTIATION_VTAR,MATCH(A138,PT_DIFFERENTIATION_VTAR_ID,0))</f>
        <v>Тариф на водоотведение</v>
      </c>
      <c r="G138" s="2820" t="str">
        <f>INDEX(PT_DIFFERENTIATION_NTAR,MATCH(B138,PT_DIFFERENTIATION_NTAR_ID,0))</f>
        <v/>
      </c>
      <c r="H138" s="1777"/>
      <c r="I138" s="1656"/>
      <c r="J138" s="1690"/>
      <c r="K138" s="1695"/>
      <c r="L138" s="1777" t="s">
        <v>297</v>
      </c>
      <c r="M138" s="278"/>
      <c r="N138" s="271"/>
      <c r="O138" s="1542"/>
      <c r="P138" s="1542"/>
      <c r="AH138" s="1549">
        <v>0</v>
      </c>
    </row>
    <row r="139" spans="1:34" s="2400" customFormat="1" ht="18.75" hidden="1" customHeight="1">
      <c r="A139" s="1697"/>
      <c r="B139" s="1697"/>
      <c r="C139" s="305" t="s">
        <v>1199</v>
      </c>
      <c r="D139" s="2844"/>
      <c r="E139" s="2598"/>
      <c r="F139" s="2736"/>
      <c r="G139" s="2820"/>
      <c r="H139" s="1418"/>
      <c r="I139" s="587" t="s">
        <v>1198</v>
      </c>
      <c r="J139" s="507"/>
      <c r="K139" s="1418"/>
      <c r="L139" s="151"/>
      <c r="M139" s="278"/>
      <c r="N139" s="271"/>
      <c r="O139" s="1542"/>
      <c r="P139" s="1542"/>
      <c r="AH139" s="1549">
        <v>0</v>
      </c>
    </row>
    <row r="140" spans="1:34" s="2400" customFormat="1" ht="0.75" hidden="1" customHeight="1">
      <c r="A140" s="1697"/>
      <c r="B140" s="1697"/>
      <c r="C140" s="305" t="s">
        <v>1206</v>
      </c>
      <c r="D140" s="2844"/>
      <c r="E140" s="2598"/>
      <c r="F140" s="2736"/>
      <c r="G140" s="336"/>
      <c r="H140" s="1418"/>
      <c r="I140" s="587"/>
      <c r="J140" s="507"/>
      <c r="K140" s="1418"/>
      <c r="L140" s="151"/>
      <c r="M140" s="278"/>
      <c r="N140" s="271"/>
      <c r="O140" s="1542"/>
      <c r="P140" s="1542"/>
      <c r="AH140" s="1549">
        <v>0</v>
      </c>
    </row>
    <row r="141" spans="1:34" s="2400" customFormat="1" ht="18.75" hidden="1" customHeight="1">
      <c r="A141" s="1697" t="s">
        <v>261</v>
      </c>
      <c r="B141" s="1697" t="s">
        <v>262</v>
      </c>
      <c r="C141" s="305"/>
      <c r="D141" s="2844"/>
      <c r="E141" s="2598"/>
      <c r="F141" s="2736" t="str">
        <f>INDEX(PT_DIFFERENTIATION_VTAR,MATCH(A141,PT_DIFFERENTIATION_VTAR_ID,0))</f>
        <v>Тариф на транспортировку сточных вод</v>
      </c>
      <c r="G141" s="2820" t="str">
        <f>INDEX(PT_DIFFERENTIATION_NTAR,MATCH(B141,PT_DIFFERENTIATION_NTAR_ID,0))</f>
        <v/>
      </c>
      <c r="H141" s="1777"/>
      <c r="I141" s="1656"/>
      <c r="J141" s="1690"/>
      <c r="K141" s="1695"/>
      <c r="L141" s="1777" t="s">
        <v>297</v>
      </c>
      <c r="M141" s="278"/>
      <c r="N141" s="271"/>
      <c r="O141" s="1542"/>
      <c r="P141" s="1542"/>
      <c r="AH141" s="1549">
        <v>0</v>
      </c>
    </row>
    <row r="142" spans="1:34" s="2400" customFormat="1" ht="18.75" hidden="1" customHeight="1">
      <c r="A142" s="1697"/>
      <c r="B142" s="1697"/>
      <c r="C142" s="305" t="s">
        <v>1199</v>
      </c>
      <c r="D142" s="2844"/>
      <c r="E142" s="2598"/>
      <c r="F142" s="2736"/>
      <c r="G142" s="2820"/>
      <c r="H142" s="1418"/>
      <c r="I142" s="587" t="s">
        <v>1198</v>
      </c>
      <c r="J142" s="507"/>
      <c r="K142" s="1418"/>
      <c r="L142" s="151"/>
      <c r="M142" s="278"/>
      <c r="N142" s="271"/>
      <c r="O142" s="1542"/>
      <c r="P142" s="1542"/>
      <c r="AH142" s="1549">
        <v>0</v>
      </c>
    </row>
    <row r="143" spans="1:34" s="2400" customFormat="1" ht="0.75" hidden="1" customHeight="1">
      <c r="A143" s="1697"/>
      <c r="B143" s="1697"/>
      <c r="C143" s="305" t="s">
        <v>1206</v>
      </c>
      <c r="D143" s="2844"/>
      <c r="E143" s="2598"/>
      <c r="F143" s="2736"/>
      <c r="G143" s="336"/>
      <c r="H143" s="1418"/>
      <c r="I143" s="587"/>
      <c r="J143" s="507"/>
      <c r="K143" s="1418"/>
      <c r="L143" s="151"/>
      <c r="M143" s="278"/>
      <c r="N143" s="271"/>
      <c r="O143" s="1542"/>
      <c r="P143" s="1542"/>
      <c r="AH143" s="1549">
        <v>0</v>
      </c>
    </row>
    <row r="144" spans="1:34" s="2400" customFormat="1" ht="18.75" hidden="1" customHeight="1">
      <c r="A144" s="1697" t="s">
        <v>266</v>
      </c>
      <c r="B144" s="1697" t="s">
        <v>267</v>
      </c>
      <c r="C144" s="305"/>
      <c r="D144" s="2844"/>
      <c r="E144" s="2598"/>
      <c r="F144" s="2736" t="str">
        <f>INDEX(PT_DIFFERENTIATION_VTAR,MATCH(A144,PT_DIFFERENTIATION_VTAR_ID,0))</f>
        <v>Тариф на подключение (технологическое присоединение) к централизованной системе водоотведения</v>
      </c>
      <c r="G144" s="2820" t="str">
        <f>INDEX(PT_DIFFERENTIATION_NTAR,MATCH(B144,PT_DIFFERENTIATION_NTAR_ID,0))</f>
        <v/>
      </c>
      <c r="H144" s="1777"/>
      <c r="I144" s="1656"/>
      <c r="J144" s="1690"/>
      <c r="K144" s="1695"/>
      <c r="L144" s="1777" t="s">
        <v>297</v>
      </c>
      <c r="M144" s="278"/>
      <c r="N144" s="271"/>
      <c r="O144" s="1542"/>
      <c r="P144" s="1542"/>
      <c r="AH144" s="1549">
        <v>0</v>
      </c>
    </row>
    <row r="145" spans="1:34" s="2400" customFormat="1" ht="18.75" hidden="1" customHeight="1">
      <c r="A145" s="1697"/>
      <c r="B145" s="1697"/>
      <c r="C145" s="305" t="s">
        <v>1199</v>
      </c>
      <c r="D145" s="2844"/>
      <c r="E145" s="2598"/>
      <c r="F145" s="2736"/>
      <c r="G145" s="2820"/>
      <c r="H145" s="1418"/>
      <c r="I145" s="587" t="s">
        <v>1198</v>
      </c>
      <c r="J145" s="507"/>
      <c r="K145" s="1418"/>
      <c r="L145" s="151"/>
      <c r="M145" s="278"/>
      <c r="N145" s="271"/>
      <c r="O145" s="1542"/>
      <c r="P145" s="1542"/>
      <c r="AH145" s="1549">
        <v>0</v>
      </c>
    </row>
    <row r="146" spans="1:34" s="2400" customFormat="1" ht="1.1499999999999999" customHeight="1">
      <c r="A146" s="1697"/>
      <c r="B146" s="1697"/>
      <c r="C146" s="305" t="s">
        <v>1206</v>
      </c>
      <c r="D146" s="2844"/>
      <c r="E146" s="2598"/>
      <c r="F146" s="2736"/>
      <c r="G146" s="336"/>
      <c r="H146" s="1418"/>
      <c r="I146" s="587"/>
      <c r="J146" s="507"/>
      <c r="K146" s="1418"/>
      <c r="L146" s="151"/>
      <c r="M146" s="278"/>
      <c r="N146" s="271"/>
      <c r="O146" s="1542"/>
      <c r="P146" s="1542"/>
      <c r="AH146" s="1549">
        <v>1</v>
      </c>
    </row>
    <row r="147" spans="1:34" ht="19.899999999999999" customHeight="1">
      <c r="A147" s="1697"/>
      <c r="B147" s="1697"/>
      <c r="D147" s="312"/>
      <c r="E147" s="85" t="s">
        <v>87</v>
      </c>
      <c r="F147" s="284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43"/>
      <c r="H147" s="2843"/>
      <c r="I147" s="2843"/>
      <c r="J147" s="2843"/>
      <c r="K147" s="2843"/>
      <c r="L147" s="2843"/>
      <c r="M147" s="234"/>
      <c r="N147" s="271"/>
      <c r="AH147" s="310">
        <v>19</v>
      </c>
    </row>
    <row r="148" spans="1:34" s="2400" customFormat="1" ht="60.75" hidden="1" customHeight="1">
      <c r="A148" s="1697" t="s">
        <v>148</v>
      </c>
      <c r="B148" s="1697" t="s">
        <v>149</v>
      </c>
      <c r="C148" s="305"/>
      <c r="D148" s="2844"/>
      <c r="E148" s="2598"/>
      <c r="F148" s="273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20" t="str">
        <f>INDEX(PT_DIFFERENTIATION_NTAR,MATCH(B148,PT_DIFFERENTIATION_NTAR_ID,0))</f>
        <v/>
      </c>
      <c r="H148" s="1777"/>
      <c r="I148" s="1656"/>
      <c r="J148" s="1690"/>
      <c r="K148" s="1695"/>
      <c r="L148" s="1777" t="s">
        <v>297</v>
      </c>
      <c r="M148" s="25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2"/>
      <c r="P148" s="1542"/>
      <c r="AH148" s="1549">
        <v>0</v>
      </c>
    </row>
    <row r="149" spans="1:34" s="2400" customFormat="1" ht="18.75" hidden="1" customHeight="1">
      <c r="A149" s="1697"/>
      <c r="B149" s="1697"/>
      <c r="C149" s="305" t="s">
        <v>1199</v>
      </c>
      <c r="D149" s="2844"/>
      <c r="E149" s="2598"/>
      <c r="F149" s="2736"/>
      <c r="G149" s="2820"/>
      <c r="H149" s="1418"/>
      <c r="I149" s="587" t="s">
        <v>1198</v>
      </c>
      <c r="J149" s="507"/>
      <c r="K149" s="1418"/>
      <c r="L149" s="151"/>
      <c r="M149" s="2559"/>
      <c r="N149" s="271"/>
      <c r="O149" s="1542"/>
      <c r="P149" s="1542"/>
      <c r="AH149" s="1549">
        <v>0</v>
      </c>
    </row>
    <row r="150" spans="1:34" s="2400" customFormat="1" ht="0.75" hidden="1" customHeight="1">
      <c r="A150" s="1697"/>
      <c r="B150" s="1697"/>
      <c r="C150" s="305" t="s">
        <v>1206</v>
      </c>
      <c r="D150" s="2844"/>
      <c r="E150" s="2598"/>
      <c r="F150" s="2736"/>
      <c r="G150" s="336"/>
      <c r="H150" s="1418"/>
      <c r="I150" s="587"/>
      <c r="J150" s="507"/>
      <c r="K150" s="1418"/>
      <c r="L150" s="151"/>
      <c r="M150" s="2559"/>
      <c r="N150" s="271"/>
      <c r="O150" s="1542"/>
      <c r="P150" s="1542"/>
      <c r="AH150" s="1549">
        <v>0</v>
      </c>
    </row>
    <row r="151" spans="1:34" s="2400" customFormat="1" ht="45" hidden="1" customHeight="1">
      <c r="A151" s="1697" t="s">
        <v>153</v>
      </c>
      <c r="B151" s="1697" t="s">
        <v>154</v>
      </c>
      <c r="C151" s="305"/>
      <c r="D151" s="2844"/>
      <c r="E151" s="2598"/>
      <c r="F151" s="2736" t="str">
        <f>INDEX(PT_DIFFERENTIATION_VTAR,MATCH(A151,PT_DIFFERENTIATION_VTAR_ID,0))</f>
        <v/>
      </c>
      <c r="G151" s="2820" t="str">
        <f>INDEX(PT_DIFFERENTIATION_NTAR,MATCH(B151,PT_DIFFERENTIATION_NTAR_ID,0))</f>
        <v/>
      </c>
      <c r="H151" s="1777"/>
      <c r="I151" s="1656"/>
      <c r="J151" s="1690"/>
      <c r="K151" s="1695"/>
      <c r="L151" s="1777" t="s">
        <v>297</v>
      </c>
      <c r="M151" s="2560"/>
      <c r="N151" s="271"/>
      <c r="O151" s="1542"/>
      <c r="P151" s="1542"/>
      <c r="AH151" s="1549">
        <v>0</v>
      </c>
    </row>
    <row r="152" spans="1:34" s="2400" customFormat="1" ht="18.75" hidden="1" customHeight="1">
      <c r="A152" s="1697"/>
      <c r="B152" s="1697"/>
      <c r="C152" s="305" t="s">
        <v>1199</v>
      </c>
      <c r="D152" s="2844"/>
      <c r="E152" s="2598"/>
      <c r="F152" s="2736"/>
      <c r="G152" s="2820"/>
      <c r="H152" s="1418"/>
      <c r="I152" s="587" t="s">
        <v>1198</v>
      </c>
      <c r="J152" s="507"/>
      <c r="K152" s="1418"/>
      <c r="L152" s="151"/>
      <c r="M152" s="1776"/>
      <c r="N152" s="271"/>
      <c r="O152" s="1542"/>
      <c r="P152" s="1542"/>
      <c r="AH152" s="1549">
        <v>0</v>
      </c>
    </row>
    <row r="153" spans="1:34" s="2400" customFormat="1" ht="0.75" hidden="1" customHeight="1">
      <c r="A153" s="1697"/>
      <c r="B153" s="1697"/>
      <c r="C153" s="305" t="s">
        <v>1206</v>
      </c>
      <c r="D153" s="2844"/>
      <c r="E153" s="2598"/>
      <c r="F153" s="2736"/>
      <c r="G153" s="336"/>
      <c r="H153" s="1418"/>
      <c r="I153" s="587"/>
      <c r="J153" s="507"/>
      <c r="K153" s="1418"/>
      <c r="L153" s="151"/>
      <c r="M153" s="278"/>
      <c r="N153" s="271"/>
      <c r="O153" s="1542"/>
      <c r="P153" s="1542"/>
      <c r="AH153" s="1549">
        <v>0</v>
      </c>
    </row>
    <row r="154" spans="1:34" s="2400" customFormat="1" ht="45" hidden="1" customHeight="1">
      <c r="A154" s="1697" t="s">
        <v>160</v>
      </c>
      <c r="B154" s="1697" t="s">
        <v>161</v>
      </c>
      <c r="C154" s="305"/>
      <c r="D154" s="2844"/>
      <c r="E154" s="2598"/>
      <c r="F154" s="273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20" t="str">
        <f>INDEX(PT_DIFFERENTIATION_NTAR,MATCH(B154,PT_DIFFERENTIATION_NTAR_ID,0))</f>
        <v/>
      </c>
      <c r="H154" s="1777"/>
      <c r="I154" s="1656"/>
      <c r="J154" s="1690"/>
      <c r="K154" s="1695"/>
      <c r="L154" s="1777" t="s">
        <v>297</v>
      </c>
      <c r="M154" s="278"/>
      <c r="N154" s="271"/>
      <c r="O154" s="1542"/>
      <c r="P154" s="1542"/>
      <c r="AH154" s="1549">
        <v>0</v>
      </c>
    </row>
    <row r="155" spans="1:34" s="2400" customFormat="1" ht="18.75" hidden="1" customHeight="1">
      <c r="A155" s="1697"/>
      <c r="B155" s="1697"/>
      <c r="C155" s="305" t="s">
        <v>1199</v>
      </c>
      <c r="D155" s="2844"/>
      <c r="E155" s="2598"/>
      <c r="F155" s="2736"/>
      <c r="G155" s="2820"/>
      <c r="H155" s="1418"/>
      <c r="I155" s="587" t="s">
        <v>1198</v>
      </c>
      <c r="J155" s="507"/>
      <c r="K155" s="1418"/>
      <c r="L155" s="151"/>
      <c r="M155" s="278"/>
      <c r="N155" s="271"/>
      <c r="O155" s="1542"/>
      <c r="P155" s="1542"/>
      <c r="AH155" s="1549">
        <v>0</v>
      </c>
    </row>
    <row r="156" spans="1:34" s="2400" customFormat="1" ht="0.75" hidden="1" customHeight="1">
      <c r="A156" s="1697"/>
      <c r="B156" s="1697"/>
      <c r="C156" s="305" t="s">
        <v>1206</v>
      </c>
      <c r="D156" s="2844"/>
      <c r="E156" s="2598"/>
      <c r="F156" s="2736"/>
      <c r="G156" s="336"/>
      <c r="H156" s="1418"/>
      <c r="I156" s="587"/>
      <c r="J156" s="507"/>
      <c r="K156" s="1418"/>
      <c r="L156" s="151"/>
      <c r="M156" s="278"/>
      <c r="N156" s="271"/>
      <c r="O156" s="1542"/>
      <c r="P156" s="1542"/>
      <c r="AH156" s="1549">
        <v>0</v>
      </c>
    </row>
    <row r="157" spans="1:34" s="2400" customFormat="1" ht="45" hidden="1" customHeight="1">
      <c r="A157" s="1697" t="s">
        <v>166</v>
      </c>
      <c r="B157" s="1697" t="s">
        <v>167</v>
      </c>
      <c r="C157" s="305"/>
      <c r="D157" s="2844"/>
      <c r="E157" s="2598"/>
      <c r="F157" s="273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20" t="str">
        <f>INDEX(PT_DIFFERENTIATION_NTAR,MATCH(B157,PT_DIFFERENTIATION_NTAR_ID,0))</f>
        <v/>
      </c>
      <c r="H157" s="1777"/>
      <c r="I157" s="1656"/>
      <c r="J157" s="1690"/>
      <c r="K157" s="1695"/>
      <c r="L157" s="1777" t="s">
        <v>297</v>
      </c>
      <c r="M157" s="278"/>
      <c r="N157" s="271"/>
      <c r="O157" s="1542"/>
      <c r="P157" s="1542"/>
      <c r="AH157" s="1549">
        <v>0</v>
      </c>
    </row>
    <row r="158" spans="1:34" s="2400" customFormat="1" ht="18.75" hidden="1" customHeight="1">
      <c r="A158" s="1697"/>
      <c r="B158" s="1697"/>
      <c r="C158" s="305" t="s">
        <v>1199</v>
      </c>
      <c r="D158" s="2844"/>
      <c r="E158" s="2598"/>
      <c r="F158" s="2736"/>
      <c r="G158" s="2820"/>
      <c r="H158" s="1418"/>
      <c r="I158" s="587" t="s">
        <v>1198</v>
      </c>
      <c r="J158" s="507"/>
      <c r="K158" s="1418"/>
      <c r="L158" s="151"/>
      <c r="M158" s="278"/>
      <c r="N158" s="271"/>
      <c r="O158" s="1542"/>
      <c r="P158" s="1542"/>
      <c r="AH158" s="1549">
        <v>0</v>
      </c>
    </row>
    <row r="159" spans="1:34" s="2400" customFormat="1" ht="0.75" hidden="1" customHeight="1">
      <c r="A159" s="1697"/>
      <c r="B159" s="1697"/>
      <c r="C159" s="305" t="s">
        <v>1206</v>
      </c>
      <c r="D159" s="2844"/>
      <c r="E159" s="2598"/>
      <c r="F159" s="2736"/>
      <c r="G159" s="336"/>
      <c r="H159" s="1418"/>
      <c r="I159" s="587"/>
      <c r="J159" s="507"/>
      <c r="K159" s="1418"/>
      <c r="L159" s="151"/>
      <c r="M159" s="278"/>
      <c r="N159" s="271"/>
      <c r="O159" s="1542"/>
      <c r="P159" s="1542"/>
      <c r="AH159" s="1549">
        <v>0</v>
      </c>
    </row>
    <row r="160" spans="1:34" s="2400" customFormat="1" ht="18.75" hidden="1" customHeight="1">
      <c r="A160" s="1697" t="s">
        <v>172</v>
      </c>
      <c r="B160" s="1697" t="s">
        <v>173</v>
      </c>
      <c r="C160" s="305"/>
      <c r="D160" s="2844"/>
      <c r="E160" s="2598"/>
      <c r="F160" s="2736" t="str">
        <f>INDEX(PT_DIFFERENTIATION_VTAR,MATCH(A160,PT_DIFFERENTIATION_VTAR_ID,0))</f>
        <v>Тарифы на услуги по передаче тепловой энергии</v>
      </c>
      <c r="G160" s="2820" t="str">
        <f>INDEX(PT_DIFFERENTIATION_NTAR,MATCH(B160,PT_DIFFERENTIATION_NTAR_ID,0))</f>
        <v/>
      </c>
      <c r="H160" s="1777"/>
      <c r="I160" s="1656"/>
      <c r="J160" s="1690"/>
      <c r="K160" s="1695"/>
      <c r="L160" s="1777" t="s">
        <v>297</v>
      </c>
      <c r="M160" s="278"/>
      <c r="N160" s="271"/>
      <c r="O160" s="1542"/>
      <c r="P160" s="1542"/>
      <c r="AH160" s="1549">
        <v>0</v>
      </c>
    </row>
    <row r="161" spans="1:34" s="2400" customFormat="1" ht="18.75" hidden="1" customHeight="1">
      <c r="A161" s="1697"/>
      <c r="B161" s="1697"/>
      <c r="C161" s="305" t="s">
        <v>1199</v>
      </c>
      <c r="D161" s="2844"/>
      <c r="E161" s="2598"/>
      <c r="F161" s="2736"/>
      <c r="G161" s="2820"/>
      <c r="H161" s="1418"/>
      <c r="I161" s="587" t="s">
        <v>1198</v>
      </c>
      <c r="J161" s="507"/>
      <c r="K161" s="1418"/>
      <c r="L161" s="151"/>
      <c r="M161" s="278"/>
      <c r="N161" s="271"/>
      <c r="O161" s="1542"/>
      <c r="P161" s="1542"/>
      <c r="AH161" s="1549">
        <v>0</v>
      </c>
    </row>
    <row r="162" spans="1:34" s="2400" customFormat="1" ht="0.75" hidden="1" customHeight="1">
      <c r="A162" s="1697"/>
      <c r="B162" s="1697"/>
      <c r="C162" s="305" t="s">
        <v>1206</v>
      </c>
      <c r="D162" s="2844"/>
      <c r="E162" s="2598"/>
      <c r="F162" s="2736"/>
      <c r="G162" s="336"/>
      <c r="H162" s="1418"/>
      <c r="I162" s="587"/>
      <c r="J162" s="507"/>
      <c r="K162" s="1418"/>
      <c r="L162" s="151"/>
      <c r="M162" s="278"/>
      <c r="N162" s="271"/>
      <c r="O162" s="1542"/>
      <c r="P162" s="1542"/>
      <c r="AH162" s="1549">
        <v>0</v>
      </c>
    </row>
    <row r="163" spans="1:34" s="2400" customFormat="1" ht="18.75" hidden="1" customHeight="1">
      <c r="A163" s="1697" t="s">
        <v>178</v>
      </c>
      <c r="B163" s="1697" t="s">
        <v>179</v>
      </c>
      <c r="C163" s="305"/>
      <c r="D163" s="2844"/>
      <c r="E163" s="2598"/>
      <c r="F163" s="2736" t="str">
        <f>INDEX(PT_DIFFERENTIATION_VTAR,MATCH(A163,PT_DIFFERENTIATION_VTAR_ID,0))</f>
        <v>Тарифы на услуги по передаче теплоносителя</v>
      </c>
      <c r="G163" s="2820" t="str">
        <f>INDEX(PT_DIFFERENTIATION_NTAR,MATCH(B163,PT_DIFFERENTIATION_NTAR_ID,0))</f>
        <v/>
      </c>
      <c r="H163" s="1777"/>
      <c r="I163" s="1656"/>
      <c r="J163" s="1690"/>
      <c r="K163" s="1695"/>
      <c r="L163" s="1777" t="s">
        <v>297</v>
      </c>
      <c r="M163" s="278"/>
      <c r="N163" s="271"/>
      <c r="O163" s="1542"/>
      <c r="P163" s="1542"/>
      <c r="AH163" s="1549">
        <v>0</v>
      </c>
    </row>
    <row r="164" spans="1:34" s="2400" customFormat="1" ht="18.75" hidden="1" customHeight="1">
      <c r="A164" s="1697"/>
      <c r="B164" s="1697"/>
      <c r="C164" s="305" t="s">
        <v>1199</v>
      </c>
      <c r="D164" s="2844"/>
      <c r="E164" s="2598"/>
      <c r="F164" s="2736"/>
      <c r="G164" s="2820"/>
      <c r="H164" s="1418"/>
      <c r="I164" s="587" t="s">
        <v>1198</v>
      </c>
      <c r="J164" s="507"/>
      <c r="K164" s="1418"/>
      <c r="L164" s="151"/>
      <c r="M164" s="278"/>
      <c r="N164" s="271"/>
      <c r="O164" s="1542"/>
      <c r="P164" s="1542"/>
      <c r="AH164" s="1549">
        <v>0</v>
      </c>
    </row>
    <row r="165" spans="1:34" s="2400" customFormat="1" ht="0.75" hidden="1" customHeight="1">
      <c r="A165" s="1697"/>
      <c r="B165" s="1697"/>
      <c r="C165" s="305" t="s">
        <v>1206</v>
      </c>
      <c r="D165" s="2844"/>
      <c r="E165" s="2598"/>
      <c r="F165" s="2736"/>
      <c r="G165" s="336"/>
      <c r="H165" s="1418"/>
      <c r="I165" s="587"/>
      <c r="J165" s="507"/>
      <c r="K165" s="1418"/>
      <c r="L165" s="151"/>
      <c r="M165" s="278"/>
      <c r="N165" s="271"/>
      <c r="O165" s="1542"/>
      <c r="P165" s="1542"/>
      <c r="AH165" s="1549">
        <v>0</v>
      </c>
    </row>
    <row r="166" spans="1:34" s="2400" customFormat="1" ht="18.75" hidden="1" customHeight="1">
      <c r="A166" s="1697" t="s">
        <v>184</v>
      </c>
      <c r="B166" s="1697" t="s">
        <v>185</v>
      </c>
      <c r="C166" s="305"/>
      <c r="D166" s="2844"/>
      <c r="E166" s="2598"/>
      <c r="F166" s="273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20" t="str">
        <f>INDEX(PT_DIFFERENTIATION_NTAR,MATCH(B166,PT_DIFFERENTIATION_NTAR_ID,0))</f>
        <v/>
      </c>
      <c r="H166" s="1777"/>
      <c r="I166" s="1656"/>
      <c r="J166" s="1690"/>
      <c r="K166" s="1695"/>
      <c r="L166" s="1777" t="s">
        <v>297</v>
      </c>
      <c r="M166" s="278"/>
      <c r="N166" s="271"/>
      <c r="O166" s="1542"/>
      <c r="P166" s="1542"/>
      <c r="AH166" s="1549">
        <v>0</v>
      </c>
    </row>
    <row r="167" spans="1:34" s="2400" customFormat="1" ht="18.75" hidden="1" customHeight="1">
      <c r="A167" s="1697"/>
      <c r="B167" s="1697"/>
      <c r="C167" s="305" t="s">
        <v>1199</v>
      </c>
      <c r="D167" s="2844"/>
      <c r="E167" s="2598"/>
      <c r="F167" s="2736"/>
      <c r="G167" s="2820"/>
      <c r="H167" s="1418"/>
      <c r="I167" s="587" t="s">
        <v>1198</v>
      </c>
      <c r="J167" s="507"/>
      <c r="K167" s="1418"/>
      <c r="L167" s="151"/>
      <c r="M167" s="278"/>
      <c r="N167" s="271"/>
      <c r="O167" s="1542"/>
      <c r="P167" s="1542"/>
      <c r="AH167" s="1549">
        <v>0</v>
      </c>
    </row>
    <row r="168" spans="1:34" s="2400" customFormat="1" ht="0.75" hidden="1" customHeight="1">
      <c r="A168" s="1697"/>
      <c r="B168" s="1697"/>
      <c r="C168" s="305" t="s">
        <v>1206</v>
      </c>
      <c r="D168" s="2844"/>
      <c r="E168" s="2598"/>
      <c r="F168" s="2736"/>
      <c r="G168" s="336"/>
      <c r="H168" s="1418"/>
      <c r="I168" s="587"/>
      <c r="J168" s="507"/>
      <c r="K168" s="1418"/>
      <c r="L168" s="151"/>
      <c r="M168" s="278"/>
      <c r="N168" s="271"/>
      <c r="O168" s="1542"/>
      <c r="P168" s="1542"/>
      <c r="AH168" s="1549">
        <v>0</v>
      </c>
    </row>
    <row r="169" spans="1:34" s="2400" customFormat="1" ht="18.75" hidden="1" customHeight="1">
      <c r="A169" s="1697" t="s">
        <v>190</v>
      </c>
      <c r="B169" s="1697" t="s">
        <v>191</v>
      </c>
      <c r="C169" s="305"/>
      <c r="D169" s="2844"/>
      <c r="E169" s="2598"/>
      <c r="F169" s="2736" t="str">
        <f>INDEX(PT_DIFFERENTIATION_VTAR,MATCH(A169,PT_DIFFERENTIATION_VTAR_ID,0))</f>
        <v>Плата за подключение (технологическое присоединение) к системе теплоснабжения</v>
      </c>
      <c r="G169" s="2820" t="str">
        <f>INDEX(PT_DIFFERENTIATION_NTAR,MATCH(B169,PT_DIFFERENTIATION_NTAR_ID,0))</f>
        <v/>
      </c>
      <c r="H169" s="1777"/>
      <c r="I169" s="1656"/>
      <c r="J169" s="1690"/>
      <c r="K169" s="1695"/>
      <c r="L169" s="1777" t="s">
        <v>297</v>
      </c>
      <c r="M169" s="278"/>
      <c r="N169" s="271"/>
      <c r="O169" s="1542"/>
      <c r="P169" s="1542"/>
      <c r="AH169" s="1549">
        <v>0</v>
      </c>
    </row>
    <row r="170" spans="1:34" s="2400" customFormat="1" ht="18.75" hidden="1" customHeight="1">
      <c r="A170" s="1697"/>
      <c r="B170" s="1697"/>
      <c r="C170" s="305" t="s">
        <v>1199</v>
      </c>
      <c r="D170" s="2844"/>
      <c r="E170" s="2598"/>
      <c r="F170" s="2736"/>
      <c r="G170" s="2820"/>
      <c r="H170" s="1418"/>
      <c r="I170" s="587" t="s">
        <v>1198</v>
      </c>
      <c r="J170" s="507"/>
      <c r="K170" s="1418"/>
      <c r="L170" s="151"/>
      <c r="M170" s="278"/>
      <c r="N170" s="271"/>
      <c r="O170" s="1542"/>
      <c r="P170" s="1542"/>
      <c r="AH170" s="1549">
        <v>0</v>
      </c>
    </row>
    <row r="171" spans="1:34" s="2400" customFormat="1" ht="0.75" hidden="1" customHeight="1">
      <c r="A171" s="1697"/>
      <c r="B171" s="1697"/>
      <c r="C171" s="305" t="s">
        <v>1206</v>
      </c>
      <c r="D171" s="2844"/>
      <c r="E171" s="2598"/>
      <c r="F171" s="2736"/>
      <c r="G171" s="336"/>
      <c r="H171" s="1418"/>
      <c r="I171" s="587"/>
      <c r="J171" s="507"/>
      <c r="K171" s="1418"/>
      <c r="L171" s="151"/>
      <c r="M171" s="278"/>
      <c r="N171" s="271"/>
      <c r="O171" s="1542"/>
      <c r="P171" s="1542"/>
      <c r="AH171" s="1549">
        <v>0</v>
      </c>
    </row>
    <row r="172" spans="1:34" s="2400" customFormat="1" ht="18.75" hidden="1" customHeight="1">
      <c r="A172" s="1697" t="s">
        <v>196</v>
      </c>
      <c r="B172" s="1697" t="s">
        <v>197</v>
      </c>
      <c r="C172" s="305"/>
      <c r="D172" s="2844"/>
      <c r="E172" s="2598"/>
      <c r="F172" s="2736" t="str">
        <f>INDEX(PT_DIFFERENTIATION_VTAR,MATCH(A172,PT_DIFFERENTIATION_VTAR_ID,0))</f>
        <v>Плата за подключение (технологическое присоединение) к системе теплоснабжения (индивидуальная)</v>
      </c>
      <c r="G172" s="2820" t="str">
        <f>INDEX(PT_DIFFERENTIATION_NTAR,MATCH(B172,PT_DIFFERENTIATION_NTAR_ID,0))</f>
        <v/>
      </c>
      <c r="H172" s="1901"/>
      <c r="I172" s="1656"/>
      <c r="J172" s="1690"/>
      <c r="K172" s="1695"/>
      <c r="L172" s="1901" t="s">
        <v>297</v>
      </c>
      <c r="M172" s="278"/>
      <c r="N172" s="271"/>
      <c r="O172" s="1542"/>
      <c r="P172" s="1542"/>
      <c r="AH172" s="1549">
        <v>0</v>
      </c>
    </row>
    <row r="173" spans="1:34" s="2400" customFormat="1" ht="18.75" hidden="1" customHeight="1">
      <c r="A173" s="1697"/>
      <c r="B173" s="1697"/>
      <c r="C173" s="305" t="s">
        <v>1199</v>
      </c>
      <c r="D173" s="2844"/>
      <c r="E173" s="2598"/>
      <c r="F173" s="2736"/>
      <c r="G173" s="2820"/>
      <c r="H173" s="1418"/>
      <c r="I173" s="587" t="s">
        <v>1198</v>
      </c>
      <c r="J173" s="507"/>
      <c r="K173" s="1418"/>
      <c r="L173" s="151"/>
      <c r="M173" s="278"/>
      <c r="N173" s="271"/>
      <c r="O173" s="1542"/>
      <c r="P173" s="1542"/>
      <c r="AH173" s="1549">
        <v>0</v>
      </c>
    </row>
    <row r="174" spans="1:34" s="2400" customFormat="1" ht="0.75" hidden="1" customHeight="1">
      <c r="A174" s="1697"/>
      <c r="B174" s="1697"/>
      <c r="C174" s="305" t="s">
        <v>1206</v>
      </c>
      <c r="D174" s="2844"/>
      <c r="E174" s="2598"/>
      <c r="F174" s="2736"/>
      <c r="G174" s="336"/>
      <c r="H174" s="1418"/>
      <c r="I174" s="587"/>
      <c r="J174" s="507"/>
      <c r="K174" s="1418"/>
      <c r="L174" s="151"/>
      <c r="M174" s="278"/>
      <c r="N174" s="271"/>
      <c r="O174" s="1542"/>
      <c r="P174" s="1542"/>
      <c r="AH174" s="1549">
        <v>0</v>
      </c>
    </row>
    <row r="175" spans="1:34" s="2400" customFormat="1" ht="18.75" hidden="1" customHeight="1">
      <c r="A175" s="1697" t="s">
        <v>216</v>
      </c>
      <c r="B175" s="1697" t="s">
        <v>217</v>
      </c>
      <c r="C175" s="305"/>
      <c r="D175" s="2844"/>
      <c r="E175" s="2598"/>
      <c r="F175" s="2736" t="str">
        <f>INDEX(PT_DIFFERENTIATION_VTAR,MATCH(A175,PT_DIFFERENTIATION_VTAR_ID,0))</f>
        <v>Тариф на питьевую воду (питьевое водоснабжение)</v>
      </c>
      <c r="G175" s="2820" t="str">
        <f>INDEX(PT_DIFFERENTIATION_NTAR,MATCH(B175,PT_DIFFERENTIATION_NTAR_ID,0))</f>
        <v/>
      </c>
      <c r="H175" s="1777"/>
      <c r="I175" s="1656"/>
      <c r="J175" s="1690"/>
      <c r="K175" s="1695"/>
      <c r="L175" s="1777" t="s">
        <v>297</v>
      </c>
      <c r="M175" s="278"/>
      <c r="N175" s="271"/>
      <c r="O175" s="1542"/>
      <c r="P175" s="1542"/>
      <c r="AH175" s="1549">
        <v>0</v>
      </c>
    </row>
    <row r="176" spans="1:34" s="2400" customFormat="1" ht="18.75" hidden="1" customHeight="1">
      <c r="A176" s="1697"/>
      <c r="B176" s="1697"/>
      <c r="C176" s="305" t="s">
        <v>1199</v>
      </c>
      <c r="D176" s="2844"/>
      <c r="E176" s="2598"/>
      <c r="F176" s="2736"/>
      <c r="G176" s="2820"/>
      <c r="H176" s="1418"/>
      <c r="I176" s="587" t="s">
        <v>1198</v>
      </c>
      <c r="J176" s="507"/>
      <c r="K176" s="1418"/>
      <c r="L176" s="151"/>
      <c r="M176" s="278"/>
      <c r="N176" s="271"/>
      <c r="O176" s="1542"/>
      <c r="P176" s="1542"/>
      <c r="AH176" s="1549">
        <v>0</v>
      </c>
    </row>
    <row r="177" spans="1:34" s="2400" customFormat="1" ht="0.75" hidden="1" customHeight="1">
      <c r="A177" s="1697"/>
      <c r="B177" s="1697"/>
      <c r="C177" s="305" t="s">
        <v>1206</v>
      </c>
      <c r="D177" s="2844"/>
      <c r="E177" s="2598"/>
      <c r="F177" s="2736"/>
      <c r="G177" s="336"/>
      <c r="H177" s="1418"/>
      <c r="I177" s="587"/>
      <c r="J177" s="507"/>
      <c r="K177" s="1418"/>
      <c r="L177" s="151"/>
      <c r="M177" s="278"/>
      <c r="N177" s="271"/>
      <c r="O177" s="1542"/>
      <c r="P177" s="1542"/>
      <c r="AH177" s="1549">
        <v>0</v>
      </c>
    </row>
    <row r="178" spans="1:34" s="2400" customFormat="1" ht="18.75" hidden="1" customHeight="1">
      <c r="A178" s="1697" t="s">
        <v>221</v>
      </c>
      <c r="B178" s="1697" t="s">
        <v>222</v>
      </c>
      <c r="C178" s="305"/>
      <c r="D178" s="2844"/>
      <c r="E178" s="2598"/>
      <c r="F178" s="2736" t="str">
        <f>INDEX(PT_DIFFERENTIATION_VTAR,MATCH(A178,PT_DIFFERENTIATION_VTAR_ID,0))</f>
        <v>Тариф на техническую воду</v>
      </c>
      <c r="G178" s="2820" t="str">
        <f>INDEX(PT_DIFFERENTIATION_NTAR,MATCH(B178,PT_DIFFERENTIATION_NTAR_ID,0))</f>
        <v/>
      </c>
      <c r="H178" s="1777"/>
      <c r="I178" s="1656"/>
      <c r="J178" s="1690"/>
      <c r="K178" s="1695"/>
      <c r="L178" s="1777" t="s">
        <v>297</v>
      </c>
      <c r="M178" s="278"/>
      <c r="N178" s="271"/>
      <c r="O178" s="1542"/>
      <c r="P178" s="1542"/>
      <c r="AH178" s="1549">
        <v>0</v>
      </c>
    </row>
    <row r="179" spans="1:34" s="2400" customFormat="1" ht="18.75" hidden="1" customHeight="1">
      <c r="A179" s="1697"/>
      <c r="B179" s="1697"/>
      <c r="C179" s="305" t="s">
        <v>1199</v>
      </c>
      <c r="D179" s="2844"/>
      <c r="E179" s="2598"/>
      <c r="F179" s="2736"/>
      <c r="G179" s="2820"/>
      <c r="H179" s="1418"/>
      <c r="I179" s="587" t="s">
        <v>1198</v>
      </c>
      <c r="J179" s="507"/>
      <c r="K179" s="1418"/>
      <c r="L179" s="151"/>
      <c r="M179" s="278"/>
      <c r="N179" s="271"/>
      <c r="O179" s="1542"/>
      <c r="P179" s="1542"/>
      <c r="AH179" s="1549">
        <v>0</v>
      </c>
    </row>
    <row r="180" spans="1:34" s="2400" customFormat="1" ht="0.75" hidden="1" customHeight="1">
      <c r="A180" s="1697"/>
      <c r="B180" s="1697"/>
      <c r="C180" s="305" t="s">
        <v>1206</v>
      </c>
      <c r="D180" s="2844"/>
      <c r="E180" s="2598"/>
      <c r="F180" s="2736"/>
      <c r="G180" s="336"/>
      <c r="H180" s="1418"/>
      <c r="I180" s="587"/>
      <c r="J180" s="507"/>
      <c r="K180" s="1418"/>
      <c r="L180" s="151"/>
      <c r="M180" s="278"/>
      <c r="N180" s="271"/>
      <c r="O180" s="1542"/>
      <c r="P180" s="1542"/>
      <c r="AH180" s="1549">
        <v>0</v>
      </c>
    </row>
    <row r="181" spans="1:34" s="2400" customFormat="1" ht="18.75" hidden="1" customHeight="1">
      <c r="A181" s="1697" t="s">
        <v>226</v>
      </c>
      <c r="B181" s="1697" t="s">
        <v>227</v>
      </c>
      <c r="C181" s="305"/>
      <c r="D181" s="2844"/>
      <c r="E181" s="2598"/>
      <c r="F181" s="2736" t="str">
        <f>INDEX(PT_DIFFERENTIATION_VTAR,MATCH(A181,PT_DIFFERENTIATION_VTAR_ID,0))</f>
        <v>Тариф на транспортировку воды</v>
      </c>
      <c r="G181" s="2820" t="str">
        <f>INDEX(PT_DIFFERENTIATION_NTAR,MATCH(B181,PT_DIFFERENTIATION_NTAR_ID,0))</f>
        <v/>
      </c>
      <c r="H181" s="1777"/>
      <c r="I181" s="1656"/>
      <c r="J181" s="1690"/>
      <c r="K181" s="1695"/>
      <c r="L181" s="1777" t="s">
        <v>297</v>
      </c>
      <c r="M181" s="278"/>
      <c r="N181" s="271"/>
      <c r="O181" s="1542"/>
      <c r="P181" s="1542"/>
      <c r="AH181" s="1549">
        <v>0</v>
      </c>
    </row>
    <row r="182" spans="1:34" s="2400" customFormat="1" ht="18.75" hidden="1" customHeight="1">
      <c r="A182" s="1697"/>
      <c r="B182" s="1697"/>
      <c r="C182" s="305" t="s">
        <v>1199</v>
      </c>
      <c r="D182" s="2844"/>
      <c r="E182" s="2598"/>
      <c r="F182" s="2736"/>
      <c r="G182" s="2820"/>
      <c r="H182" s="1418"/>
      <c r="I182" s="587" t="s">
        <v>1198</v>
      </c>
      <c r="J182" s="507"/>
      <c r="K182" s="1418"/>
      <c r="L182" s="151"/>
      <c r="M182" s="278"/>
      <c r="N182" s="271"/>
      <c r="O182" s="1542"/>
      <c r="P182" s="1542"/>
      <c r="AH182" s="1549">
        <v>0</v>
      </c>
    </row>
    <row r="183" spans="1:34" s="2400" customFormat="1" ht="0.75" hidden="1" customHeight="1">
      <c r="A183" s="1697"/>
      <c r="B183" s="1697"/>
      <c r="C183" s="305" t="s">
        <v>1206</v>
      </c>
      <c r="D183" s="2844"/>
      <c r="E183" s="2598"/>
      <c r="F183" s="2736"/>
      <c r="G183" s="336"/>
      <c r="H183" s="1418"/>
      <c r="I183" s="587"/>
      <c r="J183" s="507"/>
      <c r="K183" s="1418"/>
      <c r="L183" s="151"/>
      <c r="M183" s="278"/>
      <c r="N183" s="271"/>
      <c r="O183" s="1542"/>
      <c r="P183" s="1542"/>
      <c r="AH183" s="1549">
        <v>0</v>
      </c>
    </row>
    <row r="184" spans="1:34" s="2400" customFormat="1" ht="18.75" hidden="1" customHeight="1">
      <c r="A184" s="1697" t="s">
        <v>231</v>
      </c>
      <c r="B184" s="1697" t="s">
        <v>232</v>
      </c>
      <c r="C184" s="305"/>
      <c r="D184" s="2844"/>
      <c r="E184" s="2598"/>
      <c r="F184" s="2736" t="str">
        <f>INDEX(PT_DIFFERENTIATION_VTAR,MATCH(A184,PT_DIFFERENTIATION_VTAR_ID,0))</f>
        <v>Тариф на подвоз воды</v>
      </c>
      <c r="G184" s="2820" t="str">
        <f>INDEX(PT_DIFFERENTIATION_NTAR,MATCH(B184,PT_DIFFERENTIATION_NTAR_ID,0))</f>
        <v/>
      </c>
      <c r="H184" s="1777"/>
      <c r="I184" s="1656"/>
      <c r="J184" s="1690"/>
      <c r="K184" s="1695"/>
      <c r="L184" s="1777" t="s">
        <v>297</v>
      </c>
      <c r="M184" s="278"/>
      <c r="N184" s="271"/>
      <c r="O184" s="1542"/>
      <c r="P184" s="1542"/>
      <c r="AH184" s="1549">
        <v>0</v>
      </c>
    </row>
    <row r="185" spans="1:34" s="2400" customFormat="1" ht="18.75" hidden="1" customHeight="1">
      <c r="A185" s="1697"/>
      <c r="B185" s="1697"/>
      <c r="C185" s="305" t="s">
        <v>1199</v>
      </c>
      <c r="D185" s="2844"/>
      <c r="E185" s="2598"/>
      <c r="F185" s="2736"/>
      <c r="G185" s="2820"/>
      <c r="H185" s="1418"/>
      <c r="I185" s="587" t="s">
        <v>1198</v>
      </c>
      <c r="J185" s="507"/>
      <c r="K185" s="1418"/>
      <c r="L185" s="151"/>
      <c r="M185" s="278"/>
      <c r="N185" s="271"/>
      <c r="O185" s="1542"/>
      <c r="P185" s="1542"/>
      <c r="AH185" s="1549">
        <v>0</v>
      </c>
    </row>
    <row r="186" spans="1:34" s="2400" customFormat="1" ht="0.75" hidden="1" customHeight="1">
      <c r="A186" s="1697"/>
      <c r="B186" s="1697"/>
      <c r="C186" s="305" t="s">
        <v>1206</v>
      </c>
      <c r="D186" s="2844"/>
      <c r="E186" s="2598"/>
      <c r="F186" s="2736"/>
      <c r="G186" s="336"/>
      <c r="H186" s="1418"/>
      <c r="I186" s="587"/>
      <c r="J186" s="507"/>
      <c r="K186" s="1418"/>
      <c r="L186" s="151"/>
      <c r="M186" s="278"/>
      <c r="N186" s="271"/>
      <c r="O186" s="1542"/>
      <c r="P186" s="1542"/>
      <c r="AH186" s="1549">
        <v>0</v>
      </c>
    </row>
    <row r="187" spans="1:34" s="2400" customFormat="1" ht="18.75" hidden="1" customHeight="1">
      <c r="A187" s="1697" t="s">
        <v>236</v>
      </c>
      <c r="B187" s="1697" t="s">
        <v>237</v>
      </c>
      <c r="C187" s="305"/>
      <c r="D187" s="2844"/>
      <c r="E187" s="2598"/>
      <c r="F187" s="273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20" t="str">
        <f>INDEX(PT_DIFFERENTIATION_NTAR,MATCH(B187,PT_DIFFERENTIATION_NTAR_ID,0))</f>
        <v/>
      </c>
      <c r="H187" s="1777"/>
      <c r="I187" s="1656"/>
      <c r="J187" s="1690"/>
      <c r="K187" s="1695"/>
      <c r="L187" s="1777" t="s">
        <v>297</v>
      </c>
      <c r="M187" s="278"/>
      <c r="N187" s="271"/>
      <c r="O187" s="1542"/>
      <c r="P187" s="1542"/>
      <c r="AH187" s="1549">
        <v>0</v>
      </c>
    </row>
    <row r="188" spans="1:34" s="2400" customFormat="1" ht="18.75" hidden="1" customHeight="1">
      <c r="A188" s="1697"/>
      <c r="B188" s="1697"/>
      <c r="C188" s="305" t="s">
        <v>1199</v>
      </c>
      <c r="D188" s="2844"/>
      <c r="E188" s="2598"/>
      <c r="F188" s="2736"/>
      <c r="G188" s="2820"/>
      <c r="H188" s="1418"/>
      <c r="I188" s="587" t="s">
        <v>1198</v>
      </c>
      <c r="J188" s="507"/>
      <c r="K188" s="1418"/>
      <c r="L188" s="151"/>
      <c r="M188" s="278"/>
      <c r="N188" s="271"/>
      <c r="O188" s="1542"/>
      <c r="P188" s="1542"/>
      <c r="AH188" s="1549">
        <v>0</v>
      </c>
    </row>
    <row r="189" spans="1:34" s="2400" customFormat="1" ht="0.75" hidden="1" customHeight="1">
      <c r="A189" s="1697"/>
      <c r="B189" s="1697"/>
      <c r="C189" s="305" t="s">
        <v>1206</v>
      </c>
      <c r="D189" s="2844"/>
      <c r="E189" s="2598"/>
      <c r="F189" s="2736"/>
      <c r="G189" s="336"/>
      <c r="H189" s="1418"/>
      <c r="I189" s="587"/>
      <c r="J189" s="507"/>
      <c r="K189" s="1418"/>
      <c r="L189" s="151"/>
      <c r="M189" s="278"/>
      <c r="N189" s="271"/>
      <c r="O189" s="1542"/>
      <c r="P189" s="1542"/>
      <c r="AH189" s="1549">
        <v>0</v>
      </c>
    </row>
    <row r="190" spans="1:34" s="2400" customFormat="1" ht="18.75" hidden="1" customHeight="1">
      <c r="A190" s="1697" t="s">
        <v>241</v>
      </c>
      <c r="B190" s="1697" t="s">
        <v>242</v>
      </c>
      <c r="C190" s="305"/>
      <c r="D190" s="2844"/>
      <c r="E190" s="2598"/>
      <c r="F190" s="2736" t="str">
        <f>INDEX(PT_DIFFERENTIATION_VTAR,MATCH(A190,PT_DIFFERENTIATION_VTAR_ID,0))</f>
        <v>Тариф на горячую воду (горячее водоснабжение)</v>
      </c>
      <c r="G190" s="2820" t="str">
        <f>INDEX(PT_DIFFERENTIATION_NTAR,MATCH(B190,PT_DIFFERENTIATION_NTAR_ID,0))</f>
        <v/>
      </c>
      <c r="H190" s="1777"/>
      <c r="I190" s="1656"/>
      <c r="J190" s="1690"/>
      <c r="K190" s="1695"/>
      <c r="L190" s="1777" t="s">
        <v>297</v>
      </c>
      <c r="M190" s="278"/>
      <c r="N190" s="271"/>
      <c r="O190" s="1542"/>
      <c r="P190" s="1542"/>
      <c r="AH190" s="1549">
        <v>0</v>
      </c>
    </row>
    <row r="191" spans="1:34" s="2400" customFormat="1" ht="18.75" hidden="1" customHeight="1">
      <c r="A191" s="1697"/>
      <c r="B191" s="1697"/>
      <c r="C191" s="305" t="s">
        <v>1199</v>
      </c>
      <c r="D191" s="2844"/>
      <c r="E191" s="2598"/>
      <c r="F191" s="2736"/>
      <c r="G191" s="2820"/>
      <c r="H191" s="1418"/>
      <c r="I191" s="587" t="s">
        <v>1198</v>
      </c>
      <c r="J191" s="507"/>
      <c r="K191" s="1418"/>
      <c r="L191" s="151"/>
      <c r="M191" s="278"/>
      <c r="N191" s="271"/>
      <c r="O191" s="1542"/>
      <c r="P191" s="1542"/>
      <c r="AH191" s="1549">
        <v>0</v>
      </c>
    </row>
    <row r="192" spans="1:34" s="2400" customFormat="1" ht="0.75" hidden="1" customHeight="1">
      <c r="A192" s="1697"/>
      <c r="B192" s="1697"/>
      <c r="C192" s="305" t="s">
        <v>1206</v>
      </c>
      <c r="D192" s="2844"/>
      <c r="E192" s="2598"/>
      <c r="F192" s="2736"/>
      <c r="G192" s="336"/>
      <c r="H192" s="1418"/>
      <c r="I192" s="587"/>
      <c r="J192" s="507"/>
      <c r="K192" s="1418"/>
      <c r="L192" s="151"/>
      <c r="M192" s="278"/>
      <c r="N192" s="271"/>
      <c r="O192" s="1542"/>
      <c r="P192" s="1542"/>
      <c r="AH192" s="1549">
        <v>0</v>
      </c>
    </row>
    <row r="193" spans="1:34" s="2400" customFormat="1" ht="18.75" hidden="1" customHeight="1">
      <c r="A193" s="1697" t="s">
        <v>246</v>
      </c>
      <c r="B193" s="1697" t="s">
        <v>247</v>
      </c>
      <c r="C193" s="305"/>
      <c r="D193" s="2844"/>
      <c r="E193" s="2598"/>
      <c r="F193" s="2736" t="str">
        <f>INDEX(PT_DIFFERENTIATION_VTAR,MATCH(A193,PT_DIFFERENTIATION_VTAR_ID,0))</f>
        <v>Тариф на транспортировку горячей воды</v>
      </c>
      <c r="G193" s="2820" t="str">
        <f>INDEX(PT_DIFFERENTIATION_NTAR,MATCH(B193,PT_DIFFERENTIATION_NTAR_ID,0))</f>
        <v/>
      </c>
      <c r="H193" s="1777"/>
      <c r="I193" s="1656"/>
      <c r="J193" s="1690"/>
      <c r="K193" s="1695"/>
      <c r="L193" s="1777" t="s">
        <v>297</v>
      </c>
      <c r="M193" s="278"/>
      <c r="N193" s="271"/>
      <c r="O193" s="1542"/>
      <c r="P193" s="1542"/>
      <c r="AH193" s="1549">
        <v>0</v>
      </c>
    </row>
    <row r="194" spans="1:34" s="2400" customFormat="1" ht="18.75" hidden="1" customHeight="1">
      <c r="A194" s="1697"/>
      <c r="B194" s="1697"/>
      <c r="C194" s="305" t="s">
        <v>1199</v>
      </c>
      <c r="D194" s="2844"/>
      <c r="E194" s="2598"/>
      <c r="F194" s="2736"/>
      <c r="G194" s="2820"/>
      <c r="H194" s="1418"/>
      <c r="I194" s="587" t="s">
        <v>1198</v>
      </c>
      <c r="J194" s="507"/>
      <c r="K194" s="1418"/>
      <c r="L194" s="151"/>
      <c r="M194" s="278"/>
      <c r="N194" s="271"/>
      <c r="O194" s="1542"/>
      <c r="P194" s="1542"/>
      <c r="AH194" s="1549">
        <v>0</v>
      </c>
    </row>
    <row r="195" spans="1:34" s="2400" customFormat="1" ht="0.75" hidden="1" customHeight="1">
      <c r="A195" s="1697"/>
      <c r="B195" s="1697"/>
      <c r="C195" s="305" t="s">
        <v>1206</v>
      </c>
      <c r="D195" s="2844"/>
      <c r="E195" s="2598"/>
      <c r="F195" s="2736"/>
      <c r="G195" s="336"/>
      <c r="H195" s="1418"/>
      <c r="I195" s="587"/>
      <c r="J195" s="507"/>
      <c r="K195" s="1418"/>
      <c r="L195" s="151"/>
      <c r="M195" s="278"/>
      <c r="N195" s="271"/>
      <c r="O195" s="1542"/>
      <c r="P195" s="1542"/>
      <c r="AH195" s="1549">
        <v>0</v>
      </c>
    </row>
    <row r="196" spans="1:34" s="2400" customFormat="1" ht="18.75" hidden="1" customHeight="1">
      <c r="A196" s="1697" t="s">
        <v>251</v>
      </c>
      <c r="B196" s="1697" t="s">
        <v>252</v>
      </c>
      <c r="C196" s="305"/>
      <c r="D196" s="2844"/>
      <c r="E196" s="2598"/>
      <c r="F196" s="273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20" t="str">
        <f>INDEX(PT_DIFFERENTIATION_NTAR,MATCH(B196,PT_DIFFERENTIATION_NTAR_ID,0))</f>
        <v/>
      </c>
      <c r="H196" s="1777"/>
      <c r="I196" s="1656"/>
      <c r="J196" s="1690"/>
      <c r="K196" s="1695"/>
      <c r="L196" s="1777" t="s">
        <v>297</v>
      </c>
      <c r="M196" s="278"/>
      <c r="N196" s="271"/>
      <c r="O196" s="1542"/>
      <c r="P196" s="1542"/>
      <c r="AH196" s="1549">
        <v>0</v>
      </c>
    </row>
    <row r="197" spans="1:34" s="2400" customFormat="1" ht="18.75" hidden="1" customHeight="1">
      <c r="A197" s="1697"/>
      <c r="B197" s="1697"/>
      <c r="C197" s="305" t="s">
        <v>1199</v>
      </c>
      <c r="D197" s="2844"/>
      <c r="E197" s="2598"/>
      <c r="F197" s="2736"/>
      <c r="G197" s="2820"/>
      <c r="H197" s="1418"/>
      <c r="I197" s="587" t="s">
        <v>1198</v>
      </c>
      <c r="J197" s="507"/>
      <c r="K197" s="1418"/>
      <c r="L197" s="151"/>
      <c r="M197" s="278"/>
      <c r="N197" s="271"/>
      <c r="O197" s="1542"/>
      <c r="P197" s="1542"/>
      <c r="AH197" s="1549">
        <v>0</v>
      </c>
    </row>
    <row r="198" spans="1:34" s="2400" customFormat="1" ht="0.75" hidden="1" customHeight="1">
      <c r="A198" s="1697"/>
      <c r="B198" s="1697"/>
      <c r="C198" s="305" t="s">
        <v>1206</v>
      </c>
      <c r="D198" s="2844"/>
      <c r="E198" s="2598"/>
      <c r="F198" s="2736"/>
      <c r="G198" s="336"/>
      <c r="H198" s="1418"/>
      <c r="I198" s="587"/>
      <c r="J198" s="507"/>
      <c r="K198" s="1418"/>
      <c r="L198" s="151"/>
      <c r="M198" s="278"/>
      <c r="N198" s="271"/>
      <c r="O198" s="1542"/>
      <c r="P198" s="1542"/>
      <c r="AH198" s="1549">
        <v>0</v>
      </c>
    </row>
    <row r="199" spans="1:34" s="2400" customFormat="1" ht="18.75" hidden="1" customHeight="1">
      <c r="A199" s="1697" t="s">
        <v>256</v>
      </c>
      <c r="B199" s="1697" t="s">
        <v>257</v>
      </c>
      <c r="C199" s="305"/>
      <c r="D199" s="2844"/>
      <c r="E199" s="2598"/>
      <c r="F199" s="2736" t="str">
        <f>INDEX(PT_DIFFERENTIATION_VTAR,MATCH(A199,PT_DIFFERENTIATION_VTAR_ID,0))</f>
        <v>Тариф на водоотведение</v>
      </c>
      <c r="G199" s="2820" t="str">
        <f>INDEX(PT_DIFFERENTIATION_NTAR,MATCH(B199,PT_DIFFERENTIATION_NTAR_ID,0))</f>
        <v/>
      </c>
      <c r="H199" s="1777"/>
      <c r="I199" s="1656"/>
      <c r="J199" s="1690"/>
      <c r="K199" s="1695"/>
      <c r="L199" s="1777" t="s">
        <v>297</v>
      </c>
      <c r="M199" s="278"/>
      <c r="N199" s="271"/>
      <c r="O199" s="1542"/>
      <c r="P199" s="1542"/>
      <c r="AH199" s="1549">
        <v>0</v>
      </c>
    </row>
    <row r="200" spans="1:34" s="2400" customFormat="1" ht="18.75" hidden="1" customHeight="1">
      <c r="A200" s="1697"/>
      <c r="B200" s="1697"/>
      <c r="C200" s="305" t="s">
        <v>1199</v>
      </c>
      <c r="D200" s="2844"/>
      <c r="E200" s="2598"/>
      <c r="F200" s="2736"/>
      <c r="G200" s="2820"/>
      <c r="H200" s="1418"/>
      <c r="I200" s="587" t="s">
        <v>1198</v>
      </c>
      <c r="J200" s="507"/>
      <c r="K200" s="1418"/>
      <c r="L200" s="151"/>
      <c r="M200" s="278"/>
      <c r="N200" s="271"/>
      <c r="O200" s="1542"/>
      <c r="P200" s="1542"/>
      <c r="AH200" s="1549">
        <v>0</v>
      </c>
    </row>
    <row r="201" spans="1:34" s="2400" customFormat="1" ht="0.75" hidden="1" customHeight="1">
      <c r="A201" s="1697"/>
      <c r="B201" s="1697"/>
      <c r="C201" s="305" t="s">
        <v>1206</v>
      </c>
      <c r="D201" s="2844"/>
      <c r="E201" s="2598"/>
      <c r="F201" s="2736"/>
      <c r="G201" s="336"/>
      <c r="H201" s="1418"/>
      <c r="I201" s="587"/>
      <c r="J201" s="507"/>
      <c r="K201" s="1418"/>
      <c r="L201" s="151"/>
      <c r="M201" s="278"/>
      <c r="N201" s="271"/>
      <c r="O201" s="1542"/>
      <c r="P201" s="1542"/>
      <c r="AH201" s="1549">
        <v>0</v>
      </c>
    </row>
    <row r="202" spans="1:34" s="2400" customFormat="1" ht="18.75" hidden="1" customHeight="1">
      <c r="A202" s="1697" t="s">
        <v>261</v>
      </c>
      <c r="B202" s="1697" t="s">
        <v>262</v>
      </c>
      <c r="C202" s="305"/>
      <c r="D202" s="2844"/>
      <c r="E202" s="2598"/>
      <c r="F202" s="2736" t="str">
        <f>INDEX(PT_DIFFERENTIATION_VTAR,MATCH(A202,PT_DIFFERENTIATION_VTAR_ID,0))</f>
        <v>Тариф на транспортировку сточных вод</v>
      </c>
      <c r="G202" s="2820" t="str">
        <f>INDEX(PT_DIFFERENTIATION_NTAR,MATCH(B202,PT_DIFFERENTIATION_NTAR_ID,0))</f>
        <v/>
      </c>
      <c r="H202" s="1777"/>
      <c r="I202" s="1656"/>
      <c r="J202" s="1690"/>
      <c r="K202" s="1695"/>
      <c r="L202" s="1777" t="s">
        <v>297</v>
      </c>
      <c r="M202" s="278"/>
      <c r="N202" s="271"/>
      <c r="O202" s="1542"/>
      <c r="P202" s="1542"/>
      <c r="AH202" s="1549">
        <v>0</v>
      </c>
    </row>
    <row r="203" spans="1:34" s="2400" customFormat="1" ht="18.75" hidden="1" customHeight="1">
      <c r="A203" s="1697"/>
      <c r="B203" s="1697"/>
      <c r="C203" s="305" t="s">
        <v>1199</v>
      </c>
      <c r="D203" s="2844"/>
      <c r="E203" s="2598"/>
      <c r="F203" s="2736"/>
      <c r="G203" s="2820"/>
      <c r="H203" s="1418"/>
      <c r="I203" s="587" t="s">
        <v>1198</v>
      </c>
      <c r="J203" s="507"/>
      <c r="K203" s="1418"/>
      <c r="L203" s="151"/>
      <c r="M203" s="278"/>
      <c r="N203" s="271"/>
      <c r="O203" s="1542"/>
      <c r="P203" s="1542"/>
      <c r="AH203" s="1549">
        <v>0</v>
      </c>
    </row>
    <row r="204" spans="1:34" s="2400" customFormat="1" ht="0.75" hidden="1" customHeight="1">
      <c r="A204" s="1697"/>
      <c r="B204" s="1697"/>
      <c r="C204" s="305" t="s">
        <v>1206</v>
      </c>
      <c r="D204" s="2844"/>
      <c r="E204" s="2598"/>
      <c r="F204" s="2736"/>
      <c r="G204" s="336"/>
      <c r="H204" s="1418"/>
      <c r="I204" s="587"/>
      <c r="J204" s="507"/>
      <c r="K204" s="1418"/>
      <c r="L204" s="151"/>
      <c r="M204" s="278"/>
      <c r="N204" s="271"/>
      <c r="O204" s="1542"/>
      <c r="P204" s="1542"/>
      <c r="AH204" s="1549">
        <v>0</v>
      </c>
    </row>
    <row r="205" spans="1:34" s="2400" customFormat="1" ht="18.75" hidden="1" customHeight="1">
      <c r="A205" s="1697" t="s">
        <v>266</v>
      </c>
      <c r="B205" s="1697" t="s">
        <v>267</v>
      </c>
      <c r="C205" s="305"/>
      <c r="D205" s="2844"/>
      <c r="E205" s="2598"/>
      <c r="F205" s="2736" t="str">
        <f>INDEX(PT_DIFFERENTIATION_VTAR,MATCH(A205,PT_DIFFERENTIATION_VTAR_ID,0))</f>
        <v>Тариф на подключение (технологическое присоединение) к централизованной системе водоотведения</v>
      </c>
      <c r="G205" s="2820" t="str">
        <f>INDEX(PT_DIFFERENTIATION_NTAR,MATCH(B205,PT_DIFFERENTIATION_NTAR_ID,0))</f>
        <v/>
      </c>
      <c r="H205" s="1777"/>
      <c r="I205" s="1656"/>
      <c r="J205" s="1690"/>
      <c r="K205" s="1695"/>
      <c r="L205" s="1777" t="s">
        <v>297</v>
      </c>
      <c r="M205" s="278"/>
      <c r="N205" s="271"/>
      <c r="O205" s="1542"/>
      <c r="P205" s="1542"/>
      <c r="AH205" s="1549">
        <v>0</v>
      </c>
    </row>
    <row r="206" spans="1:34" s="2400" customFormat="1" ht="18.75" hidden="1" customHeight="1">
      <c r="A206" s="1697"/>
      <c r="B206" s="1697"/>
      <c r="C206" s="305" t="s">
        <v>1199</v>
      </c>
      <c r="D206" s="2844"/>
      <c r="E206" s="2598"/>
      <c r="F206" s="2736"/>
      <c r="G206" s="2820"/>
      <c r="H206" s="1418"/>
      <c r="I206" s="587" t="s">
        <v>1198</v>
      </c>
      <c r="J206" s="507"/>
      <c r="K206" s="1418"/>
      <c r="L206" s="151"/>
      <c r="M206" s="278"/>
      <c r="N206" s="271"/>
      <c r="O206" s="1542"/>
      <c r="P206" s="1542"/>
      <c r="AH206" s="1549">
        <v>0</v>
      </c>
    </row>
    <row r="207" spans="1:34" s="2400" customFormat="1" ht="1.1499999999999999" customHeight="1">
      <c r="A207" s="1697"/>
      <c r="B207" s="1697"/>
      <c r="C207" s="305" t="s">
        <v>1206</v>
      </c>
      <c r="D207" s="2844"/>
      <c r="E207" s="2598"/>
      <c r="F207" s="2736"/>
      <c r="G207" s="336"/>
      <c r="H207" s="1418"/>
      <c r="I207" s="587"/>
      <c r="J207" s="507"/>
      <c r="K207" s="1418"/>
      <c r="L207" s="151"/>
      <c r="M207" s="278"/>
      <c r="N207" s="271"/>
      <c r="O207" s="1542"/>
      <c r="P207" s="1542"/>
      <c r="AH207" s="1549">
        <v>1</v>
      </c>
    </row>
    <row r="208" spans="1:34" ht="27.4" customHeight="1">
      <c r="A208" s="1697"/>
      <c r="B208" s="1697"/>
      <c r="D208" s="312"/>
      <c r="E208" s="85" t="s">
        <v>104</v>
      </c>
      <c r="F208" s="284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43"/>
      <c r="H208" s="2843"/>
      <c r="I208" s="2843"/>
      <c r="J208" s="2843"/>
      <c r="K208" s="2843"/>
      <c r="L208" s="2843"/>
      <c r="M208" s="234"/>
      <c r="N208" s="271"/>
      <c r="AH208" s="310">
        <v>26</v>
      </c>
    </row>
    <row r="209" spans="1:34" s="2400" customFormat="1" ht="60.75" hidden="1" customHeight="1">
      <c r="A209" s="1697" t="s">
        <v>148</v>
      </c>
      <c r="B209" s="1697" t="s">
        <v>149</v>
      </c>
      <c r="C209" s="305"/>
      <c r="D209" s="2844"/>
      <c r="E209" s="2598"/>
      <c r="F209" s="273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20" t="str">
        <f>INDEX(PT_DIFFERENTIATION_NTAR,MATCH(B209,PT_DIFFERENTIATION_NTAR_ID,0))</f>
        <v/>
      </c>
      <c r="H209" s="1777"/>
      <c r="I209" s="1656"/>
      <c r="J209" s="1690"/>
      <c r="K209" s="1695"/>
      <c r="L209" s="1777" t="s">
        <v>297</v>
      </c>
      <c r="M209" s="25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2"/>
      <c r="P209" s="1542"/>
      <c r="AH209" s="1549">
        <v>0</v>
      </c>
    </row>
    <row r="210" spans="1:34" s="2400" customFormat="1" ht="18.75" hidden="1" customHeight="1">
      <c r="A210" s="1697"/>
      <c r="B210" s="1697"/>
      <c r="C210" s="305" t="s">
        <v>1199</v>
      </c>
      <c r="D210" s="2844"/>
      <c r="E210" s="2598"/>
      <c r="F210" s="2736"/>
      <c r="G210" s="2820"/>
      <c r="H210" s="1418"/>
      <c r="I210" s="587" t="s">
        <v>1198</v>
      </c>
      <c r="J210" s="507"/>
      <c r="K210" s="1418"/>
      <c r="L210" s="151"/>
      <c r="M210" s="2559"/>
      <c r="N210" s="271"/>
      <c r="O210" s="1542"/>
      <c r="P210" s="1542"/>
      <c r="AH210" s="1549">
        <v>0</v>
      </c>
    </row>
    <row r="211" spans="1:34" s="2400" customFormat="1" ht="0.75" hidden="1" customHeight="1">
      <c r="A211" s="1697"/>
      <c r="B211" s="1697"/>
      <c r="C211" s="305" t="s">
        <v>1206</v>
      </c>
      <c r="D211" s="2844"/>
      <c r="E211" s="2598"/>
      <c r="F211" s="2736"/>
      <c r="G211" s="336"/>
      <c r="H211" s="1418"/>
      <c r="I211" s="587"/>
      <c r="J211" s="507"/>
      <c r="K211" s="1418"/>
      <c r="L211" s="151"/>
      <c r="M211" s="2559"/>
      <c r="N211" s="271"/>
      <c r="O211" s="1542"/>
      <c r="P211" s="1542"/>
      <c r="AH211" s="1549">
        <v>0</v>
      </c>
    </row>
    <row r="212" spans="1:34" s="2400" customFormat="1" ht="45" hidden="1" customHeight="1">
      <c r="A212" s="1697" t="s">
        <v>153</v>
      </c>
      <c r="B212" s="1697" t="s">
        <v>154</v>
      </c>
      <c r="C212" s="305"/>
      <c r="D212" s="2844"/>
      <c r="E212" s="2598"/>
      <c r="F212" s="2736" t="str">
        <f>INDEX(PT_DIFFERENTIATION_VTAR,MATCH(A212,PT_DIFFERENTIATION_VTAR_ID,0))</f>
        <v/>
      </c>
      <c r="G212" s="2820" t="str">
        <f>INDEX(PT_DIFFERENTIATION_NTAR,MATCH(B212,PT_DIFFERENTIATION_NTAR_ID,0))</f>
        <v/>
      </c>
      <c r="H212" s="1777"/>
      <c r="I212" s="1656"/>
      <c r="J212" s="1690"/>
      <c r="K212" s="1695"/>
      <c r="L212" s="1777" t="s">
        <v>297</v>
      </c>
      <c r="M212" s="2560"/>
      <c r="N212" s="271"/>
      <c r="O212" s="1542"/>
      <c r="P212" s="1542"/>
      <c r="AH212" s="1549">
        <v>0</v>
      </c>
    </row>
    <row r="213" spans="1:34" s="2400" customFormat="1" ht="18.75" hidden="1" customHeight="1">
      <c r="A213" s="1697"/>
      <c r="B213" s="1697"/>
      <c r="C213" s="305" t="s">
        <v>1199</v>
      </c>
      <c r="D213" s="2844"/>
      <c r="E213" s="2598"/>
      <c r="F213" s="2736"/>
      <c r="G213" s="2820"/>
      <c r="H213" s="1418"/>
      <c r="I213" s="587" t="s">
        <v>1198</v>
      </c>
      <c r="J213" s="507"/>
      <c r="K213" s="1418"/>
      <c r="L213" s="151"/>
      <c r="M213" s="1776"/>
      <c r="N213" s="271"/>
      <c r="O213" s="1542"/>
      <c r="P213" s="1542"/>
      <c r="AH213" s="1549">
        <v>0</v>
      </c>
    </row>
    <row r="214" spans="1:34" s="2400" customFormat="1" ht="0.75" hidden="1" customHeight="1">
      <c r="A214" s="1697"/>
      <c r="B214" s="1697"/>
      <c r="C214" s="305" t="s">
        <v>1206</v>
      </c>
      <c r="D214" s="2844"/>
      <c r="E214" s="2598"/>
      <c r="F214" s="2736"/>
      <c r="G214" s="336"/>
      <c r="H214" s="1418"/>
      <c r="I214" s="587"/>
      <c r="J214" s="507"/>
      <c r="K214" s="1418"/>
      <c r="L214" s="151"/>
      <c r="M214" s="278"/>
      <c r="N214" s="271"/>
      <c r="O214" s="1542"/>
      <c r="P214" s="1542"/>
      <c r="AH214" s="1549">
        <v>0</v>
      </c>
    </row>
    <row r="215" spans="1:34" s="2400" customFormat="1" ht="45" hidden="1" customHeight="1">
      <c r="A215" s="1697" t="s">
        <v>160</v>
      </c>
      <c r="B215" s="1697" t="s">
        <v>161</v>
      </c>
      <c r="C215" s="305"/>
      <c r="D215" s="2844"/>
      <c r="E215" s="2598"/>
      <c r="F215" s="273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20" t="str">
        <f>INDEX(PT_DIFFERENTIATION_NTAR,MATCH(B215,PT_DIFFERENTIATION_NTAR_ID,0))</f>
        <v/>
      </c>
      <c r="H215" s="1777"/>
      <c r="I215" s="1656"/>
      <c r="J215" s="1690"/>
      <c r="K215" s="1695"/>
      <c r="L215" s="1777" t="s">
        <v>297</v>
      </c>
      <c r="M215" s="278"/>
      <c r="N215" s="271"/>
      <c r="O215" s="1542"/>
      <c r="P215" s="1542"/>
      <c r="AH215" s="1549">
        <v>0</v>
      </c>
    </row>
    <row r="216" spans="1:34" s="2400" customFormat="1" ht="18.75" hidden="1" customHeight="1">
      <c r="A216" s="1697"/>
      <c r="B216" s="1697"/>
      <c r="C216" s="305" t="s">
        <v>1199</v>
      </c>
      <c r="D216" s="2844"/>
      <c r="E216" s="2598"/>
      <c r="F216" s="2736"/>
      <c r="G216" s="2820"/>
      <c r="H216" s="1418"/>
      <c r="I216" s="587" t="s">
        <v>1198</v>
      </c>
      <c r="J216" s="507"/>
      <c r="K216" s="1418"/>
      <c r="L216" s="151"/>
      <c r="M216" s="278"/>
      <c r="N216" s="271"/>
      <c r="O216" s="1542"/>
      <c r="P216" s="1542"/>
      <c r="AH216" s="1549">
        <v>0</v>
      </c>
    </row>
    <row r="217" spans="1:34" s="2400" customFormat="1" ht="0.75" hidden="1" customHeight="1">
      <c r="A217" s="1697"/>
      <c r="B217" s="1697"/>
      <c r="C217" s="305" t="s">
        <v>1206</v>
      </c>
      <c r="D217" s="2844"/>
      <c r="E217" s="2598"/>
      <c r="F217" s="2736"/>
      <c r="G217" s="336"/>
      <c r="H217" s="1418"/>
      <c r="I217" s="587"/>
      <c r="J217" s="507"/>
      <c r="K217" s="1418"/>
      <c r="L217" s="151"/>
      <c r="M217" s="278"/>
      <c r="N217" s="271"/>
      <c r="O217" s="1542"/>
      <c r="P217" s="1542"/>
      <c r="AH217" s="1549">
        <v>0</v>
      </c>
    </row>
    <row r="218" spans="1:34" s="2400" customFormat="1" ht="45" hidden="1" customHeight="1">
      <c r="A218" s="1697" t="s">
        <v>166</v>
      </c>
      <c r="B218" s="1697" t="s">
        <v>167</v>
      </c>
      <c r="C218" s="305"/>
      <c r="D218" s="2844"/>
      <c r="E218" s="2598"/>
      <c r="F218" s="273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20" t="str">
        <f>INDEX(PT_DIFFERENTIATION_NTAR,MATCH(B218,PT_DIFFERENTIATION_NTAR_ID,0))</f>
        <v/>
      </c>
      <c r="H218" s="1777"/>
      <c r="I218" s="1656"/>
      <c r="J218" s="1690"/>
      <c r="K218" s="1695"/>
      <c r="L218" s="1777" t="s">
        <v>297</v>
      </c>
      <c r="M218" s="278"/>
      <c r="N218" s="271"/>
      <c r="O218" s="1542"/>
      <c r="P218" s="1542"/>
      <c r="AH218" s="1549">
        <v>0</v>
      </c>
    </row>
    <row r="219" spans="1:34" s="2400" customFormat="1" ht="18.75" hidden="1" customHeight="1">
      <c r="A219" s="1697"/>
      <c r="B219" s="1697"/>
      <c r="C219" s="305" t="s">
        <v>1199</v>
      </c>
      <c r="D219" s="2844"/>
      <c r="E219" s="2598"/>
      <c r="F219" s="2736"/>
      <c r="G219" s="2820"/>
      <c r="H219" s="1418"/>
      <c r="I219" s="587" t="s">
        <v>1198</v>
      </c>
      <c r="J219" s="507"/>
      <c r="K219" s="1418"/>
      <c r="L219" s="151"/>
      <c r="M219" s="278"/>
      <c r="N219" s="271"/>
      <c r="O219" s="1542"/>
      <c r="P219" s="1542"/>
      <c r="AH219" s="1549">
        <v>0</v>
      </c>
    </row>
    <row r="220" spans="1:34" s="2400" customFormat="1" ht="0.75" hidden="1" customHeight="1">
      <c r="A220" s="1697"/>
      <c r="B220" s="1697"/>
      <c r="C220" s="305" t="s">
        <v>1206</v>
      </c>
      <c r="D220" s="2844"/>
      <c r="E220" s="2598"/>
      <c r="F220" s="2736"/>
      <c r="G220" s="336"/>
      <c r="H220" s="1418"/>
      <c r="I220" s="587"/>
      <c r="J220" s="507"/>
      <c r="K220" s="1418"/>
      <c r="L220" s="151"/>
      <c r="M220" s="278"/>
      <c r="N220" s="271"/>
      <c r="O220" s="1542"/>
      <c r="P220" s="1542"/>
      <c r="AH220" s="1549">
        <v>0</v>
      </c>
    </row>
    <row r="221" spans="1:34" s="2400" customFormat="1" ht="18.75" hidden="1" customHeight="1">
      <c r="A221" s="1697" t="s">
        <v>172</v>
      </c>
      <c r="B221" s="1697" t="s">
        <v>173</v>
      </c>
      <c r="C221" s="305"/>
      <c r="D221" s="2844"/>
      <c r="E221" s="2598"/>
      <c r="F221" s="2736" t="str">
        <f>INDEX(PT_DIFFERENTIATION_VTAR,MATCH(A221,PT_DIFFERENTIATION_VTAR_ID,0))</f>
        <v>Тарифы на услуги по передаче тепловой энергии</v>
      </c>
      <c r="G221" s="2820" t="str">
        <f>INDEX(PT_DIFFERENTIATION_NTAR,MATCH(B221,PT_DIFFERENTIATION_NTAR_ID,0))</f>
        <v/>
      </c>
      <c r="H221" s="1777"/>
      <c r="I221" s="1656"/>
      <c r="J221" s="1690"/>
      <c r="K221" s="1695"/>
      <c r="L221" s="1777" t="s">
        <v>297</v>
      </c>
      <c r="M221" s="278"/>
      <c r="N221" s="271"/>
      <c r="O221" s="1542"/>
      <c r="P221" s="1542"/>
      <c r="AH221" s="1549">
        <v>0</v>
      </c>
    </row>
    <row r="222" spans="1:34" s="2400" customFormat="1" ht="18.75" hidden="1" customHeight="1">
      <c r="A222" s="1697"/>
      <c r="B222" s="1697"/>
      <c r="C222" s="305" t="s">
        <v>1199</v>
      </c>
      <c r="D222" s="2844"/>
      <c r="E222" s="2598"/>
      <c r="F222" s="2736"/>
      <c r="G222" s="2820"/>
      <c r="H222" s="1418"/>
      <c r="I222" s="587" t="s">
        <v>1198</v>
      </c>
      <c r="J222" s="507"/>
      <c r="K222" s="1418"/>
      <c r="L222" s="151"/>
      <c r="M222" s="278"/>
      <c r="N222" s="271"/>
      <c r="O222" s="1542"/>
      <c r="P222" s="1542"/>
      <c r="AH222" s="1549">
        <v>0</v>
      </c>
    </row>
    <row r="223" spans="1:34" s="2400" customFormat="1" ht="0.75" hidden="1" customHeight="1">
      <c r="A223" s="1697"/>
      <c r="B223" s="1697"/>
      <c r="C223" s="305" t="s">
        <v>1206</v>
      </c>
      <c r="D223" s="2844"/>
      <c r="E223" s="2598"/>
      <c r="F223" s="2736"/>
      <c r="G223" s="336"/>
      <c r="H223" s="1418"/>
      <c r="I223" s="587"/>
      <c r="J223" s="507"/>
      <c r="K223" s="1418"/>
      <c r="L223" s="151"/>
      <c r="M223" s="278"/>
      <c r="N223" s="271"/>
      <c r="O223" s="1542"/>
      <c r="P223" s="1542"/>
      <c r="AH223" s="1549">
        <v>0</v>
      </c>
    </row>
    <row r="224" spans="1:34" s="2400" customFormat="1" ht="18.75" hidden="1" customHeight="1">
      <c r="A224" s="1697" t="s">
        <v>178</v>
      </c>
      <c r="B224" s="1697" t="s">
        <v>179</v>
      </c>
      <c r="C224" s="305"/>
      <c r="D224" s="2844"/>
      <c r="E224" s="2598"/>
      <c r="F224" s="2736" t="str">
        <f>INDEX(PT_DIFFERENTIATION_VTAR,MATCH(A224,PT_DIFFERENTIATION_VTAR_ID,0))</f>
        <v>Тарифы на услуги по передаче теплоносителя</v>
      </c>
      <c r="G224" s="2820" t="str">
        <f>INDEX(PT_DIFFERENTIATION_NTAR,MATCH(B224,PT_DIFFERENTIATION_NTAR_ID,0))</f>
        <v/>
      </c>
      <c r="H224" s="1777"/>
      <c r="I224" s="1656"/>
      <c r="J224" s="1690"/>
      <c r="K224" s="1695"/>
      <c r="L224" s="1777" t="s">
        <v>297</v>
      </c>
      <c r="M224" s="278"/>
      <c r="N224" s="271"/>
      <c r="O224" s="1542"/>
      <c r="P224" s="1542"/>
      <c r="AH224" s="1549">
        <v>0</v>
      </c>
    </row>
    <row r="225" spans="1:34" s="2400" customFormat="1" ht="18.75" hidden="1" customHeight="1">
      <c r="A225" s="1697"/>
      <c r="B225" s="1697"/>
      <c r="C225" s="305" t="s">
        <v>1199</v>
      </c>
      <c r="D225" s="2844"/>
      <c r="E225" s="2598"/>
      <c r="F225" s="2736"/>
      <c r="G225" s="2820"/>
      <c r="H225" s="1418"/>
      <c r="I225" s="587" t="s">
        <v>1198</v>
      </c>
      <c r="J225" s="507"/>
      <c r="K225" s="1418"/>
      <c r="L225" s="151"/>
      <c r="M225" s="278"/>
      <c r="N225" s="271"/>
      <c r="O225" s="1542"/>
      <c r="P225" s="1542"/>
      <c r="AH225" s="1549">
        <v>0</v>
      </c>
    </row>
    <row r="226" spans="1:34" s="2400" customFormat="1" ht="0.75" hidden="1" customHeight="1">
      <c r="A226" s="1697"/>
      <c r="B226" s="1697"/>
      <c r="C226" s="305" t="s">
        <v>1206</v>
      </c>
      <c r="D226" s="2844"/>
      <c r="E226" s="2598"/>
      <c r="F226" s="2736"/>
      <c r="G226" s="336"/>
      <c r="H226" s="1418"/>
      <c r="I226" s="587"/>
      <c r="J226" s="507"/>
      <c r="K226" s="1418"/>
      <c r="L226" s="151"/>
      <c r="M226" s="278"/>
      <c r="N226" s="271"/>
      <c r="O226" s="1542"/>
      <c r="P226" s="1542"/>
      <c r="AH226" s="1549">
        <v>0</v>
      </c>
    </row>
    <row r="227" spans="1:34" s="2400" customFormat="1" ht="18.75" hidden="1" customHeight="1">
      <c r="A227" s="1697" t="s">
        <v>184</v>
      </c>
      <c r="B227" s="1697" t="s">
        <v>185</v>
      </c>
      <c r="C227" s="305"/>
      <c r="D227" s="2844"/>
      <c r="E227" s="2598"/>
      <c r="F227" s="273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20" t="str">
        <f>INDEX(PT_DIFFERENTIATION_NTAR,MATCH(B227,PT_DIFFERENTIATION_NTAR_ID,0))</f>
        <v/>
      </c>
      <c r="H227" s="1777"/>
      <c r="I227" s="1656"/>
      <c r="J227" s="1690"/>
      <c r="K227" s="1695"/>
      <c r="L227" s="1777" t="s">
        <v>297</v>
      </c>
      <c r="M227" s="278"/>
      <c r="N227" s="271"/>
      <c r="O227" s="1542"/>
      <c r="P227" s="1542"/>
      <c r="AH227" s="1549">
        <v>0</v>
      </c>
    </row>
    <row r="228" spans="1:34" s="2400" customFormat="1" ht="18.75" hidden="1" customHeight="1">
      <c r="A228" s="1697"/>
      <c r="B228" s="1697"/>
      <c r="C228" s="305" t="s">
        <v>1199</v>
      </c>
      <c r="D228" s="2844"/>
      <c r="E228" s="2598"/>
      <c r="F228" s="2736"/>
      <c r="G228" s="2820"/>
      <c r="H228" s="1418"/>
      <c r="I228" s="587" t="s">
        <v>1198</v>
      </c>
      <c r="J228" s="507"/>
      <c r="K228" s="1418"/>
      <c r="L228" s="151"/>
      <c r="M228" s="278"/>
      <c r="N228" s="271"/>
      <c r="O228" s="1542"/>
      <c r="P228" s="1542"/>
      <c r="AH228" s="1549">
        <v>0</v>
      </c>
    </row>
    <row r="229" spans="1:34" s="2400" customFormat="1" ht="0.75" hidden="1" customHeight="1">
      <c r="A229" s="1697"/>
      <c r="B229" s="1697"/>
      <c r="C229" s="305" t="s">
        <v>1206</v>
      </c>
      <c r="D229" s="2844"/>
      <c r="E229" s="2598"/>
      <c r="F229" s="2736"/>
      <c r="G229" s="336"/>
      <c r="H229" s="1418"/>
      <c r="I229" s="587"/>
      <c r="J229" s="507"/>
      <c r="K229" s="1418"/>
      <c r="L229" s="151"/>
      <c r="M229" s="278"/>
      <c r="N229" s="271"/>
      <c r="O229" s="1542"/>
      <c r="P229" s="1542"/>
      <c r="AH229" s="1549">
        <v>0</v>
      </c>
    </row>
    <row r="230" spans="1:34" s="2400" customFormat="1" ht="18.75" hidden="1" customHeight="1">
      <c r="A230" s="1697" t="s">
        <v>190</v>
      </c>
      <c r="B230" s="1697" t="s">
        <v>191</v>
      </c>
      <c r="C230" s="305"/>
      <c r="D230" s="2844"/>
      <c r="E230" s="2598"/>
      <c r="F230" s="2736" t="str">
        <f>INDEX(PT_DIFFERENTIATION_VTAR,MATCH(A230,PT_DIFFERENTIATION_VTAR_ID,0))</f>
        <v>Плата за подключение (технологическое присоединение) к системе теплоснабжения</v>
      </c>
      <c r="G230" s="2820" t="str">
        <f>INDEX(PT_DIFFERENTIATION_NTAR,MATCH(B230,PT_DIFFERENTIATION_NTAR_ID,0))</f>
        <v/>
      </c>
      <c r="H230" s="1777"/>
      <c r="I230" s="1656"/>
      <c r="J230" s="1690"/>
      <c r="K230" s="1695"/>
      <c r="L230" s="1777" t="s">
        <v>297</v>
      </c>
      <c r="M230" s="278"/>
      <c r="N230" s="271"/>
      <c r="O230" s="1542"/>
      <c r="P230" s="1542"/>
      <c r="AH230" s="1549">
        <v>0</v>
      </c>
    </row>
    <row r="231" spans="1:34" s="2400" customFormat="1" ht="18.75" hidden="1" customHeight="1">
      <c r="A231" s="1697"/>
      <c r="B231" s="1697"/>
      <c r="C231" s="305" t="s">
        <v>1199</v>
      </c>
      <c r="D231" s="2844"/>
      <c r="E231" s="2598"/>
      <c r="F231" s="2736"/>
      <c r="G231" s="2820"/>
      <c r="H231" s="1418"/>
      <c r="I231" s="587" t="s">
        <v>1198</v>
      </c>
      <c r="J231" s="507"/>
      <c r="K231" s="1418"/>
      <c r="L231" s="151"/>
      <c r="M231" s="278"/>
      <c r="N231" s="271"/>
      <c r="O231" s="1542"/>
      <c r="P231" s="1542"/>
      <c r="AH231" s="1549">
        <v>0</v>
      </c>
    </row>
    <row r="232" spans="1:34" s="2400" customFormat="1" ht="0.75" hidden="1" customHeight="1">
      <c r="A232" s="1697"/>
      <c r="B232" s="1697"/>
      <c r="C232" s="305" t="s">
        <v>1206</v>
      </c>
      <c r="D232" s="2844"/>
      <c r="E232" s="2598"/>
      <c r="F232" s="2736"/>
      <c r="G232" s="336"/>
      <c r="H232" s="1418"/>
      <c r="I232" s="587"/>
      <c r="J232" s="507"/>
      <c r="K232" s="1418"/>
      <c r="L232" s="151"/>
      <c r="M232" s="278"/>
      <c r="N232" s="271"/>
      <c r="O232" s="1542"/>
      <c r="P232" s="1542"/>
      <c r="AH232" s="1549">
        <v>0</v>
      </c>
    </row>
    <row r="233" spans="1:34" s="2400" customFormat="1" ht="18.75" hidden="1" customHeight="1">
      <c r="A233" s="1697" t="s">
        <v>196</v>
      </c>
      <c r="B233" s="1697" t="s">
        <v>197</v>
      </c>
      <c r="C233" s="305"/>
      <c r="D233" s="2844"/>
      <c r="E233" s="2598"/>
      <c r="F233" s="2736" t="str">
        <f>INDEX(PT_DIFFERENTIATION_VTAR,MATCH(A233,PT_DIFFERENTIATION_VTAR_ID,0))</f>
        <v>Плата за подключение (технологическое присоединение) к системе теплоснабжения (индивидуальная)</v>
      </c>
      <c r="G233" s="2820" t="str">
        <f>INDEX(PT_DIFFERENTIATION_NTAR,MATCH(B233,PT_DIFFERENTIATION_NTAR_ID,0))</f>
        <v/>
      </c>
      <c r="H233" s="1901"/>
      <c r="I233" s="1656"/>
      <c r="J233" s="1690"/>
      <c r="K233" s="1695"/>
      <c r="L233" s="1901" t="s">
        <v>297</v>
      </c>
      <c r="M233" s="278"/>
      <c r="N233" s="271"/>
      <c r="O233" s="1542"/>
      <c r="P233" s="1542"/>
      <c r="AH233" s="1549">
        <v>0</v>
      </c>
    </row>
    <row r="234" spans="1:34" s="2400" customFormat="1" ht="18.75" hidden="1" customHeight="1">
      <c r="A234" s="1697"/>
      <c r="B234" s="1697"/>
      <c r="C234" s="305" t="s">
        <v>1199</v>
      </c>
      <c r="D234" s="2844"/>
      <c r="E234" s="2598"/>
      <c r="F234" s="2736"/>
      <c r="G234" s="2820"/>
      <c r="H234" s="1418"/>
      <c r="I234" s="587" t="s">
        <v>1198</v>
      </c>
      <c r="J234" s="507"/>
      <c r="K234" s="1418"/>
      <c r="L234" s="151"/>
      <c r="M234" s="278"/>
      <c r="N234" s="271"/>
      <c r="O234" s="1542"/>
      <c r="P234" s="1542"/>
      <c r="AH234" s="1549">
        <v>0</v>
      </c>
    </row>
    <row r="235" spans="1:34" s="2400" customFormat="1" ht="0.75" hidden="1" customHeight="1">
      <c r="A235" s="1697"/>
      <c r="B235" s="1697"/>
      <c r="C235" s="305" t="s">
        <v>1206</v>
      </c>
      <c r="D235" s="2844"/>
      <c r="E235" s="2598"/>
      <c r="F235" s="2736"/>
      <c r="G235" s="336"/>
      <c r="H235" s="1418"/>
      <c r="I235" s="587"/>
      <c r="J235" s="507"/>
      <c r="K235" s="1418"/>
      <c r="L235" s="151"/>
      <c r="M235" s="278"/>
      <c r="N235" s="271"/>
      <c r="O235" s="1542"/>
      <c r="P235" s="1542"/>
      <c r="AH235" s="1549">
        <v>0</v>
      </c>
    </row>
    <row r="236" spans="1:34" s="2400" customFormat="1" ht="18.75" hidden="1" customHeight="1">
      <c r="A236" s="1697" t="s">
        <v>216</v>
      </c>
      <c r="B236" s="1697" t="s">
        <v>217</v>
      </c>
      <c r="C236" s="305"/>
      <c r="D236" s="2844"/>
      <c r="E236" s="2598"/>
      <c r="F236" s="2736" t="str">
        <f>INDEX(PT_DIFFERENTIATION_VTAR,MATCH(A236,PT_DIFFERENTIATION_VTAR_ID,0))</f>
        <v>Тариф на питьевую воду (питьевое водоснабжение)</v>
      </c>
      <c r="G236" s="2820" t="str">
        <f>INDEX(PT_DIFFERENTIATION_NTAR,MATCH(B236,PT_DIFFERENTIATION_NTAR_ID,0))</f>
        <v/>
      </c>
      <c r="H236" s="1777"/>
      <c r="I236" s="1656"/>
      <c r="J236" s="1690"/>
      <c r="K236" s="1695"/>
      <c r="L236" s="1777" t="s">
        <v>297</v>
      </c>
      <c r="M236" s="278"/>
      <c r="N236" s="271"/>
      <c r="O236" s="1542"/>
      <c r="P236" s="1542"/>
      <c r="AH236" s="1549">
        <v>0</v>
      </c>
    </row>
    <row r="237" spans="1:34" s="2400" customFormat="1" ht="18.75" hidden="1" customHeight="1">
      <c r="A237" s="1697"/>
      <c r="B237" s="1697"/>
      <c r="C237" s="305" t="s">
        <v>1199</v>
      </c>
      <c r="D237" s="2844"/>
      <c r="E237" s="2598"/>
      <c r="F237" s="2736"/>
      <c r="G237" s="2820"/>
      <c r="H237" s="1418"/>
      <c r="I237" s="587" t="s">
        <v>1198</v>
      </c>
      <c r="J237" s="507"/>
      <c r="K237" s="1418"/>
      <c r="L237" s="151"/>
      <c r="M237" s="278"/>
      <c r="N237" s="271"/>
      <c r="O237" s="1542"/>
      <c r="P237" s="1542"/>
      <c r="AH237" s="1549">
        <v>0</v>
      </c>
    </row>
    <row r="238" spans="1:34" s="2400" customFormat="1" ht="0.75" hidden="1" customHeight="1">
      <c r="A238" s="1697"/>
      <c r="B238" s="1697"/>
      <c r="C238" s="305" t="s">
        <v>1206</v>
      </c>
      <c r="D238" s="2844"/>
      <c r="E238" s="2598"/>
      <c r="F238" s="2736"/>
      <c r="G238" s="336"/>
      <c r="H238" s="1418"/>
      <c r="I238" s="587"/>
      <c r="J238" s="507"/>
      <c r="K238" s="1418"/>
      <c r="L238" s="151"/>
      <c r="M238" s="278"/>
      <c r="N238" s="271"/>
      <c r="O238" s="1542"/>
      <c r="P238" s="1542"/>
      <c r="AH238" s="1549">
        <v>0</v>
      </c>
    </row>
    <row r="239" spans="1:34" s="2400" customFormat="1" ht="18.75" hidden="1" customHeight="1">
      <c r="A239" s="1697" t="s">
        <v>221</v>
      </c>
      <c r="B239" s="1697" t="s">
        <v>222</v>
      </c>
      <c r="C239" s="305"/>
      <c r="D239" s="2844"/>
      <c r="E239" s="2598"/>
      <c r="F239" s="2736" t="str">
        <f>INDEX(PT_DIFFERENTIATION_VTAR,MATCH(A239,PT_DIFFERENTIATION_VTAR_ID,0))</f>
        <v>Тариф на техническую воду</v>
      </c>
      <c r="G239" s="2820" t="str">
        <f>INDEX(PT_DIFFERENTIATION_NTAR,MATCH(B239,PT_DIFFERENTIATION_NTAR_ID,0))</f>
        <v/>
      </c>
      <c r="H239" s="1777"/>
      <c r="I239" s="1656"/>
      <c r="J239" s="1690"/>
      <c r="K239" s="1695"/>
      <c r="L239" s="1777" t="s">
        <v>297</v>
      </c>
      <c r="M239" s="278"/>
      <c r="N239" s="271"/>
      <c r="O239" s="1542"/>
      <c r="P239" s="1542"/>
      <c r="AH239" s="1549">
        <v>0</v>
      </c>
    </row>
    <row r="240" spans="1:34" s="2400" customFormat="1" ht="18.75" hidden="1" customHeight="1">
      <c r="A240" s="1697"/>
      <c r="B240" s="1697"/>
      <c r="C240" s="305" t="s">
        <v>1199</v>
      </c>
      <c r="D240" s="2844"/>
      <c r="E240" s="2598"/>
      <c r="F240" s="2736"/>
      <c r="G240" s="2820"/>
      <c r="H240" s="1418"/>
      <c r="I240" s="587" t="s">
        <v>1198</v>
      </c>
      <c r="J240" s="507"/>
      <c r="K240" s="1418"/>
      <c r="L240" s="151"/>
      <c r="M240" s="278"/>
      <c r="N240" s="271"/>
      <c r="O240" s="1542"/>
      <c r="P240" s="1542"/>
      <c r="AH240" s="1549">
        <v>0</v>
      </c>
    </row>
    <row r="241" spans="1:34" s="2400" customFormat="1" ht="0.75" hidden="1" customHeight="1">
      <c r="A241" s="1697"/>
      <c r="B241" s="1697"/>
      <c r="C241" s="305" t="s">
        <v>1206</v>
      </c>
      <c r="D241" s="2844"/>
      <c r="E241" s="2598"/>
      <c r="F241" s="2736"/>
      <c r="G241" s="336"/>
      <c r="H241" s="1418"/>
      <c r="I241" s="587"/>
      <c r="J241" s="507"/>
      <c r="K241" s="1418"/>
      <c r="L241" s="151"/>
      <c r="M241" s="278"/>
      <c r="N241" s="271"/>
      <c r="O241" s="1542"/>
      <c r="P241" s="1542"/>
      <c r="AH241" s="1549">
        <v>0</v>
      </c>
    </row>
    <row r="242" spans="1:34" s="2400" customFormat="1" ht="18.75" hidden="1" customHeight="1">
      <c r="A242" s="1697" t="s">
        <v>226</v>
      </c>
      <c r="B242" s="1697" t="s">
        <v>227</v>
      </c>
      <c r="C242" s="305"/>
      <c r="D242" s="2844"/>
      <c r="E242" s="2598"/>
      <c r="F242" s="2736" t="str">
        <f>INDEX(PT_DIFFERENTIATION_VTAR,MATCH(A242,PT_DIFFERENTIATION_VTAR_ID,0))</f>
        <v>Тариф на транспортировку воды</v>
      </c>
      <c r="G242" s="2820" t="str">
        <f>INDEX(PT_DIFFERENTIATION_NTAR,MATCH(B242,PT_DIFFERENTIATION_NTAR_ID,0))</f>
        <v/>
      </c>
      <c r="H242" s="1777"/>
      <c r="I242" s="1656"/>
      <c r="J242" s="1690"/>
      <c r="K242" s="1695"/>
      <c r="L242" s="1777" t="s">
        <v>297</v>
      </c>
      <c r="M242" s="278"/>
      <c r="N242" s="271"/>
      <c r="O242" s="1542"/>
      <c r="P242" s="1542"/>
      <c r="AH242" s="1549">
        <v>0</v>
      </c>
    </row>
    <row r="243" spans="1:34" s="2400" customFormat="1" ht="18.75" hidden="1" customHeight="1">
      <c r="A243" s="1697"/>
      <c r="B243" s="1697"/>
      <c r="C243" s="305" t="s">
        <v>1199</v>
      </c>
      <c r="D243" s="2844"/>
      <c r="E243" s="2598"/>
      <c r="F243" s="2736"/>
      <c r="G243" s="2820"/>
      <c r="H243" s="1418"/>
      <c r="I243" s="587" t="s">
        <v>1198</v>
      </c>
      <c r="J243" s="507"/>
      <c r="K243" s="1418"/>
      <c r="L243" s="151"/>
      <c r="M243" s="278"/>
      <c r="N243" s="271"/>
      <c r="O243" s="1542"/>
      <c r="P243" s="1542"/>
      <c r="AH243" s="1549">
        <v>0</v>
      </c>
    </row>
    <row r="244" spans="1:34" s="2400" customFormat="1" ht="0.75" hidden="1" customHeight="1">
      <c r="A244" s="1697"/>
      <c r="B244" s="1697"/>
      <c r="C244" s="305" t="s">
        <v>1206</v>
      </c>
      <c r="D244" s="2844"/>
      <c r="E244" s="2598"/>
      <c r="F244" s="2736"/>
      <c r="G244" s="336"/>
      <c r="H244" s="1418"/>
      <c r="I244" s="587"/>
      <c r="J244" s="507"/>
      <c r="K244" s="1418"/>
      <c r="L244" s="151"/>
      <c r="M244" s="278"/>
      <c r="N244" s="271"/>
      <c r="O244" s="1542"/>
      <c r="P244" s="1542"/>
      <c r="AH244" s="1549">
        <v>0</v>
      </c>
    </row>
    <row r="245" spans="1:34" s="2400" customFormat="1" ht="18.75" hidden="1" customHeight="1">
      <c r="A245" s="1697" t="s">
        <v>231</v>
      </c>
      <c r="B245" s="1697" t="s">
        <v>232</v>
      </c>
      <c r="C245" s="305"/>
      <c r="D245" s="2844"/>
      <c r="E245" s="2598"/>
      <c r="F245" s="2736" t="str">
        <f>INDEX(PT_DIFFERENTIATION_VTAR,MATCH(A245,PT_DIFFERENTIATION_VTAR_ID,0))</f>
        <v>Тариф на подвоз воды</v>
      </c>
      <c r="G245" s="2820" t="str">
        <f>INDEX(PT_DIFFERENTIATION_NTAR,MATCH(B245,PT_DIFFERENTIATION_NTAR_ID,0))</f>
        <v/>
      </c>
      <c r="H245" s="1777"/>
      <c r="I245" s="1656"/>
      <c r="J245" s="1690"/>
      <c r="K245" s="1695"/>
      <c r="L245" s="1777" t="s">
        <v>297</v>
      </c>
      <c r="M245" s="278"/>
      <c r="N245" s="271"/>
      <c r="O245" s="1542"/>
      <c r="P245" s="1542"/>
      <c r="AH245" s="1549">
        <v>0</v>
      </c>
    </row>
    <row r="246" spans="1:34" s="2400" customFormat="1" ht="18.75" hidden="1" customHeight="1">
      <c r="A246" s="1697"/>
      <c r="B246" s="1697"/>
      <c r="C246" s="305" t="s">
        <v>1199</v>
      </c>
      <c r="D246" s="2844"/>
      <c r="E246" s="2598"/>
      <c r="F246" s="2736"/>
      <c r="G246" s="2820"/>
      <c r="H246" s="1418"/>
      <c r="I246" s="587" t="s">
        <v>1198</v>
      </c>
      <c r="J246" s="507"/>
      <c r="K246" s="1418"/>
      <c r="L246" s="151"/>
      <c r="M246" s="278"/>
      <c r="N246" s="271"/>
      <c r="O246" s="1542"/>
      <c r="P246" s="1542"/>
      <c r="AH246" s="1549">
        <v>0</v>
      </c>
    </row>
    <row r="247" spans="1:34" s="2400" customFormat="1" ht="0.75" hidden="1" customHeight="1">
      <c r="A247" s="1697"/>
      <c r="B247" s="1697"/>
      <c r="C247" s="305" t="s">
        <v>1206</v>
      </c>
      <c r="D247" s="2844"/>
      <c r="E247" s="2598"/>
      <c r="F247" s="2736"/>
      <c r="G247" s="336"/>
      <c r="H247" s="1418"/>
      <c r="I247" s="587"/>
      <c r="J247" s="507"/>
      <c r="K247" s="1418"/>
      <c r="L247" s="151"/>
      <c r="M247" s="278"/>
      <c r="N247" s="271"/>
      <c r="O247" s="1542"/>
      <c r="P247" s="1542"/>
      <c r="AH247" s="1549">
        <v>0</v>
      </c>
    </row>
    <row r="248" spans="1:34" s="2400" customFormat="1" ht="18.75" hidden="1" customHeight="1">
      <c r="A248" s="1697" t="s">
        <v>236</v>
      </c>
      <c r="B248" s="1697" t="s">
        <v>237</v>
      </c>
      <c r="C248" s="305"/>
      <c r="D248" s="2844"/>
      <c r="E248" s="2598"/>
      <c r="F248" s="273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20" t="str">
        <f>INDEX(PT_DIFFERENTIATION_NTAR,MATCH(B248,PT_DIFFERENTIATION_NTAR_ID,0))</f>
        <v/>
      </c>
      <c r="H248" s="1777"/>
      <c r="I248" s="1656"/>
      <c r="J248" s="1690"/>
      <c r="K248" s="1695"/>
      <c r="L248" s="1777" t="s">
        <v>297</v>
      </c>
      <c r="M248" s="278"/>
      <c r="N248" s="271"/>
      <c r="O248" s="1542"/>
      <c r="P248" s="1542"/>
      <c r="AH248" s="1549">
        <v>0</v>
      </c>
    </row>
    <row r="249" spans="1:34" s="2400" customFormat="1" ht="18.75" hidden="1" customHeight="1">
      <c r="A249" s="1697"/>
      <c r="B249" s="1697"/>
      <c r="C249" s="305" t="s">
        <v>1199</v>
      </c>
      <c r="D249" s="2844"/>
      <c r="E249" s="2598"/>
      <c r="F249" s="2736"/>
      <c r="G249" s="2820"/>
      <c r="H249" s="1418"/>
      <c r="I249" s="587" t="s">
        <v>1198</v>
      </c>
      <c r="J249" s="507"/>
      <c r="K249" s="1418"/>
      <c r="L249" s="151"/>
      <c r="M249" s="278"/>
      <c r="N249" s="271"/>
      <c r="O249" s="1542"/>
      <c r="P249" s="1542"/>
      <c r="AH249" s="1549">
        <v>0</v>
      </c>
    </row>
    <row r="250" spans="1:34" s="2400" customFormat="1" ht="0.75" hidden="1" customHeight="1">
      <c r="A250" s="1697"/>
      <c r="B250" s="1697"/>
      <c r="C250" s="305" t="s">
        <v>1206</v>
      </c>
      <c r="D250" s="2844"/>
      <c r="E250" s="2598"/>
      <c r="F250" s="2736"/>
      <c r="G250" s="336"/>
      <c r="H250" s="1418"/>
      <c r="I250" s="587"/>
      <c r="J250" s="507"/>
      <c r="K250" s="1418"/>
      <c r="L250" s="151"/>
      <c r="M250" s="278"/>
      <c r="N250" s="271"/>
      <c r="O250" s="1542"/>
      <c r="P250" s="1542"/>
      <c r="AH250" s="1549">
        <v>0</v>
      </c>
    </row>
    <row r="251" spans="1:34" s="2400" customFormat="1" ht="18.75" hidden="1" customHeight="1">
      <c r="A251" s="1697" t="s">
        <v>241</v>
      </c>
      <c r="B251" s="1697" t="s">
        <v>242</v>
      </c>
      <c r="C251" s="305"/>
      <c r="D251" s="2844"/>
      <c r="E251" s="2598"/>
      <c r="F251" s="2736" t="str">
        <f>INDEX(PT_DIFFERENTIATION_VTAR,MATCH(A251,PT_DIFFERENTIATION_VTAR_ID,0))</f>
        <v>Тариф на горячую воду (горячее водоснабжение)</v>
      </c>
      <c r="G251" s="2820" t="str">
        <f>INDEX(PT_DIFFERENTIATION_NTAR,MATCH(B251,PT_DIFFERENTIATION_NTAR_ID,0))</f>
        <v/>
      </c>
      <c r="H251" s="1777"/>
      <c r="I251" s="1656"/>
      <c r="J251" s="1690"/>
      <c r="K251" s="1695"/>
      <c r="L251" s="1777" t="s">
        <v>297</v>
      </c>
      <c r="M251" s="278"/>
      <c r="N251" s="271"/>
      <c r="O251" s="1542"/>
      <c r="P251" s="1542"/>
      <c r="AH251" s="1549">
        <v>0</v>
      </c>
    </row>
    <row r="252" spans="1:34" s="2400" customFormat="1" ht="18.75" hidden="1" customHeight="1">
      <c r="A252" s="1697"/>
      <c r="B252" s="1697"/>
      <c r="C252" s="305" t="s">
        <v>1199</v>
      </c>
      <c r="D252" s="2844"/>
      <c r="E252" s="2598"/>
      <c r="F252" s="2736"/>
      <c r="G252" s="2820"/>
      <c r="H252" s="1418"/>
      <c r="I252" s="587" t="s">
        <v>1198</v>
      </c>
      <c r="J252" s="507"/>
      <c r="K252" s="1418"/>
      <c r="L252" s="151"/>
      <c r="M252" s="278"/>
      <c r="N252" s="271"/>
      <c r="O252" s="1542"/>
      <c r="P252" s="1542"/>
      <c r="AH252" s="1549">
        <v>0</v>
      </c>
    </row>
    <row r="253" spans="1:34" s="2400" customFormat="1" ht="0.75" hidden="1" customHeight="1">
      <c r="A253" s="1697"/>
      <c r="B253" s="1697"/>
      <c r="C253" s="305" t="s">
        <v>1206</v>
      </c>
      <c r="D253" s="2844"/>
      <c r="E253" s="2598"/>
      <c r="F253" s="2736"/>
      <c r="G253" s="336"/>
      <c r="H253" s="1418"/>
      <c r="I253" s="587"/>
      <c r="J253" s="507"/>
      <c r="K253" s="1418"/>
      <c r="L253" s="151"/>
      <c r="M253" s="278"/>
      <c r="N253" s="271"/>
      <c r="O253" s="1542"/>
      <c r="P253" s="1542"/>
      <c r="AH253" s="1549">
        <v>0</v>
      </c>
    </row>
    <row r="254" spans="1:34" s="2400" customFormat="1" ht="18.75" hidden="1" customHeight="1">
      <c r="A254" s="1697" t="s">
        <v>246</v>
      </c>
      <c r="B254" s="1697" t="s">
        <v>247</v>
      </c>
      <c r="C254" s="305"/>
      <c r="D254" s="2844"/>
      <c r="E254" s="2598"/>
      <c r="F254" s="2736" t="str">
        <f>INDEX(PT_DIFFERENTIATION_VTAR,MATCH(A254,PT_DIFFERENTIATION_VTAR_ID,0))</f>
        <v>Тариф на транспортировку горячей воды</v>
      </c>
      <c r="G254" s="2820" t="str">
        <f>INDEX(PT_DIFFERENTIATION_NTAR,MATCH(B254,PT_DIFFERENTIATION_NTAR_ID,0))</f>
        <v/>
      </c>
      <c r="H254" s="1777"/>
      <c r="I254" s="1656"/>
      <c r="J254" s="1690"/>
      <c r="K254" s="1695"/>
      <c r="L254" s="1777" t="s">
        <v>297</v>
      </c>
      <c r="M254" s="278"/>
      <c r="N254" s="271"/>
      <c r="O254" s="1542"/>
      <c r="P254" s="1542"/>
      <c r="AH254" s="1549">
        <v>0</v>
      </c>
    </row>
    <row r="255" spans="1:34" s="2400" customFormat="1" ht="18.75" hidden="1" customHeight="1">
      <c r="A255" s="1697"/>
      <c r="B255" s="1697"/>
      <c r="C255" s="305" t="s">
        <v>1199</v>
      </c>
      <c r="D255" s="2844"/>
      <c r="E255" s="2598"/>
      <c r="F255" s="2736"/>
      <c r="G255" s="2820"/>
      <c r="H255" s="1418"/>
      <c r="I255" s="587" t="s">
        <v>1198</v>
      </c>
      <c r="J255" s="507"/>
      <c r="K255" s="1418"/>
      <c r="L255" s="151"/>
      <c r="M255" s="278"/>
      <c r="N255" s="271"/>
      <c r="O255" s="1542"/>
      <c r="P255" s="1542"/>
      <c r="AH255" s="1549">
        <v>0</v>
      </c>
    </row>
    <row r="256" spans="1:34" s="2400" customFormat="1" ht="0.75" hidden="1" customHeight="1">
      <c r="A256" s="1697"/>
      <c r="B256" s="1697"/>
      <c r="C256" s="305" t="s">
        <v>1206</v>
      </c>
      <c r="D256" s="2844"/>
      <c r="E256" s="2598"/>
      <c r="F256" s="2736"/>
      <c r="G256" s="336"/>
      <c r="H256" s="1418"/>
      <c r="I256" s="587"/>
      <c r="J256" s="507"/>
      <c r="K256" s="1418"/>
      <c r="L256" s="151"/>
      <c r="M256" s="278"/>
      <c r="N256" s="271"/>
      <c r="O256" s="1542"/>
      <c r="P256" s="1542"/>
      <c r="AH256" s="1549">
        <v>0</v>
      </c>
    </row>
    <row r="257" spans="1:34" s="2400" customFormat="1" ht="18.75" hidden="1" customHeight="1">
      <c r="A257" s="1697" t="s">
        <v>251</v>
      </c>
      <c r="B257" s="1697" t="s">
        <v>252</v>
      </c>
      <c r="C257" s="305"/>
      <c r="D257" s="2844"/>
      <c r="E257" s="2598"/>
      <c r="F257" s="273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20" t="str">
        <f>INDEX(PT_DIFFERENTIATION_NTAR,MATCH(B257,PT_DIFFERENTIATION_NTAR_ID,0))</f>
        <v/>
      </c>
      <c r="H257" s="1777"/>
      <c r="I257" s="1656"/>
      <c r="J257" s="1690"/>
      <c r="K257" s="1695"/>
      <c r="L257" s="1777" t="s">
        <v>297</v>
      </c>
      <c r="M257" s="278"/>
      <c r="N257" s="271"/>
      <c r="O257" s="1542"/>
      <c r="P257" s="1542"/>
      <c r="AH257" s="1549">
        <v>0</v>
      </c>
    </row>
    <row r="258" spans="1:34" s="2400" customFormat="1" ht="18.75" hidden="1" customHeight="1">
      <c r="A258" s="1697"/>
      <c r="B258" s="1697"/>
      <c r="C258" s="305" t="s">
        <v>1199</v>
      </c>
      <c r="D258" s="2844"/>
      <c r="E258" s="2598"/>
      <c r="F258" s="2736"/>
      <c r="G258" s="2820"/>
      <c r="H258" s="1418"/>
      <c r="I258" s="587" t="s">
        <v>1198</v>
      </c>
      <c r="J258" s="507"/>
      <c r="K258" s="1418"/>
      <c r="L258" s="151"/>
      <c r="M258" s="278"/>
      <c r="N258" s="271"/>
      <c r="O258" s="1542"/>
      <c r="P258" s="1542"/>
      <c r="AH258" s="1549">
        <v>0</v>
      </c>
    </row>
    <row r="259" spans="1:34" s="2400" customFormat="1" ht="0.75" hidden="1" customHeight="1">
      <c r="A259" s="1697"/>
      <c r="B259" s="1697"/>
      <c r="C259" s="305" t="s">
        <v>1206</v>
      </c>
      <c r="D259" s="2844"/>
      <c r="E259" s="2598"/>
      <c r="F259" s="2736"/>
      <c r="G259" s="336"/>
      <c r="H259" s="1418"/>
      <c r="I259" s="587"/>
      <c r="J259" s="507"/>
      <c r="K259" s="1418"/>
      <c r="L259" s="151"/>
      <c r="M259" s="278"/>
      <c r="N259" s="271"/>
      <c r="O259" s="1542"/>
      <c r="P259" s="1542"/>
      <c r="AH259" s="1549">
        <v>0</v>
      </c>
    </row>
    <row r="260" spans="1:34" s="2400" customFormat="1" ht="18.75" hidden="1" customHeight="1">
      <c r="A260" s="1697" t="s">
        <v>256</v>
      </c>
      <c r="B260" s="1697" t="s">
        <v>257</v>
      </c>
      <c r="C260" s="305"/>
      <c r="D260" s="2844"/>
      <c r="E260" s="2598"/>
      <c r="F260" s="2736" t="str">
        <f>INDEX(PT_DIFFERENTIATION_VTAR,MATCH(A260,PT_DIFFERENTIATION_VTAR_ID,0))</f>
        <v>Тариф на водоотведение</v>
      </c>
      <c r="G260" s="2820" t="str">
        <f>INDEX(PT_DIFFERENTIATION_NTAR,MATCH(B260,PT_DIFFERENTIATION_NTAR_ID,0))</f>
        <v/>
      </c>
      <c r="H260" s="1777"/>
      <c r="I260" s="1656"/>
      <c r="J260" s="1690"/>
      <c r="K260" s="1695"/>
      <c r="L260" s="1777" t="s">
        <v>297</v>
      </c>
      <c r="M260" s="278"/>
      <c r="N260" s="271"/>
      <c r="O260" s="1542"/>
      <c r="P260" s="1542"/>
      <c r="AH260" s="1549">
        <v>0</v>
      </c>
    </row>
    <row r="261" spans="1:34" s="2400" customFormat="1" ht="18.75" hidden="1" customHeight="1">
      <c r="A261" s="1697"/>
      <c r="B261" s="1697"/>
      <c r="C261" s="305" t="s">
        <v>1199</v>
      </c>
      <c r="D261" s="2844"/>
      <c r="E261" s="2598"/>
      <c r="F261" s="2736"/>
      <c r="G261" s="2820"/>
      <c r="H261" s="1418"/>
      <c r="I261" s="587" t="s">
        <v>1198</v>
      </c>
      <c r="J261" s="507"/>
      <c r="K261" s="1418"/>
      <c r="L261" s="151"/>
      <c r="M261" s="278"/>
      <c r="N261" s="271"/>
      <c r="O261" s="1542"/>
      <c r="P261" s="1542"/>
      <c r="AH261" s="1549">
        <v>0</v>
      </c>
    </row>
    <row r="262" spans="1:34" s="2400" customFormat="1" ht="0.75" hidden="1" customHeight="1">
      <c r="A262" s="1697"/>
      <c r="B262" s="1697"/>
      <c r="C262" s="305" t="s">
        <v>1206</v>
      </c>
      <c r="D262" s="2844"/>
      <c r="E262" s="2598"/>
      <c r="F262" s="2736"/>
      <c r="G262" s="336"/>
      <c r="H262" s="1418"/>
      <c r="I262" s="587"/>
      <c r="J262" s="507"/>
      <c r="K262" s="1418"/>
      <c r="L262" s="151"/>
      <c r="M262" s="278"/>
      <c r="N262" s="271"/>
      <c r="O262" s="1542"/>
      <c r="P262" s="1542"/>
      <c r="AH262" s="1549">
        <v>0</v>
      </c>
    </row>
    <row r="263" spans="1:34" s="2400" customFormat="1" ht="18.75" hidden="1" customHeight="1">
      <c r="A263" s="1697" t="s">
        <v>261</v>
      </c>
      <c r="B263" s="1697" t="s">
        <v>262</v>
      </c>
      <c r="C263" s="305"/>
      <c r="D263" s="2844"/>
      <c r="E263" s="2598"/>
      <c r="F263" s="2736" t="str">
        <f>INDEX(PT_DIFFERENTIATION_VTAR,MATCH(A263,PT_DIFFERENTIATION_VTAR_ID,0))</f>
        <v>Тариф на транспортировку сточных вод</v>
      </c>
      <c r="G263" s="2820" t="str">
        <f>INDEX(PT_DIFFERENTIATION_NTAR,MATCH(B263,PT_DIFFERENTIATION_NTAR_ID,0))</f>
        <v/>
      </c>
      <c r="H263" s="1777"/>
      <c r="I263" s="1656"/>
      <c r="J263" s="1690"/>
      <c r="K263" s="1695"/>
      <c r="L263" s="1777" t="s">
        <v>297</v>
      </c>
      <c r="M263" s="278"/>
      <c r="N263" s="271"/>
      <c r="O263" s="1542"/>
      <c r="P263" s="1542"/>
      <c r="AH263" s="1549">
        <v>0</v>
      </c>
    </row>
    <row r="264" spans="1:34" s="2400" customFormat="1" ht="18.75" hidden="1" customHeight="1">
      <c r="A264" s="1697"/>
      <c r="B264" s="1697"/>
      <c r="C264" s="305" t="s">
        <v>1199</v>
      </c>
      <c r="D264" s="2844"/>
      <c r="E264" s="2598"/>
      <c r="F264" s="2736"/>
      <c r="G264" s="2820"/>
      <c r="H264" s="1418"/>
      <c r="I264" s="587" t="s">
        <v>1198</v>
      </c>
      <c r="J264" s="507"/>
      <c r="K264" s="1418"/>
      <c r="L264" s="151"/>
      <c r="M264" s="278"/>
      <c r="N264" s="271"/>
      <c r="O264" s="1542"/>
      <c r="P264" s="1542"/>
      <c r="AH264" s="1549">
        <v>0</v>
      </c>
    </row>
    <row r="265" spans="1:34" s="2400" customFormat="1" ht="0.75" hidden="1" customHeight="1">
      <c r="A265" s="1697"/>
      <c r="B265" s="1697"/>
      <c r="C265" s="305" t="s">
        <v>1206</v>
      </c>
      <c r="D265" s="2844"/>
      <c r="E265" s="2598"/>
      <c r="F265" s="2736"/>
      <c r="G265" s="336"/>
      <c r="H265" s="1418"/>
      <c r="I265" s="587"/>
      <c r="J265" s="507"/>
      <c r="K265" s="1418"/>
      <c r="L265" s="151"/>
      <c r="M265" s="278"/>
      <c r="N265" s="271"/>
      <c r="O265" s="1542"/>
      <c r="P265" s="1542"/>
      <c r="AH265" s="1549">
        <v>0</v>
      </c>
    </row>
    <row r="266" spans="1:34" s="2400" customFormat="1" ht="18.75" hidden="1" customHeight="1">
      <c r="A266" s="1697" t="s">
        <v>266</v>
      </c>
      <c r="B266" s="1697" t="s">
        <v>267</v>
      </c>
      <c r="C266" s="305"/>
      <c r="D266" s="2844"/>
      <c r="E266" s="2598"/>
      <c r="F266" s="2736" t="str">
        <f>INDEX(PT_DIFFERENTIATION_VTAR,MATCH(A266,PT_DIFFERENTIATION_VTAR_ID,0))</f>
        <v>Тариф на подключение (технологическое присоединение) к централизованной системе водоотведения</v>
      </c>
      <c r="G266" s="2820" t="str">
        <f>INDEX(PT_DIFFERENTIATION_NTAR,MATCH(B266,PT_DIFFERENTIATION_NTAR_ID,0))</f>
        <v/>
      </c>
      <c r="H266" s="1777"/>
      <c r="I266" s="1656"/>
      <c r="J266" s="1690"/>
      <c r="K266" s="1695"/>
      <c r="L266" s="1777" t="s">
        <v>297</v>
      </c>
      <c r="M266" s="278"/>
      <c r="N266" s="271"/>
      <c r="O266" s="1542"/>
      <c r="P266" s="1542"/>
      <c r="AH266" s="1549">
        <v>0</v>
      </c>
    </row>
    <row r="267" spans="1:34" s="2400" customFormat="1" ht="18.75" hidden="1" customHeight="1">
      <c r="A267" s="1697"/>
      <c r="B267" s="1697"/>
      <c r="C267" s="305" t="s">
        <v>1199</v>
      </c>
      <c r="D267" s="2844"/>
      <c r="E267" s="2598"/>
      <c r="F267" s="2736"/>
      <c r="G267" s="2820"/>
      <c r="H267" s="1418"/>
      <c r="I267" s="587" t="s">
        <v>1198</v>
      </c>
      <c r="J267" s="507"/>
      <c r="K267" s="1418"/>
      <c r="L267" s="151"/>
      <c r="M267" s="278"/>
      <c r="N267" s="271"/>
      <c r="O267" s="1542"/>
      <c r="P267" s="1542"/>
      <c r="AH267" s="1549">
        <v>0</v>
      </c>
    </row>
    <row r="268" spans="1:34" s="2400" customFormat="1" ht="1.1499999999999999" customHeight="1">
      <c r="A268" s="1697"/>
      <c r="B268" s="1697"/>
      <c r="C268" s="305" t="s">
        <v>1206</v>
      </c>
      <c r="D268" s="2844"/>
      <c r="E268" s="2598"/>
      <c r="F268" s="2736"/>
      <c r="G268" s="336"/>
      <c r="H268" s="1418"/>
      <c r="I268" s="587"/>
      <c r="J268" s="507"/>
      <c r="K268" s="1418"/>
      <c r="L268" s="151"/>
      <c r="M268" s="278"/>
      <c r="N268" s="271"/>
      <c r="O268" s="1542"/>
      <c r="P268" s="1542"/>
      <c r="AH268" s="1549">
        <v>1</v>
      </c>
    </row>
    <row r="269" spans="1:34" ht="27.4" customHeight="1">
      <c r="A269" s="1697"/>
      <c r="B269" s="1697"/>
      <c r="D269" s="312"/>
      <c r="E269" s="85" t="s">
        <v>88</v>
      </c>
      <c r="F269" s="284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43"/>
      <c r="H269" s="2843"/>
      <c r="I269" s="2843"/>
      <c r="J269" s="2843"/>
      <c r="K269" s="2843"/>
      <c r="L269" s="2843"/>
      <c r="M269" s="234"/>
      <c r="N269" s="271"/>
      <c r="AH269" s="310">
        <v>26</v>
      </c>
    </row>
    <row r="270" spans="1:34" s="2400" customFormat="1" ht="60.75" hidden="1" customHeight="1">
      <c r="A270" s="1697" t="s">
        <v>148</v>
      </c>
      <c r="B270" s="1697" t="s">
        <v>149</v>
      </c>
      <c r="C270" s="305"/>
      <c r="D270" s="2844"/>
      <c r="E270" s="2598"/>
      <c r="F270" s="273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20" t="str">
        <f>INDEX(PT_DIFFERENTIATION_NTAR,MATCH(B270,PT_DIFFERENTIATION_NTAR_ID,0))</f>
        <v/>
      </c>
      <c r="H270" s="1777"/>
      <c r="I270" s="1656"/>
      <c r="J270" s="1690"/>
      <c r="K270" s="1695"/>
      <c r="L270" s="1777" t="s">
        <v>297</v>
      </c>
      <c r="M270" s="25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2"/>
      <c r="P270" s="1542"/>
      <c r="AH270" s="1549">
        <v>0</v>
      </c>
    </row>
    <row r="271" spans="1:34" s="2400" customFormat="1" ht="18.75" hidden="1" customHeight="1">
      <c r="A271" s="1697"/>
      <c r="B271" s="1697"/>
      <c r="C271" s="305" t="s">
        <v>1199</v>
      </c>
      <c r="D271" s="2844"/>
      <c r="E271" s="2598"/>
      <c r="F271" s="2736"/>
      <c r="G271" s="2820"/>
      <c r="H271" s="1418"/>
      <c r="I271" s="587" t="s">
        <v>1198</v>
      </c>
      <c r="J271" s="507"/>
      <c r="K271" s="1418"/>
      <c r="L271" s="151"/>
      <c r="M271" s="2559"/>
      <c r="N271" s="271"/>
      <c r="O271" s="1542"/>
      <c r="P271" s="1542"/>
      <c r="AH271" s="1549">
        <v>0</v>
      </c>
    </row>
    <row r="272" spans="1:34" s="2400" customFormat="1" ht="0.75" hidden="1" customHeight="1">
      <c r="A272" s="1697"/>
      <c r="B272" s="1697"/>
      <c r="C272" s="305" t="s">
        <v>1206</v>
      </c>
      <c r="D272" s="2844"/>
      <c r="E272" s="2598"/>
      <c r="F272" s="2736"/>
      <c r="G272" s="336"/>
      <c r="H272" s="1418"/>
      <c r="I272" s="587"/>
      <c r="J272" s="507"/>
      <c r="K272" s="1418"/>
      <c r="L272" s="151"/>
      <c r="M272" s="2559"/>
      <c r="N272" s="271"/>
      <c r="O272" s="1542"/>
      <c r="P272" s="1542"/>
      <c r="AH272" s="1549">
        <v>0</v>
      </c>
    </row>
    <row r="273" spans="1:34" s="2400" customFormat="1" ht="45" hidden="1" customHeight="1">
      <c r="A273" s="1697" t="s">
        <v>153</v>
      </c>
      <c r="B273" s="1697" t="s">
        <v>154</v>
      </c>
      <c r="C273" s="305"/>
      <c r="D273" s="2844"/>
      <c r="E273" s="2598"/>
      <c r="F273" s="2736" t="str">
        <f>INDEX(PT_DIFFERENTIATION_VTAR,MATCH(A273,PT_DIFFERENTIATION_VTAR_ID,0))</f>
        <v/>
      </c>
      <c r="G273" s="2820" t="str">
        <f>INDEX(PT_DIFFERENTIATION_NTAR,MATCH(B273,PT_DIFFERENTIATION_NTAR_ID,0))</f>
        <v/>
      </c>
      <c r="H273" s="1777"/>
      <c r="I273" s="1656"/>
      <c r="J273" s="1690"/>
      <c r="K273" s="1695"/>
      <c r="L273" s="1777" t="s">
        <v>297</v>
      </c>
      <c r="M273" s="2560"/>
      <c r="N273" s="271"/>
      <c r="O273" s="1542"/>
      <c r="P273" s="1542"/>
      <c r="AH273" s="1549">
        <v>0</v>
      </c>
    </row>
    <row r="274" spans="1:34" s="2400" customFormat="1" ht="18.75" hidden="1" customHeight="1">
      <c r="A274" s="1697"/>
      <c r="B274" s="1697"/>
      <c r="C274" s="305" t="s">
        <v>1199</v>
      </c>
      <c r="D274" s="2844"/>
      <c r="E274" s="2598"/>
      <c r="F274" s="2736"/>
      <c r="G274" s="2820"/>
      <c r="H274" s="1418"/>
      <c r="I274" s="587" t="s">
        <v>1198</v>
      </c>
      <c r="J274" s="507"/>
      <c r="K274" s="1418"/>
      <c r="L274" s="151"/>
      <c r="M274" s="1776"/>
      <c r="N274" s="271"/>
      <c r="O274" s="1542"/>
      <c r="P274" s="1542"/>
      <c r="AH274" s="1549">
        <v>0</v>
      </c>
    </row>
    <row r="275" spans="1:34" s="2400" customFormat="1" ht="0.75" hidden="1" customHeight="1">
      <c r="A275" s="1697"/>
      <c r="B275" s="1697"/>
      <c r="C275" s="305" t="s">
        <v>1206</v>
      </c>
      <c r="D275" s="2844"/>
      <c r="E275" s="2598"/>
      <c r="F275" s="2736"/>
      <c r="G275" s="336"/>
      <c r="H275" s="1418"/>
      <c r="I275" s="587"/>
      <c r="J275" s="507"/>
      <c r="K275" s="1418"/>
      <c r="L275" s="151"/>
      <c r="M275" s="278"/>
      <c r="N275" s="271"/>
      <c r="O275" s="1542"/>
      <c r="P275" s="1542"/>
      <c r="AH275" s="1549">
        <v>0</v>
      </c>
    </row>
    <row r="276" spans="1:34" s="2400" customFormat="1" ht="45" hidden="1" customHeight="1">
      <c r="A276" s="1697" t="s">
        <v>160</v>
      </c>
      <c r="B276" s="1697" t="s">
        <v>161</v>
      </c>
      <c r="C276" s="305"/>
      <c r="D276" s="2844"/>
      <c r="E276" s="2598"/>
      <c r="F276" s="273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20" t="str">
        <f>INDEX(PT_DIFFERENTIATION_NTAR,MATCH(B276,PT_DIFFERENTIATION_NTAR_ID,0))</f>
        <v/>
      </c>
      <c r="H276" s="1777"/>
      <c r="I276" s="1656"/>
      <c r="J276" s="1690"/>
      <c r="K276" s="1695"/>
      <c r="L276" s="1777" t="s">
        <v>297</v>
      </c>
      <c r="M276" s="278"/>
      <c r="N276" s="271"/>
      <c r="O276" s="1542"/>
      <c r="P276" s="1542"/>
      <c r="AH276" s="1549">
        <v>0</v>
      </c>
    </row>
    <row r="277" spans="1:34" s="2400" customFormat="1" ht="18.75" hidden="1" customHeight="1">
      <c r="A277" s="1697"/>
      <c r="B277" s="1697"/>
      <c r="C277" s="305" t="s">
        <v>1199</v>
      </c>
      <c r="D277" s="2844"/>
      <c r="E277" s="2598"/>
      <c r="F277" s="2736"/>
      <c r="G277" s="2820"/>
      <c r="H277" s="1418"/>
      <c r="I277" s="587" t="s">
        <v>1198</v>
      </c>
      <c r="J277" s="507"/>
      <c r="K277" s="1418"/>
      <c r="L277" s="151"/>
      <c r="M277" s="278"/>
      <c r="N277" s="271"/>
      <c r="O277" s="1542"/>
      <c r="P277" s="1542"/>
      <c r="AH277" s="1549">
        <v>0</v>
      </c>
    </row>
    <row r="278" spans="1:34" s="2400" customFormat="1" ht="0.75" hidden="1" customHeight="1">
      <c r="A278" s="1697"/>
      <c r="B278" s="1697"/>
      <c r="C278" s="305" t="s">
        <v>1206</v>
      </c>
      <c r="D278" s="2844"/>
      <c r="E278" s="2598"/>
      <c r="F278" s="2736"/>
      <c r="G278" s="336"/>
      <c r="H278" s="1418"/>
      <c r="I278" s="587"/>
      <c r="J278" s="507"/>
      <c r="K278" s="1418"/>
      <c r="L278" s="151"/>
      <c r="M278" s="278"/>
      <c r="N278" s="271"/>
      <c r="O278" s="1542"/>
      <c r="P278" s="1542"/>
      <c r="AH278" s="1549">
        <v>0</v>
      </c>
    </row>
    <row r="279" spans="1:34" s="2400" customFormat="1" ht="45" hidden="1" customHeight="1">
      <c r="A279" s="1697" t="s">
        <v>166</v>
      </c>
      <c r="B279" s="1697" t="s">
        <v>167</v>
      </c>
      <c r="C279" s="305"/>
      <c r="D279" s="2844"/>
      <c r="E279" s="2598"/>
      <c r="F279" s="273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20" t="str">
        <f>INDEX(PT_DIFFERENTIATION_NTAR,MATCH(B279,PT_DIFFERENTIATION_NTAR_ID,0))</f>
        <v/>
      </c>
      <c r="H279" s="1777"/>
      <c r="I279" s="1656"/>
      <c r="J279" s="1690"/>
      <c r="K279" s="1695"/>
      <c r="L279" s="1777" t="s">
        <v>297</v>
      </c>
      <c r="M279" s="278"/>
      <c r="N279" s="271"/>
      <c r="O279" s="1542"/>
      <c r="P279" s="1542"/>
      <c r="AH279" s="1549">
        <v>0</v>
      </c>
    </row>
    <row r="280" spans="1:34" s="2400" customFormat="1" ht="18.75" hidden="1" customHeight="1">
      <c r="A280" s="1697"/>
      <c r="B280" s="1697"/>
      <c r="C280" s="305" t="s">
        <v>1199</v>
      </c>
      <c r="D280" s="2844"/>
      <c r="E280" s="2598"/>
      <c r="F280" s="2736"/>
      <c r="G280" s="2820"/>
      <c r="H280" s="1418"/>
      <c r="I280" s="587" t="s">
        <v>1198</v>
      </c>
      <c r="J280" s="507"/>
      <c r="K280" s="1418"/>
      <c r="L280" s="151"/>
      <c r="M280" s="278"/>
      <c r="N280" s="271"/>
      <c r="O280" s="1542"/>
      <c r="P280" s="1542"/>
      <c r="AH280" s="1549">
        <v>0</v>
      </c>
    </row>
    <row r="281" spans="1:34" s="2400" customFormat="1" ht="0.75" hidden="1" customHeight="1">
      <c r="A281" s="1697"/>
      <c r="B281" s="1697"/>
      <c r="C281" s="305" t="s">
        <v>1206</v>
      </c>
      <c r="D281" s="2844"/>
      <c r="E281" s="2598"/>
      <c r="F281" s="2736"/>
      <c r="G281" s="336"/>
      <c r="H281" s="1418"/>
      <c r="I281" s="587"/>
      <c r="J281" s="507"/>
      <c r="K281" s="1418"/>
      <c r="L281" s="151"/>
      <c r="M281" s="278"/>
      <c r="N281" s="271"/>
      <c r="O281" s="1542"/>
      <c r="P281" s="1542"/>
      <c r="AH281" s="1549">
        <v>0</v>
      </c>
    </row>
    <row r="282" spans="1:34" s="2400" customFormat="1" ht="18.75" hidden="1" customHeight="1">
      <c r="A282" s="1697" t="s">
        <v>172</v>
      </c>
      <c r="B282" s="1697" t="s">
        <v>173</v>
      </c>
      <c r="C282" s="305"/>
      <c r="D282" s="2844"/>
      <c r="E282" s="2598"/>
      <c r="F282" s="2736" t="str">
        <f>INDEX(PT_DIFFERENTIATION_VTAR,MATCH(A282,PT_DIFFERENTIATION_VTAR_ID,0))</f>
        <v>Тарифы на услуги по передаче тепловой энергии</v>
      </c>
      <c r="G282" s="2820" t="str">
        <f>INDEX(PT_DIFFERENTIATION_NTAR,MATCH(B282,PT_DIFFERENTIATION_NTAR_ID,0))</f>
        <v/>
      </c>
      <c r="H282" s="1777"/>
      <c r="I282" s="1656"/>
      <c r="J282" s="1690"/>
      <c r="K282" s="1695"/>
      <c r="L282" s="1777" t="s">
        <v>297</v>
      </c>
      <c r="M282" s="278"/>
      <c r="N282" s="271"/>
      <c r="O282" s="1542"/>
      <c r="P282" s="1542"/>
      <c r="AH282" s="1549">
        <v>0</v>
      </c>
    </row>
    <row r="283" spans="1:34" s="2400" customFormat="1" ht="18.75" hidden="1" customHeight="1">
      <c r="A283" s="1697"/>
      <c r="B283" s="1697"/>
      <c r="C283" s="305" t="s">
        <v>1199</v>
      </c>
      <c r="D283" s="2844"/>
      <c r="E283" s="2598"/>
      <c r="F283" s="2736"/>
      <c r="G283" s="2820"/>
      <c r="H283" s="1418"/>
      <c r="I283" s="587" t="s">
        <v>1198</v>
      </c>
      <c r="J283" s="507"/>
      <c r="K283" s="1418"/>
      <c r="L283" s="151"/>
      <c r="M283" s="278"/>
      <c r="N283" s="271"/>
      <c r="O283" s="1542"/>
      <c r="P283" s="1542"/>
      <c r="AH283" s="1549">
        <v>0</v>
      </c>
    </row>
    <row r="284" spans="1:34" s="2400" customFormat="1" ht="0.75" hidden="1" customHeight="1">
      <c r="A284" s="1697"/>
      <c r="B284" s="1697"/>
      <c r="C284" s="305" t="s">
        <v>1206</v>
      </c>
      <c r="D284" s="2844"/>
      <c r="E284" s="2598"/>
      <c r="F284" s="2736"/>
      <c r="G284" s="336"/>
      <c r="H284" s="1418"/>
      <c r="I284" s="587"/>
      <c r="J284" s="507"/>
      <c r="K284" s="1418"/>
      <c r="L284" s="151"/>
      <c r="M284" s="278"/>
      <c r="N284" s="271"/>
      <c r="O284" s="1542"/>
      <c r="P284" s="1542"/>
      <c r="AH284" s="1549">
        <v>0</v>
      </c>
    </row>
    <row r="285" spans="1:34" s="2400" customFormat="1" ht="18.75" hidden="1" customHeight="1">
      <c r="A285" s="1697" t="s">
        <v>178</v>
      </c>
      <c r="B285" s="1697" t="s">
        <v>179</v>
      </c>
      <c r="C285" s="305"/>
      <c r="D285" s="2844"/>
      <c r="E285" s="2598"/>
      <c r="F285" s="2736" t="str">
        <f>INDEX(PT_DIFFERENTIATION_VTAR,MATCH(A285,PT_DIFFERENTIATION_VTAR_ID,0))</f>
        <v>Тарифы на услуги по передаче теплоносителя</v>
      </c>
      <c r="G285" s="2820" t="str">
        <f>INDEX(PT_DIFFERENTIATION_NTAR,MATCH(B285,PT_DIFFERENTIATION_NTAR_ID,0))</f>
        <v/>
      </c>
      <c r="H285" s="1777"/>
      <c r="I285" s="1656"/>
      <c r="J285" s="1690"/>
      <c r="K285" s="1695"/>
      <c r="L285" s="1777" t="s">
        <v>297</v>
      </c>
      <c r="M285" s="278"/>
      <c r="N285" s="271"/>
      <c r="O285" s="1542"/>
      <c r="P285" s="1542"/>
      <c r="AH285" s="1549">
        <v>0</v>
      </c>
    </row>
    <row r="286" spans="1:34" s="2400" customFormat="1" ht="18.75" hidden="1" customHeight="1">
      <c r="A286" s="1697"/>
      <c r="B286" s="1697"/>
      <c r="C286" s="305" t="s">
        <v>1199</v>
      </c>
      <c r="D286" s="2844"/>
      <c r="E286" s="2598"/>
      <c r="F286" s="2736"/>
      <c r="G286" s="2820"/>
      <c r="H286" s="1418"/>
      <c r="I286" s="587" t="s">
        <v>1198</v>
      </c>
      <c r="J286" s="507"/>
      <c r="K286" s="1418"/>
      <c r="L286" s="151"/>
      <c r="M286" s="278"/>
      <c r="N286" s="271"/>
      <c r="O286" s="1542"/>
      <c r="P286" s="1542"/>
      <c r="AH286" s="1549">
        <v>0</v>
      </c>
    </row>
    <row r="287" spans="1:34" s="2400" customFormat="1" ht="0.75" hidden="1" customHeight="1">
      <c r="A287" s="1697"/>
      <c r="B287" s="1697"/>
      <c r="C287" s="305" t="s">
        <v>1206</v>
      </c>
      <c r="D287" s="2844"/>
      <c r="E287" s="2598"/>
      <c r="F287" s="2736"/>
      <c r="G287" s="336"/>
      <c r="H287" s="1418"/>
      <c r="I287" s="587"/>
      <c r="J287" s="507"/>
      <c r="K287" s="1418"/>
      <c r="L287" s="151"/>
      <c r="M287" s="278"/>
      <c r="N287" s="271"/>
      <c r="O287" s="1542"/>
      <c r="P287" s="1542"/>
      <c r="AH287" s="1549">
        <v>0</v>
      </c>
    </row>
    <row r="288" spans="1:34" s="2400" customFormat="1" ht="18.75" hidden="1" customHeight="1">
      <c r="A288" s="1697" t="s">
        <v>184</v>
      </c>
      <c r="B288" s="1697" t="s">
        <v>185</v>
      </c>
      <c r="C288" s="305"/>
      <c r="D288" s="2844"/>
      <c r="E288" s="2598"/>
      <c r="F288" s="273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20" t="str">
        <f>INDEX(PT_DIFFERENTIATION_NTAR,MATCH(B288,PT_DIFFERENTIATION_NTAR_ID,0))</f>
        <v/>
      </c>
      <c r="H288" s="1777"/>
      <c r="I288" s="1656"/>
      <c r="J288" s="1690"/>
      <c r="K288" s="1695"/>
      <c r="L288" s="1777" t="s">
        <v>297</v>
      </c>
      <c r="M288" s="278"/>
      <c r="N288" s="271"/>
      <c r="O288" s="1542"/>
      <c r="P288" s="1542"/>
      <c r="AH288" s="1549">
        <v>0</v>
      </c>
    </row>
    <row r="289" spans="1:34" s="2400" customFormat="1" ht="18.75" hidden="1" customHeight="1">
      <c r="A289" s="1697"/>
      <c r="B289" s="1697"/>
      <c r="C289" s="305" t="s">
        <v>1199</v>
      </c>
      <c r="D289" s="2844"/>
      <c r="E289" s="2598"/>
      <c r="F289" s="2736"/>
      <c r="G289" s="2820"/>
      <c r="H289" s="1418"/>
      <c r="I289" s="587" t="s">
        <v>1198</v>
      </c>
      <c r="J289" s="507"/>
      <c r="K289" s="1418"/>
      <c r="L289" s="151"/>
      <c r="M289" s="278"/>
      <c r="N289" s="271"/>
      <c r="O289" s="1542"/>
      <c r="P289" s="1542"/>
      <c r="AH289" s="1549">
        <v>0</v>
      </c>
    </row>
    <row r="290" spans="1:34" s="2400" customFormat="1" ht="0.75" hidden="1" customHeight="1">
      <c r="A290" s="1697"/>
      <c r="B290" s="1697"/>
      <c r="C290" s="305" t="s">
        <v>1206</v>
      </c>
      <c r="D290" s="2844"/>
      <c r="E290" s="2598"/>
      <c r="F290" s="2736"/>
      <c r="G290" s="336"/>
      <c r="H290" s="1418"/>
      <c r="I290" s="587"/>
      <c r="J290" s="507"/>
      <c r="K290" s="1418"/>
      <c r="L290" s="151"/>
      <c r="M290" s="278"/>
      <c r="N290" s="271"/>
      <c r="O290" s="1542"/>
      <c r="P290" s="1542"/>
      <c r="AH290" s="1549">
        <v>0</v>
      </c>
    </row>
    <row r="291" spans="1:34" s="2400" customFormat="1" ht="18.75" hidden="1" customHeight="1">
      <c r="A291" s="1697" t="s">
        <v>190</v>
      </c>
      <c r="B291" s="1697" t="s">
        <v>191</v>
      </c>
      <c r="C291" s="305"/>
      <c r="D291" s="2844"/>
      <c r="E291" s="2598"/>
      <c r="F291" s="2736" t="str">
        <f>INDEX(PT_DIFFERENTIATION_VTAR,MATCH(A291,PT_DIFFERENTIATION_VTAR_ID,0))</f>
        <v>Плата за подключение (технологическое присоединение) к системе теплоснабжения</v>
      </c>
      <c r="G291" s="2820" t="str">
        <f>INDEX(PT_DIFFERENTIATION_NTAR,MATCH(B291,PT_DIFFERENTIATION_NTAR_ID,0))</f>
        <v/>
      </c>
      <c r="H291" s="1777"/>
      <c r="I291" s="1656"/>
      <c r="J291" s="1690"/>
      <c r="K291" s="1695"/>
      <c r="L291" s="1777" t="s">
        <v>297</v>
      </c>
      <c r="M291" s="278"/>
      <c r="N291" s="271"/>
      <c r="O291" s="1542"/>
      <c r="P291" s="1542"/>
      <c r="AH291" s="1549">
        <v>0</v>
      </c>
    </row>
    <row r="292" spans="1:34" s="2400" customFormat="1" ht="18.75" hidden="1" customHeight="1">
      <c r="A292" s="1697"/>
      <c r="B292" s="1697"/>
      <c r="C292" s="305" t="s">
        <v>1199</v>
      </c>
      <c r="D292" s="2844"/>
      <c r="E292" s="2598"/>
      <c r="F292" s="2736"/>
      <c r="G292" s="2820"/>
      <c r="H292" s="1418"/>
      <c r="I292" s="587" t="s">
        <v>1198</v>
      </c>
      <c r="J292" s="507"/>
      <c r="K292" s="1418"/>
      <c r="L292" s="151"/>
      <c r="M292" s="278"/>
      <c r="N292" s="271"/>
      <c r="O292" s="1542"/>
      <c r="P292" s="1542"/>
      <c r="AH292" s="1549">
        <v>0</v>
      </c>
    </row>
    <row r="293" spans="1:34" s="2400" customFormat="1" ht="0.75" hidden="1" customHeight="1">
      <c r="A293" s="1697"/>
      <c r="B293" s="1697"/>
      <c r="C293" s="305" t="s">
        <v>1206</v>
      </c>
      <c r="D293" s="2844"/>
      <c r="E293" s="2598"/>
      <c r="F293" s="2736"/>
      <c r="G293" s="336"/>
      <c r="H293" s="1418"/>
      <c r="I293" s="587"/>
      <c r="J293" s="507"/>
      <c r="K293" s="1418"/>
      <c r="L293" s="151"/>
      <c r="M293" s="278"/>
      <c r="N293" s="271"/>
      <c r="O293" s="1542"/>
      <c r="P293" s="1542"/>
      <c r="AH293" s="1549">
        <v>0</v>
      </c>
    </row>
    <row r="294" spans="1:34" s="2400" customFormat="1" ht="18.75" hidden="1" customHeight="1">
      <c r="A294" s="1697" t="s">
        <v>196</v>
      </c>
      <c r="B294" s="1697" t="s">
        <v>197</v>
      </c>
      <c r="C294" s="305"/>
      <c r="D294" s="2844"/>
      <c r="E294" s="2598"/>
      <c r="F294" s="2736" t="str">
        <f>INDEX(PT_DIFFERENTIATION_VTAR,MATCH(A294,PT_DIFFERENTIATION_VTAR_ID,0))</f>
        <v>Плата за подключение (технологическое присоединение) к системе теплоснабжения (индивидуальная)</v>
      </c>
      <c r="G294" s="2820" t="str">
        <f>INDEX(PT_DIFFERENTIATION_NTAR,MATCH(B294,PT_DIFFERENTIATION_NTAR_ID,0))</f>
        <v/>
      </c>
      <c r="H294" s="1901"/>
      <c r="I294" s="1656"/>
      <c r="J294" s="1690"/>
      <c r="K294" s="1695"/>
      <c r="L294" s="1901" t="s">
        <v>297</v>
      </c>
      <c r="M294" s="278"/>
      <c r="N294" s="271"/>
      <c r="O294" s="1542"/>
      <c r="P294" s="1542"/>
      <c r="AH294" s="1549">
        <v>0</v>
      </c>
    </row>
    <row r="295" spans="1:34" s="2400" customFormat="1" ht="18.75" hidden="1" customHeight="1">
      <c r="A295" s="1697"/>
      <c r="B295" s="1697"/>
      <c r="C295" s="305" t="s">
        <v>1199</v>
      </c>
      <c r="D295" s="2844"/>
      <c r="E295" s="2598"/>
      <c r="F295" s="2736"/>
      <c r="G295" s="2820"/>
      <c r="H295" s="1418"/>
      <c r="I295" s="587" t="s">
        <v>1198</v>
      </c>
      <c r="J295" s="507"/>
      <c r="K295" s="1418"/>
      <c r="L295" s="151"/>
      <c r="M295" s="278"/>
      <c r="N295" s="271"/>
      <c r="O295" s="1542"/>
      <c r="P295" s="1542"/>
      <c r="AH295" s="1549">
        <v>0</v>
      </c>
    </row>
    <row r="296" spans="1:34" s="2400" customFormat="1" ht="0.75" hidden="1" customHeight="1">
      <c r="A296" s="1697"/>
      <c r="B296" s="1697"/>
      <c r="C296" s="305" t="s">
        <v>1206</v>
      </c>
      <c r="D296" s="2844"/>
      <c r="E296" s="2598"/>
      <c r="F296" s="2736"/>
      <c r="G296" s="336"/>
      <c r="H296" s="1418"/>
      <c r="I296" s="587"/>
      <c r="J296" s="507"/>
      <c r="K296" s="1418"/>
      <c r="L296" s="151"/>
      <c r="M296" s="278"/>
      <c r="N296" s="271"/>
      <c r="O296" s="1542"/>
      <c r="P296" s="1542"/>
      <c r="AH296" s="1549">
        <v>0</v>
      </c>
    </row>
    <row r="297" spans="1:34" s="2400" customFormat="1" ht="18.75" hidden="1" customHeight="1">
      <c r="A297" s="1697" t="s">
        <v>216</v>
      </c>
      <c r="B297" s="1697" t="s">
        <v>217</v>
      </c>
      <c r="C297" s="305"/>
      <c r="D297" s="2844"/>
      <c r="E297" s="2598"/>
      <c r="F297" s="2736" t="str">
        <f>INDEX(PT_DIFFERENTIATION_VTAR,MATCH(A297,PT_DIFFERENTIATION_VTAR_ID,0))</f>
        <v>Тариф на питьевую воду (питьевое водоснабжение)</v>
      </c>
      <c r="G297" s="2820" t="str">
        <f>INDEX(PT_DIFFERENTIATION_NTAR,MATCH(B297,PT_DIFFERENTIATION_NTAR_ID,0))</f>
        <v/>
      </c>
      <c r="H297" s="1777"/>
      <c r="I297" s="1656"/>
      <c r="J297" s="1690"/>
      <c r="K297" s="1695"/>
      <c r="L297" s="1777" t="s">
        <v>297</v>
      </c>
      <c r="M297" s="278"/>
      <c r="N297" s="271"/>
      <c r="O297" s="1542"/>
      <c r="P297" s="1542"/>
      <c r="AH297" s="1549">
        <v>0</v>
      </c>
    </row>
    <row r="298" spans="1:34" s="2400" customFormat="1" ht="18.75" hidden="1" customHeight="1">
      <c r="A298" s="1697"/>
      <c r="B298" s="1697"/>
      <c r="C298" s="305" t="s">
        <v>1199</v>
      </c>
      <c r="D298" s="2844"/>
      <c r="E298" s="2598"/>
      <c r="F298" s="2736"/>
      <c r="G298" s="2820"/>
      <c r="H298" s="1418"/>
      <c r="I298" s="587" t="s">
        <v>1198</v>
      </c>
      <c r="J298" s="507"/>
      <c r="K298" s="1418"/>
      <c r="L298" s="151"/>
      <c r="M298" s="278"/>
      <c r="N298" s="271"/>
      <c r="O298" s="1542"/>
      <c r="P298" s="1542"/>
      <c r="AH298" s="1549">
        <v>0</v>
      </c>
    </row>
    <row r="299" spans="1:34" s="2400" customFormat="1" ht="0.75" hidden="1" customHeight="1">
      <c r="A299" s="1697"/>
      <c r="B299" s="1697"/>
      <c r="C299" s="305" t="s">
        <v>1206</v>
      </c>
      <c r="D299" s="2844"/>
      <c r="E299" s="2598"/>
      <c r="F299" s="2736"/>
      <c r="G299" s="336"/>
      <c r="H299" s="1418"/>
      <c r="I299" s="587"/>
      <c r="J299" s="507"/>
      <c r="K299" s="1418"/>
      <c r="L299" s="151"/>
      <c r="M299" s="278"/>
      <c r="N299" s="271"/>
      <c r="O299" s="1542"/>
      <c r="P299" s="1542"/>
      <c r="AH299" s="1549">
        <v>0</v>
      </c>
    </row>
    <row r="300" spans="1:34" s="2400" customFormat="1" ht="18.75" hidden="1" customHeight="1">
      <c r="A300" s="1697" t="s">
        <v>221</v>
      </c>
      <c r="B300" s="1697" t="s">
        <v>222</v>
      </c>
      <c r="C300" s="305"/>
      <c r="D300" s="2844"/>
      <c r="E300" s="2598"/>
      <c r="F300" s="2736" t="str">
        <f>INDEX(PT_DIFFERENTIATION_VTAR,MATCH(A300,PT_DIFFERENTIATION_VTAR_ID,0))</f>
        <v>Тариф на техническую воду</v>
      </c>
      <c r="G300" s="2820" t="str">
        <f>INDEX(PT_DIFFERENTIATION_NTAR,MATCH(B300,PT_DIFFERENTIATION_NTAR_ID,0))</f>
        <v/>
      </c>
      <c r="H300" s="1777"/>
      <c r="I300" s="1656"/>
      <c r="J300" s="1690"/>
      <c r="K300" s="1695"/>
      <c r="L300" s="1777" t="s">
        <v>297</v>
      </c>
      <c r="M300" s="278"/>
      <c r="N300" s="271"/>
      <c r="O300" s="1542"/>
      <c r="P300" s="1542"/>
      <c r="AH300" s="1549">
        <v>0</v>
      </c>
    </row>
    <row r="301" spans="1:34" s="2400" customFormat="1" ht="18.75" hidden="1" customHeight="1">
      <c r="A301" s="1697"/>
      <c r="B301" s="1697"/>
      <c r="C301" s="305" t="s">
        <v>1199</v>
      </c>
      <c r="D301" s="2844"/>
      <c r="E301" s="2598"/>
      <c r="F301" s="2736"/>
      <c r="G301" s="2820"/>
      <c r="H301" s="1418"/>
      <c r="I301" s="587" t="s">
        <v>1198</v>
      </c>
      <c r="J301" s="507"/>
      <c r="K301" s="1418"/>
      <c r="L301" s="151"/>
      <c r="M301" s="278"/>
      <c r="N301" s="271"/>
      <c r="O301" s="1542"/>
      <c r="P301" s="1542"/>
      <c r="AH301" s="1549">
        <v>0</v>
      </c>
    </row>
    <row r="302" spans="1:34" s="2400" customFormat="1" ht="0.75" hidden="1" customHeight="1">
      <c r="A302" s="1697"/>
      <c r="B302" s="1697"/>
      <c r="C302" s="305" t="s">
        <v>1206</v>
      </c>
      <c r="D302" s="2844"/>
      <c r="E302" s="2598"/>
      <c r="F302" s="2736"/>
      <c r="G302" s="336"/>
      <c r="H302" s="1418"/>
      <c r="I302" s="587"/>
      <c r="J302" s="507"/>
      <c r="K302" s="1418"/>
      <c r="L302" s="151"/>
      <c r="M302" s="278"/>
      <c r="N302" s="271"/>
      <c r="O302" s="1542"/>
      <c r="P302" s="1542"/>
      <c r="AH302" s="1549">
        <v>0</v>
      </c>
    </row>
    <row r="303" spans="1:34" s="2400" customFormat="1" ht="18.75" hidden="1" customHeight="1">
      <c r="A303" s="1697" t="s">
        <v>226</v>
      </c>
      <c r="B303" s="1697" t="s">
        <v>227</v>
      </c>
      <c r="C303" s="305"/>
      <c r="D303" s="2844"/>
      <c r="E303" s="2598"/>
      <c r="F303" s="2736" t="str">
        <f>INDEX(PT_DIFFERENTIATION_VTAR,MATCH(A303,PT_DIFFERENTIATION_VTAR_ID,0))</f>
        <v>Тариф на транспортировку воды</v>
      </c>
      <c r="G303" s="2820" t="str">
        <f>INDEX(PT_DIFFERENTIATION_NTAR,MATCH(B303,PT_DIFFERENTIATION_NTAR_ID,0))</f>
        <v/>
      </c>
      <c r="H303" s="1777"/>
      <c r="I303" s="1656"/>
      <c r="J303" s="1690"/>
      <c r="K303" s="1695"/>
      <c r="L303" s="1777" t="s">
        <v>297</v>
      </c>
      <c r="M303" s="278"/>
      <c r="N303" s="271"/>
      <c r="O303" s="1542"/>
      <c r="P303" s="1542"/>
      <c r="AH303" s="1549">
        <v>0</v>
      </c>
    </row>
    <row r="304" spans="1:34" s="2400" customFormat="1" ht="18.75" hidden="1" customHeight="1">
      <c r="A304" s="1697"/>
      <c r="B304" s="1697"/>
      <c r="C304" s="305" t="s">
        <v>1199</v>
      </c>
      <c r="D304" s="2844"/>
      <c r="E304" s="2598"/>
      <c r="F304" s="2736"/>
      <c r="G304" s="2820"/>
      <c r="H304" s="1418"/>
      <c r="I304" s="587" t="s">
        <v>1198</v>
      </c>
      <c r="J304" s="507"/>
      <c r="K304" s="1418"/>
      <c r="L304" s="151"/>
      <c r="M304" s="278"/>
      <c r="N304" s="271"/>
      <c r="O304" s="1542"/>
      <c r="P304" s="1542"/>
      <c r="AH304" s="1549">
        <v>0</v>
      </c>
    </row>
    <row r="305" spans="1:34" s="2400" customFormat="1" ht="0.75" hidden="1" customHeight="1">
      <c r="A305" s="1697"/>
      <c r="B305" s="1697"/>
      <c r="C305" s="305" t="s">
        <v>1206</v>
      </c>
      <c r="D305" s="2844"/>
      <c r="E305" s="2598"/>
      <c r="F305" s="2736"/>
      <c r="G305" s="336"/>
      <c r="H305" s="1418"/>
      <c r="I305" s="587"/>
      <c r="J305" s="507"/>
      <c r="K305" s="1418"/>
      <c r="L305" s="151"/>
      <c r="M305" s="278"/>
      <c r="N305" s="271"/>
      <c r="O305" s="1542"/>
      <c r="P305" s="1542"/>
      <c r="AH305" s="1549">
        <v>0</v>
      </c>
    </row>
    <row r="306" spans="1:34" s="2400" customFormat="1" ht="18.75" hidden="1" customHeight="1">
      <c r="A306" s="1697" t="s">
        <v>231</v>
      </c>
      <c r="B306" s="1697" t="s">
        <v>232</v>
      </c>
      <c r="C306" s="305"/>
      <c r="D306" s="2844"/>
      <c r="E306" s="2598"/>
      <c r="F306" s="2736" t="str">
        <f>INDEX(PT_DIFFERENTIATION_VTAR,MATCH(A306,PT_DIFFERENTIATION_VTAR_ID,0))</f>
        <v>Тариф на подвоз воды</v>
      </c>
      <c r="G306" s="2820" t="str">
        <f>INDEX(PT_DIFFERENTIATION_NTAR,MATCH(B306,PT_DIFFERENTIATION_NTAR_ID,0))</f>
        <v/>
      </c>
      <c r="H306" s="1777"/>
      <c r="I306" s="1656"/>
      <c r="J306" s="1690"/>
      <c r="K306" s="1695"/>
      <c r="L306" s="1777" t="s">
        <v>297</v>
      </c>
      <c r="M306" s="278"/>
      <c r="N306" s="271"/>
      <c r="O306" s="1542"/>
      <c r="P306" s="1542"/>
      <c r="AH306" s="1549">
        <v>0</v>
      </c>
    </row>
    <row r="307" spans="1:34" s="2400" customFormat="1" ht="18.75" hidden="1" customHeight="1">
      <c r="A307" s="1697"/>
      <c r="B307" s="1697"/>
      <c r="C307" s="305" t="s">
        <v>1199</v>
      </c>
      <c r="D307" s="2844"/>
      <c r="E307" s="2598"/>
      <c r="F307" s="2736"/>
      <c r="G307" s="2820"/>
      <c r="H307" s="1418"/>
      <c r="I307" s="587" t="s">
        <v>1198</v>
      </c>
      <c r="J307" s="507"/>
      <c r="K307" s="1418"/>
      <c r="L307" s="151"/>
      <c r="M307" s="278"/>
      <c r="N307" s="271"/>
      <c r="O307" s="1542"/>
      <c r="P307" s="1542"/>
      <c r="AH307" s="1549">
        <v>0</v>
      </c>
    </row>
    <row r="308" spans="1:34" s="2400" customFormat="1" ht="0.75" hidden="1" customHeight="1">
      <c r="A308" s="1697"/>
      <c r="B308" s="1697"/>
      <c r="C308" s="305" t="s">
        <v>1206</v>
      </c>
      <c r="D308" s="2844"/>
      <c r="E308" s="2598"/>
      <c r="F308" s="2736"/>
      <c r="G308" s="336"/>
      <c r="H308" s="1418"/>
      <c r="I308" s="587"/>
      <c r="J308" s="507"/>
      <c r="K308" s="1418"/>
      <c r="L308" s="151"/>
      <c r="M308" s="278"/>
      <c r="N308" s="271"/>
      <c r="O308" s="1542"/>
      <c r="P308" s="1542"/>
      <c r="AH308" s="1549">
        <v>0</v>
      </c>
    </row>
    <row r="309" spans="1:34" s="2400" customFormat="1" ht="18.75" hidden="1" customHeight="1">
      <c r="A309" s="1697" t="s">
        <v>236</v>
      </c>
      <c r="B309" s="1697" t="s">
        <v>237</v>
      </c>
      <c r="C309" s="305"/>
      <c r="D309" s="2844"/>
      <c r="E309" s="2598"/>
      <c r="F309" s="273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20" t="str">
        <f>INDEX(PT_DIFFERENTIATION_NTAR,MATCH(B309,PT_DIFFERENTIATION_NTAR_ID,0))</f>
        <v/>
      </c>
      <c r="H309" s="1777"/>
      <c r="I309" s="1656"/>
      <c r="J309" s="1690"/>
      <c r="K309" s="1695"/>
      <c r="L309" s="1777" t="s">
        <v>297</v>
      </c>
      <c r="M309" s="278"/>
      <c r="N309" s="271"/>
      <c r="O309" s="1542"/>
      <c r="P309" s="1542"/>
      <c r="AH309" s="1549">
        <v>0</v>
      </c>
    </row>
    <row r="310" spans="1:34" s="2400" customFormat="1" ht="18.75" hidden="1" customHeight="1">
      <c r="A310" s="1697"/>
      <c r="B310" s="1697"/>
      <c r="C310" s="305" t="s">
        <v>1199</v>
      </c>
      <c r="D310" s="2844"/>
      <c r="E310" s="2598"/>
      <c r="F310" s="2736"/>
      <c r="G310" s="2820"/>
      <c r="H310" s="1418"/>
      <c r="I310" s="587" t="s">
        <v>1198</v>
      </c>
      <c r="J310" s="507"/>
      <c r="K310" s="1418"/>
      <c r="L310" s="151"/>
      <c r="M310" s="278"/>
      <c r="N310" s="271"/>
      <c r="O310" s="1542"/>
      <c r="P310" s="1542"/>
      <c r="AH310" s="1549">
        <v>0</v>
      </c>
    </row>
    <row r="311" spans="1:34" s="2400" customFormat="1" ht="0.75" hidden="1" customHeight="1">
      <c r="A311" s="1697"/>
      <c r="B311" s="1697"/>
      <c r="C311" s="305" t="s">
        <v>1206</v>
      </c>
      <c r="D311" s="2844"/>
      <c r="E311" s="2598"/>
      <c r="F311" s="2736"/>
      <c r="G311" s="336"/>
      <c r="H311" s="1418"/>
      <c r="I311" s="587"/>
      <c r="J311" s="507"/>
      <c r="K311" s="1418"/>
      <c r="L311" s="151"/>
      <c r="M311" s="278"/>
      <c r="N311" s="271"/>
      <c r="O311" s="1542"/>
      <c r="P311" s="1542"/>
      <c r="AH311" s="1549">
        <v>0</v>
      </c>
    </row>
    <row r="312" spans="1:34" s="2400" customFormat="1" ht="18.75" hidden="1" customHeight="1">
      <c r="A312" s="1697" t="s">
        <v>241</v>
      </c>
      <c r="B312" s="1697" t="s">
        <v>242</v>
      </c>
      <c r="C312" s="305"/>
      <c r="D312" s="2844"/>
      <c r="E312" s="2598"/>
      <c r="F312" s="2736" t="str">
        <f>INDEX(PT_DIFFERENTIATION_VTAR,MATCH(A312,PT_DIFFERENTIATION_VTAR_ID,0))</f>
        <v>Тариф на горячую воду (горячее водоснабжение)</v>
      </c>
      <c r="G312" s="2820" t="str">
        <f>INDEX(PT_DIFFERENTIATION_NTAR,MATCH(B312,PT_DIFFERENTIATION_NTAR_ID,0))</f>
        <v/>
      </c>
      <c r="H312" s="1777"/>
      <c r="I312" s="1656"/>
      <c r="J312" s="1690"/>
      <c r="K312" s="1695"/>
      <c r="L312" s="1777" t="s">
        <v>297</v>
      </c>
      <c r="M312" s="278"/>
      <c r="N312" s="271"/>
      <c r="O312" s="1542"/>
      <c r="P312" s="1542"/>
      <c r="AH312" s="1549">
        <v>0</v>
      </c>
    </row>
    <row r="313" spans="1:34" s="2400" customFormat="1" ht="18.75" hidden="1" customHeight="1">
      <c r="A313" s="1697"/>
      <c r="B313" s="1697"/>
      <c r="C313" s="305" t="s">
        <v>1199</v>
      </c>
      <c r="D313" s="2844"/>
      <c r="E313" s="2598"/>
      <c r="F313" s="2736"/>
      <c r="G313" s="2820"/>
      <c r="H313" s="1418"/>
      <c r="I313" s="587" t="s">
        <v>1198</v>
      </c>
      <c r="J313" s="507"/>
      <c r="K313" s="1418"/>
      <c r="L313" s="151"/>
      <c r="M313" s="278"/>
      <c r="N313" s="271"/>
      <c r="O313" s="1542"/>
      <c r="P313" s="1542"/>
      <c r="AH313" s="1549">
        <v>0</v>
      </c>
    </row>
    <row r="314" spans="1:34" s="2400" customFormat="1" ht="0.75" hidden="1" customHeight="1">
      <c r="A314" s="1697"/>
      <c r="B314" s="1697"/>
      <c r="C314" s="305" t="s">
        <v>1206</v>
      </c>
      <c r="D314" s="2844"/>
      <c r="E314" s="2598"/>
      <c r="F314" s="2736"/>
      <c r="G314" s="336"/>
      <c r="H314" s="1418"/>
      <c r="I314" s="587"/>
      <c r="J314" s="507"/>
      <c r="K314" s="1418"/>
      <c r="L314" s="151"/>
      <c r="M314" s="278"/>
      <c r="N314" s="271"/>
      <c r="O314" s="1542"/>
      <c r="P314" s="1542"/>
      <c r="AH314" s="1549">
        <v>0</v>
      </c>
    </row>
    <row r="315" spans="1:34" s="2400" customFormat="1" ht="18.75" hidden="1" customHeight="1">
      <c r="A315" s="1697" t="s">
        <v>246</v>
      </c>
      <c r="B315" s="1697" t="s">
        <v>247</v>
      </c>
      <c r="C315" s="305"/>
      <c r="D315" s="2844"/>
      <c r="E315" s="2598"/>
      <c r="F315" s="2736" t="str">
        <f>INDEX(PT_DIFFERENTIATION_VTAR,MATCH(A315,PT_DIFFERENTIATION_VTAR_ID,0))</f>
        <v>Тариф на транспортировку горячей воды</v>
      </c>
      <c r="G315" s="2820" t="str">
        <f>INDEX(PT_DIFFERENTIATION_NTAR,MATCH(B315,PT_DIFFERENTIATION_NTAR_ID,0))</f>
        <v/>
      </c>
      <c r="H315" s="1777"/>
      <c r="I315" s="1656"/>
      <c r="J315" s="1690"/>
      <c r="K315" s="1695"/>
      <c r="L315" s="1777" t="s">
        <v>297</v>
      </c>
      <c r="M315" s="278"/>
      <c r="N315" s="271"/>
      <c r="O315" s="1542"/>
      <c r="P315" s="1542"/>
      <c r="AH315" s="1549">
        <v>0</v>
      </c>
    </row>
    <row r="316" spans="1:34" s="2400" customFormat="1" ht="18.75" hidden="1" customHeight="1">
      <c r="A316" s="1697"/>
      <c r="B316" s="1697"/>
      <c r="C316" s="305" t="s">
        <v>1199</v>
      </c>
      <c r="D316" s="2844"/>
      <c r="E316" s="2598"/>
      <c r="F316" s="2736"/>
      <c r="G316" s="2820"/>
      <c r="H316" s="1418"/>
      <c r="I316" s="587" t="s">
        <v>1198</v>
      </c>
      <c r="J316" s="507"/>
      <c r="K316" s="1418"/>
      <c r="L316" s="151"/>
      <c r="M316" s="278"/>
      <c r="N316" s="271"/>
      <c r="O316" s="1542"/>
      <c r="P316" s="1542"/>
      <c r="AH316" s="1549">
        <v>0</v>
      </c>
    </row>
    <row r="317" spans="1:34" s="2400" customFormat="1" ht="0.75" hidden="1" customHeight="1">
      <c r="A317" s="1697"/>
      <c r="B317" s="1697"/>
      <c r="C317" s="305" t="s">
        <v>1206</v>
      </c>
      <c r="D317" s="2844"/>
      <c r="E317" s="2598"/>
      <c r="F317" s="2736"/>
      <c r="G317" s="336"/>
      <c r="H317" s="1418"/>
      <c r="I317" s="587"/>
      <c r="J317" s="507"/>
      <c r="K317" s="1418"/>
      <c r="L317" s="151"/>
      <c r="M317" s="278"/>
      <c r="N317" s="271"/>
      <c r="O317" s="1542"/>
      <c r="P317" s="1542"/>
      <c r="AH317" s="1549">
        <v>0</v>
      </c>
    </row>
    <row r="318" spans="1:34" s="2400" customFormat="1" ht="18.75" hidden="1" customHeight="1">
      <c r="A318" s="1697" t="s">
        <v>251</v>
      </c>
      <c r="B318" s="1697" t="s">
        <v>252</v>
      </c>
      <c r="C318" s="305"/>
      <c r="D318" s="2844"/>
      <c r="E318" s="2598"/>
      <c r="F318" s="273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20" t="str">
        <f>INDEX(PT_DIFFERENTIATION_NTAR,MATCH(B318,PT_DIFFERENTIATION_NTAR_ID,0))</f>
        <v/>
      </c>
      <c r="H318" s="1777"/>
      <c r="I318" s="1656"/>
      <c r="J318" s="1690"/>
      <c r="K318" s="1695"/>
      <c r="L318" s="1777" t="s">
        <v>297</v>
      </c>
      <c r="M318" s="278"/>
      <c r="N318" s="271"/>
      <c r="O318" s="1542"/>
      <c r="P318" s="1542"/>
      <c r="AH318" s="1549">
        <v>0</v>
      </c>
    </row>
    <row r="319" spans="1:34" s="2400" customFormat="1" ht="18.75" hidden="1" customHeight="1">
      <c r="A319" s="1697"/>
      <c r="B319" s="1697"/>
      <c r="C319" s="305" t="s">
        <v>1199</v>
      </c>
      <c r="D319" s="2844"/>
      <c r="E319" s="2598"/>
      <c r="F319" s="2736"/>
      <c r="G319" s="2820"/>
      <c r="H319" s="1418"/>
      <c r="I319" s="587" t="s">
        <v>1198</v>
      </c>
      <c r="J319" s="507"/>
      <c r="K319" s="1418"/>
      <c r="L319" s="151"/>
      <c r="M319" s="278"/>
      <c r="N319" s="271"/>
      <c r="O319" s="1542"/>
      <c r="P319" s="1542"/>
      <c r="AH319" s="1549">
        <v>0</v>
      </c>
    </row>
    <row r="320" spans="1:34" s="2400" customFormat="1" ht="0.75" hidden="1" customHeight="1">
      <c r="A320" s="1697"/>
      <c r="B320" s="1697"/>
      <c r="C320" s="305" t="s">
        <v>1206</v>
      </c>
      <c r="D320" s="2844"/>
      <c r="E320" s="2598"/>
      <c r="F320" s="2736"/>
      <c r="G320" s="336"/>
      <c r="H320" s="1418"/>
      <c r="I320" s="587"/>
      <c r="J320" s="507"/>
      <c r="K320" s="1418"/>
      <c r="L320" s="151"/>
      <c r="M320" s="278"/>
      <c r="N320" s="271"/>
      <c r="O320" s="1542"/>
      <c r="P320" s="1542"/>
      <c r="AH320" s="1549">
        <v>0</v>
      </c>
    </row>
    <row r="321" spans="1:34" s="2400" customFormat="1" ht="18.75" hidden="1" customHeight="1">
      <c r="A321" s="1697" t="s">
        <v>256</v>
      </c>
      <c r="B321" s="1697" t="s">
        <v>257</v>
      </c>
      <c r="C321" s="305"/>
      <c r="D321" s="2844"/>
      <c r="E321" s="2598"/>
      <c r="F321" s="2736" t="str">
        <f>INDEX(PT_DIFFERENTIATION_VTAR,MATCH(A321,PT_DIFFERENTIATION_VTAR_ID,0))</f>
        <v>Тариф на водоотведение</v>
      </c>
      <c r="G321" s="2820" t="str">
        <f>INDEX(PT_DIFFERENTIATION_NTAR,MATCH(B321,PT_DIFFERENTIATION_NTAR_ID,0))</f>
        <v/>
      </c>
      <c r="H321" s="1777"/>
      <c r="I321" s="1656"/>
      <c r="J321" s="1690"/>
      <c r="K321" s="1695"/>
      <c r="L321" s="1777" t="s">
        <v>297</v>
      </c>
      <c r="M321" s="278"/>
      <c r="N321" s="271"/>
      <c r="O321" s="1542"/>
      <c r="P321" s="1542"/>
      <c r="AH321" s="1549">
        <v>0</v>
      </c>
    </row>
    <row r="322" spans="1:34" s="2400" customFormat="1" ht="18.75" hidden="1" customHeight="1">
      <c r="A322" s="1697"/>
      <c r="B322" s="1697"/>
      <c r="C322" s="305" t="s">
        <v>1199</v>
      </c>
      <c r="D322" s="2844"/>
      <c r="E322" s="2598"/>
      <c r="F322" s="2736"/>
      <c r="G322" s="2820"/>
      <c r="H322" s="1418"/>
      <c r="I322" s="587" t="s">
        <v>1198</v>
      </c>
      <c r="J322" s="507"/>
      <c r="K322" s="1418"/>
      <c r="L322" s="151"/>
      <c r="M322" s="278"/>
      <c r="N322" s="271"/>
      <c r="O322" s="1542"/>
      <c r="P322" s="1542"/>
      <c r="AH322" s="1549">
        <v>0</v>
      </c>
    </row>
    <row r="323" spans="1:34" s="2400" customFormat="1" ht="0.75" hidden="1" customHeight="1">
      <c r="A323" s="1697"/>
      <c r="B323" s="1697"/>
      <c r="C323" s="305" t="s">
        <v>1206</v>
      </c>
      <c r="D323" s="2844"/>
      <c r="E323" s="2598"/>
      <c r="F323" s="2736"/>
      <c r="G323" s="336"/>
      <c r="H323" s="1418"/>
      <c r="I323" s="587"/>
      <c r="J323" s="507"/>
      <c r="K323" s="1418"/>
      <c r="L323" s="151"/>
      <c r="M323" s="278"/>
      <c r="N323" s="271"/>
      <c r="O323" s="1542"/>
      <c r="P323" s="1542"/>
      <c r="AH323" s="1549">
        <v>0</v>
      </c>
    </row>
    <row r="324" spans="1:34" s="2400" customFormat="1" ht="18.75" hidden="1" customHeight="1">
      <c r="A324" s="1697" t="s">
        <v>261</v>
      </c>
      <c r="B324" s="1697" t="s">
        <v>262</v>
      </c>
      <c r="C324" s="305"/>
      <c r="D324" s="2844"/>
      <c r="E324" s="2598"/>
      <c r="F324" s="2736" t="str">
        <f>INDEX(PT_DIFFERENTIATION_VTAR,MATCH(A324,PT_DIFFERENTIATION_VTAR_ID,0))</f>
        <v>Тариф на транспортировку сточных вод</v>
      </c>
      <c r="G324" s="2820" t="str">
        <f>INDEX(PT_DIFFERENTIATION_NTAR,MATCH(B324,PT_DIFFERENTIATION_NTAR_ID,0))</f>
        <v/>
      </c>
      <c r="H324" s="1777"/>
      <c r="I324" s="1656"/>
      <c r="J324" s="1690"/>
      <c r="K324" s="1695"/>
      <c r="L324" s="1777" t="s">
        <v>297</v>
      </c>
      <c r="M324" s="278"/>
      <c r="N324" s="271"/>
      <c r="O324" s="1542"/>
      <c r="P324" s="1542"/>
      <c r="AH324" s="1549">
        <v>0</v>
      </c>
    </row>
    <row r="325" spans="1:34" s="2400" customFormat="1" ht="18.75" hidden="1" customHeight="1">
      <c r="A325" s="1697"/>
      <c r="B325" s="1697"/>
      <c r="C325" s="305" t="s">
        <v>1199</v>
      </c>
      <c r="D325" s="2844"/>
      <c r="E325" s="2598"/>
      <c r="F325" s="2736"/>
      <c r="G325" s="2820"/>
      <c r="H325" s="1418"/>
      <c r="I325" s="587" t="s">
        <v>1198</v>
      </c>
      <c r="J325" s="507"/>
      <c r="K325" s="1418"/>
      <c r="L325" s="151"/>
      <c r="M325" s="278"/>
      <c r="N325" s="271"/>
      <c r="O325" s="1542"/>
      <c r="P325" s="1542"/>
      <c r="AH325" s="1549">
        <v>0</v>
      </c>
    </row>
    <row r="326" spans="1:34" s="2400" customFormat="1" ht="0.75" hidden="1" customHeight="1">
      <c r="A326" s="1697"/>
      <c r="B326" s="1697"/>
      <c r="C326" s="305" t="s">
        <v>1206</v>
      </c>
      <c r="D326" s="2844"/>
      <c r="E326" s="2598"/>
      <c r="F326" s="2736"/>
      <c r="G326" s="336"/>
      <c r="H326" s="1418"/>
      <c r="I326" s="587"/>
      <c r="J326" s="507"/>
      <c r="K326" s="1418"/>
      <c r="L326" s="151"/>
      <c r="M326" s="278"/>
      <c r="N326" s="271"/>
      <c r="O326" s="1542"/>
      <c r="P326" s="1542"/>
      <c r="AH326" s="1549">
        <v>0</v>
      </c>
    </row>
    <row r="327" spans="1:34" s="2400" customFormat="1" ht="18.75" hidden="1" customHeight="1">
      <c r="A327" s="1697" t="s">
        <v>266</v>
      </c>
      <c r="B327" s="1697" t="s">
        <v>267</v>
      </c>
      <c r="C327" s="305"/>
      <c r="D327" s="2844"/>
      <c r="E327" s="2598"/>
      <c r="F327" s="2736" t="str">
        <f>INDEX(PT_DIFFERENTIATION_VTAR,MATCH(A327,PT_DIFFERENTIATION_VTAR_ID,0))</f>
        <v>Тариф на подключение (технологическое присоединение) к централизованной системе водоотведения</v>
      </c>
      <c r="G327" s="2820" t="str">
        <f>INDEX(PT_DIFFERENTIATION_NTAR,MATCH(B327,PT_DIFFERENTIATION_NTAR_ID,0))</f>
        <v/>
      </c>
      <c r="H327" s="1777"/>
      <c r="I327" s="1656"/>
      <c r="J327" s="1690"/>
      <c r="K327" s="1695"/>
      <c r="L327" s="1777" t="s">
        <v>297</v>
      </c>
      <c r="M327" s="278"/>
      <c r="N327" s="271"/>
      <c r="O327" s="1542"/>
      <c r="P327" s="1542"/>
      <c r="AH327" s="1549">
        <v>0</v>
      </c>
    </row>
    <row r="328" spans="1:34" s="2400" customFormat="1" ht="18.75" hidden="1" customHeight="1">
      <c r="A328" s="1697"/>
      <c r="B328" s="1697"/>
      <c r="C328" s="305" t="s">
        <v>1199</v>
      </c>
      <c r="D328" s="2844"/>
      <c r="E328" s="2598"/>
      <c r="F328" s="2736"/>
      <c r="G328" s="2820"/>
      <c r="H328" s="1418"/>
      <c r="I328" s="587" t="s">
        <v>1198</v>
      </c>
      <c r="J328" s="507"/>
      <c r="K328" s="1418"/>
      <c r="L328" s="151"/>
      <c r="M328" s="278"/>
      <c r="N328" s="271"/>
      <c r="O328" s="1542"/>
      <c r="P328" s="1542"/>
      <c r="AH328" s="1549">
        <v>0</v>
      </c>
    </row>
    <row r="329" spans="1:34" s="2400" customFormat="1" ht="1.1499999999999999" customHeight="1">
      <c r="A329" s="1697"/>
      <c r="B329" s="1697"/>
      <c r="C329" s="305" t="s">
        <v>1206</v>
      </c>
      <c r="D329" s="2844"/>
      <c r="E329" s="2598"/>
      <c r="F329" s="2736"/>
      <c r="G329" s="336"/>
      <c r="H329" s="1418"/>
      <c r="I329" s="587"/>
      <c r="J329" s="507"/>
      <c r="K329" s="1418"/>
      <c r="L329" s="151"/>
      <c r="M329" s="278"/>
      <c r="N329" s="271"/>
      <c r="O329" s="1542"/>
      <c r="P329" s="1542"/>
      <c r="AH329" s="1549">
        <v>1</v>
      </c>
    </row>
    <row r="330" spans="1:34" s="2455"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641"/>
      <c r="G331" s="2641"/>
      <c r="H331" s="2641"/>
      <c r="I331" s="2641"/>
      <c r="J331" s="2641"/>
      <c r="K331" s="2641"/>
      <c r="L331" s="2641"/>
      <c r="M331" s="2641"/>
      <c r="AH331" s="310">
        <v>25</v>
      </c>
    </row>
    <row r="332" spans="1:34" ht="14.25" hidden="1" customHeight="1">
      <c r="A332" s="1696" t="s">
        <v>78</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434" hidden="1" customWidth="1"/>
    <col min="2" max="2" width="9.140625" style="2406" hidden="1" customWidth="1"/>
    <col min="3" max="3" width="3" style="2435" customWidth="1"/>
    <col min="4" max="4" width="6" style="2400" customWidth="1"/>
    <col min="5" max="5" width="53" style="2400" customWidth="1"/>
    <col min="6" max="7" width="35" style="2400" customWidth="1"/>
    <col min="8" max="8" width="89" style="2400" customWidth="1"/>
    <col min="9" max="9" width="10" style="2400" customWidth="1"/>
    <col min="10" max="11" width="10" style="2413" customWidth="1"/>
    <col min="12" max="17" width="10" style="2400" customWidth="1"/>
    <col min="18" max="18" width="10.5703125" style="2400" hidden="1"/>
  </cols>
  <sheetData>
    <row r="1" spans="1:18" ht="22.5" hidden="1" customHeight="1">
      <c r="N1" s="192"/>
      <c r="O1" s="192"/>
      <c r="Q1" s="192"/>
      <c r="R1" s="310" t="s">
        <v>14</v>
      </c>
    </row>
    <row r="2" spans="1:18" s="2400" customFormat="1" ht="18.75" hidden="1" customHeight="1">
      <c r="A2" s="42"/>
      <c r="B2" s="1078"/>
      <c r="C2" s="1647" t="s">
        <v>680</v>
      </c>
      <c r="D2" s="1591"/>
      <c r="E2" s="1600"/>
      <c r="F2" s="194"/>
      <c r="G2" s="1079"/>
      <c r="H2" s="310"/>
      <c r="I2" s="1542"/>
      <c r="J2" s="1542"/>
      <c r="R2" s="1549">
        <v>0</v>
      </c>
    </row>
    <row r="3" spans="1:18" ht="14.25" hidden="1" customHeight="1">
      <c r="R3" s="310">
        <v>0</v>
      </c>
    </row>
    <row r="4" spans="1:18" ht="6.4" customHeight="1">
      <c r="C4" s="312"/>
      <c r="D4" s="299"/>
      <c r="E4" s="299"/>
      <c r="F4" s="299"/>
      <c r="G4" s="25"/>
      <c r="H4" s="25"/>
      <c r="R4" s="310">
        <v>6</v>
      </c>
    </row>
    <row r="5" spans="1:18" ht="34.5" customHeight="1">
      <c r="C5" s="312"/>
      <c r="D5" s="256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65"/>
      <c r="F5" s="2565"/>
      <c r="G5" s="2566"/>
      <c r="H5" s="203"/>
      <c r="R5" s="310">
        <v>33</v>
      </c>
    </row>
    <row r="6" spans="1:18" s="2400" customFormat="1" ht="18" customHeight="1">
      <c r="A6" s="1587"/>
      <c r="B6" s="1078"/>
      <c r="C6" s="312"/>
      <c r="D6" s="2617" t="str">
        <f>IF(org=0,"Не определено",org)</f>
        <v>ПАО "ТГК-1" (филиал "Кольский")</v>
      </c>
      <c r="E6" s="2618"/>
      <c r="F6" s="2618"/>
      <c r="G6" s="2619"/>
      <c r="H6" s="203"/>
      <c r="J6" s="1542"/>
      <c r="K6" s="1542"/>
      <c r="R6" s="1549">
        <v>17</v>
      </c>
    </row>
    <row r="7" spans="1:18" ht="14.65" customHeight="1">
      <c r="C7" s="312"/>
      <c r="D7" s="299"/>
      <c r="E7" s="325"/>
      <c r="F7" s="325"/>
      <c r="G7" s="688"/>
      <c r="H7" s="130"/>
      <c r="R7" s="310">
        <v>14</v>
      </c>
    </row>
    <row r="8" spans="1:18" ht="14.65" customHeight="1">
      <c r="C8" s="312"/>
      <c r="D8" s="2603" t="s">
        <v>291</v>
      </c>
      <c r="E8" s="2603"/>
      <c r="F8" s="2603"/>
      <c r="G8" s="2603"/>
      <c r="H8" s="2746" t="s">
        <v>292</v>
      </c>
      <c r="R8" s="310">
        <v>14</v>
      </c>
    </row>
    <row r="9" spans="1:18" ht="24" customHeight="1">
      <c r="C9" s="312"/>
      <c r="D9" s="322" t="s">
        <v>84</v>
      </c>
      <c r="E9" s="48" t="s">
        <v>293</v>
      </c>
      <c r="F9" s="48" t="s">
        <v>294</v>
      </c>
      <c r="G9" s="48" t="s">
        <v>381</v>
      </c>
      <c r="H9" s="2746"/>
      <c r="R9" s="310">
        <v>23</v>
      </c>
    </row>
    <row r="10" spans="1:18" ht="14.65" customHeight="1">
      <c r="A10" s="280"/>
      <c r="C10" s="312"/>
      <c r="D10" s="85" t="s">
        <v>102</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558" t="s">
        <v>1207</v>
      </c>
      <c r="R10" s="310">
        <v>14</v>
      </c>
    </row>
    <row r="11" spans="1:18" ht="14.65" customHeight="1">
      <c r="A11" s="280"/>
      <c r="C11" s="312"/>
      <c r="D11" s="85" t="s">
        <v>103</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559"/>
      <c r="R11" s="310">
        <v>14</v>
      </c>
    </row>
    <row r="12" spans="1:18" ht="14.65" customHeight="1">
      <c r="A12" s="42"/>
      <c r="C12" s="323"/>
      <c r="D12" s="85" t="s">
        <v>86</v>
      </c>
      <c r="E12" s="324" t="str">
        <f>"Сведения о планировании закупочных процедур"&amp;IF(TEMPLATE_SPHERE="TKO"," &lt;1&gt;","")</f>
        <v>Сведения о планировании закупочных процедур</v>
      </c>
      <c r="F12" s="194"/>
      <c r="G12" s="150"/>
      <c r="H12" s="255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87</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559"/>
      <c r="I13" s="286"/>
      <c r="K13" s="310"/>
      <c r="R13" s="310">
        <v>14</v>
      </c>
    </row>
    <row r="14" spans="1:18" ht="14.65" customHeight="1">
      <c r="A14" s="280"/>
      <c r="C14" s="312"/>
      <c r="D14" s="284"/>
      <c r="E14" s="331" t="s">
        <v>313</v>
      </c>
      <c r="F14" s="285"/>
      <c r="G14" s="138"/>
      <c r="H14" s="2560"/>
      <c r="R14" s="310">
        <v>14</v>
      </c>
    </row>
    <row r="15" spans="1:18" s="2400" customFormat="1" ht="14.65" customHeight="1">
      <c r="A15" s="280"/>
      <c r="B15" s="1078"/>
      <c r="C15" s="312"/>
      <c r="D15" s="332"/>
      <c r="E15" s="1595"/>
      <c r="F15" s="1596"/>
      <c r="G15" s="1597"/>
      <c r="H15" s="1598"/>
      <c r="J15" s="1542"/>
      <c r="K15" s="1542"/>
      <c r="R15" s="1549">
        <v>14</v>
      </c>
    </row>
    <row r="16" spans="1:18" ht="14.65" customHeight="1">
      <c r="D16" s="1599"/>
      <c r="E16" s="2641"/>
      <c r="F16" s="2641"/>
      <c r="G16" s="2641"/>
      <c r="H16" s="2641"/>
      <c r="R16" s="310">
        <v>14</v>
      </c>
    </row>
    <row r="17" spans="1:18" ht="22.5" hidden="1" customHeight="1">
      <c r="A17" s="300" t="s">
        <v>78</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413" hidden="1" customWidth="1"/>
    <col min="3" max="3" width="3" style="2416" customWidth="1"/>
    <col min="4" max="4" width="6" style="2416" customWidth="1"/>
    <col min="5" max="5" width="42" style="2416" customWidth="1"/>
    <col min="6" max="6" width="15" style="2416" customWidth="1"/>
    <col min="7" max="7" width="42" style="2416" customWidth="1"/>
    <col min="8" max="8" width="3" style="2416" customWidth="1"/>
    <col min="9" max="9" width="5" style="2416" customWidth="1"/>
    <col min="10" max="10" width="47" style="2416" customWidth="1"/>
    <col min="11" max="12" width="3" style="2416" customWidth="1"/>
    <col min="13" max="13" width="5" style="2416" customWidth="1"/>
    <col min="14" max="14" width="28" style="2416" customWidth="1"/>
    <col min="15" max="16" width="3" style="2416" customWidth="1"/>
    <col min="17" max="17" width="5" style="2416" customWidth="1"/>
    <col min="18" max="18" width="34" style="2416" customWidth="1"/>
    <col min="19" max="20" width="3.7109375" style="2416" customWidth="1"/>
    <col min="21" max="21" width="5.7109375" style="2416" customWidth="1"/>
    <col min="22" max="22" width="34.42578125" style="2416" customWidth="1"/>
    <col min="23" max="23" width="30" style="2416" customWidth="1"/>
    <col min="24" max="24" width="3" style="2416" customWidth="1"/>
    <col min="25" max="28" width="9.85546875" style="2418" hidden="1" customWidth="1"/>
    <col min="29" max="29" width="27" style="2418" hidden="1" customWidth="1"/>
    <col min="30" max="30" width="10.5703125" style="2418" hidden="1" customWidth="1"/>
    <col min="31" max="31" width="10.7109375" style="2418" hidden="1" customWidth="1"/>
    <col min="32" max="32" width="10" style="2418" hidden="1" customWidth="1"/>
    <col min="33" max="33" width="12.85546875" style="2418" hidden="1" customWidth="1"/>
    <col min="34" max="34" width="24.42578125" style="2418" hidden="1" customWidth="1"/>
    <col min="35" max="35" width="15.85546875" style="2418" hidden="1" customWidth="1"/>
    <col min="36" max="36" width="19.42578125" style="2418" hidden="1" customWidth="1"/>
    <col min="37" max="37" width="11" style="2418" hidden="1" customWidth="1"/>
    <col min="38" max="38" width="23.5703125" style="2418" hidden="1" customWidth="1"/>
    <col min="39" max="39" width="23.85546875" style="2418" hidden="1" customWidth="1"/>
    <col min="40" max="40" width="25.28515625" style="2418" hidden="1" customWidth="1"/>
    <col min="41" max="41" width="16.85546875" style="2418" hidden="1" customWidth="1"/>
    <col min="42" max="42" width="29.5703125" style="2418" hidden="1" customWidth="1"/>
    <col min="43" max="43" width="29.85546875" style="2418" hidden="1" customWidth="1"/>
    <col min="44" max="44" width="9.140625" style="2416"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415" customFormat="1" ht="30.4" customHeight="1">
      <c r="A5" s="92"/>
      <c r="B5" s="92"/>
      <c r="D5" s="256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65"/>
      <c r="F5" s="2565"/>
      <c r="G5" s="2565"/>
      <c r="H5" s="2565"/>
      <c r="I5" s="2565"/>
      <c r="J5" s="2566"/>
      <c r="K5" s="202"/>
      <c r="L5" s="81"/>
      <c r="M5" s="81"/>
      <c r="N5" s="81"/>
      <c r="O5" s="81"/>
      <c r="P5" s="81"/>
      <c r="Q5" s="81"/>
      <c r="R5" s="81"/>
      <c r="S5" s="227"/>
      <c r="T5" s="227"/>
      <c r="U5" s="227"/>
      <c r="V5" s="227"/>
      <c r="W5" s="81"/>
      <c r="Y5" s="1178"/>
      <c r="Z5" s="1178"/>
      <c r="AA5" s="1178"/>
      <c r="AB5" s="1178"/>
      <c r="AC5" s="1178"/>
      <c r="AD5" s="1178"/>
      <c r="AE5" s="1178"/>
      <c r="AF5" s="1178"/>
      <c r="AG5" s="1178"/>
      <c r="AH5" s="1178"/>
      <c r="AI5" s="1178"/>
      <c r="AJ5" s="1178"/>
      <c r="AK5" s="1178"/>
      <c r="AL5" s="1178"/>
      <c r="AM5" s="1178"/>
      <c r="AN5" s="1178"/>
      <c r="AO5" s="1178"/>
      <c r="AP5" s="1178"/>
      <c r="AQ5" s="1178"/>
      <c r="AR5" s="51">
        <v>29</v>
      </c>
    </row>
    <row r="6" spans="1:44" s="2415" customFormat="1" ht="14.65" customHeight="1">
      <c r="A6" s="521"/>
      <c r="B6" s="521"/>
      <c r="C6" s="521"/>
      <c r="D6" s="2570" t="str">
        <f>IF(org=0,"Не определено",org)</f>
        <v>ПАО "ТГК-1" (филиал "Кольский")</v>
      </c>
      <c r="E6" s="2570"/>
      <c r="F6" s="2570"/>
      <c r="G6" s="2570"/>
      <c r="H6" s="2570"/>
      <c r="I6" s="2570"/>
      <c r="J6" s="2570"/>
      <c r="K6" s="522"/>
      <c r="L6" s="522"/>
      <c r="M6" s="522"/>
      <c r="N6" s="522"/>
      <c r="O6" s="796"/>
      <c r="P6" s="796"/>
      <c r="Q6" s="796"/>
      <c r="R6" s="796"/>
      <c r="S6" s="796"/>
      <c r="T6" s="796"/>
      <c r="U6" s="796"/>
      <c r="V6" s="796"/>
      <c r="W6" s="796"/>
      <c r="X6" s="522"/>
      <c r="Y6" s="1179"/>
      <c r="Z6" s="1179"/>
      <c r="AA6" s="1179"/>
      <c r="AB6" s="1179"/>
      <c r="AC6" s="1179"/>
      <c r="AD6" s="1179"/>
      <c r="AE6" s="1179"/>
      <c r="AF6" s="1179"/>
      <c r="AG6" s="1179"/>
      <c r="AH6" s="1179"/>
      <c r="AI6" s="1179"/>
      <c r="AJ6" s="1179"/>
      <c r="AK6" s="1179"/>
      <c r="AL6" s="1179"/>
      <c r="AM6" s="1179"/>
      <c r="AN6" s="1179"/>
      <c r="AO6" s="1179"/>
      <c r="AP6" s="1179"/>
      <c r="AQ6" s="1179"/>
      <c r="AR6" s="523">
        <v>14</v>
      </c>
    </row>
    <row r="7" spans="1:44" s="2419" customFormat="1" ht="11.45" customHeight="1">
      <c r="A7" s="148"/>
      <c r="B7" s="148"/>
      <c r="D7" s="2567"/>
      <c r="E7" s="2568"/>
      <c r="F7" s="2568"/>
      <c r="G7" s="2568"/>
      <c r="H7" s="2568"/>
      <c r="I7" s="2568"/>
      <c r="J7" s="2569"/>
      <c r="S7" s="236"/>
      <c r="T7" s="236"/>
      <c r="U7" s="236"/>
      <c r="V7" s="236"/>
      <c r="Y7" s="1180"/>
      <c r="Z7" s="1180"/>
      <c r="AA7" s="1180"/>
      <c r="AB7" s="1180"/>
      <c r="AC7" s="1180"/>
      <c r="AD7" s="1180"/>
      <c r="AE7" s="1180"/>
      <c r="AF7" s="1180"/>
      <c r="AG7" s="1180"/>
      <c r="AH7" s="1180"/>
      <c r="AI7" s="1180"/>
      <c r="AJ7" s="1180"/>
      <c r="AK7" s="1180"/>
      <c r="AL7" s="1180"/>
      <c r="AM7" s="1180"/>
      <c r="AN7" s="1180"/>
      <c r="AO7" s="1180"/>
      <c r="AP7" s="1180"/>
      <c r="AQ7" s="1180"/>
      <c r="AR7" s="213">
        <v>11</v>
      </c>
    </row>
    <row r="8" spans="1:44" s="2415"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8"/>
      <c r="Z8" s="1178"/>
      <c r="AA8" s="1178"/>
      <c r="AB8" s="1178"/>
      <c r="AC8" s="1178"/>
      <c r="AD8" s="1178"/>
      <c r="AE8" s="1178"/>
      <c r="AF8" s="1178"/>
      <c r="AG8" s="1178"/>
      <c r="AH8" s="1178"/>
      <c r="AI8" s="1178"/>
      <c r="AJ8" s="1178"/>
      <c r="AK8" s="1178"/>
      <c r="AL8" s="1178"/>
      <c r="AM8" s="1178"/>
      <c r="AN8" s="1178"/>
      <c r="AO8" s="1178"/>
      <c r="AP8" s="1178"/>
      <c r="AQ8" s="1178"/>
      <c r="AR8" s="51">
        <v>1</v>
      </c>
    </row>
    <row r="9" spans="1:44" ht="28.5" customHeight="1">
      <c r="D9" s="2514" t="s">
        <v>84</v>
      </c>
      <c r="E9" s="2496" t="s">
        <v>115</v>
      </c>
      <c r="F9" s="2495"/>
      <c r="G9" s="2514" t="s">
        <v>98</v>
      </c>
      <c r="H9" s="2514" t="s">
        <v>84</v>
      </c>
      <c r="I9" s="2514"/>
      <c r="J9" s="2514" t="s">
        <v>116</v>
      </c>
      <c r="K9" s="2571" t="s">
        <v>117</v>
      </c>
      <c r="L9" s="2571"/>
      <c r="M9" s="2571"/>
      <c r="N9" s="2571"/>
      <c r="O9" s="2571" t="s">
        <v>118</v>
      </c>
      <c r="P9" s="2571"/>
      <c r="Q9" s="2571"/>
      <c r="R9" s="2571"/>
      <c r="S9" s="2571" t="s">
        <v>119</v>
      </c>
      <c r="T9" s="2571"/>
      <c r="U9" s="2571"/>
      <c r="V9" s="2571"/>
      <c r="W9" s="2514" t="s">
        <v>120</v>
      </c>
      <c r="AR9" s="44">
        <v>27</v>
      </c>
    </row>
    <row r="10" spans="1:44" ht="31.5" customHeight="1">
      <c r="D10" s="2514"/>
      <c r="E10" s="1202" t="s">
        <v>85</v>
      </c>
      <c r="F10" s="1202" t="s">
        <v>121</v>
      </c>
      <c r="G10" s="2514"/>
      <c r="H10" s="2514"/>
      <c r="I10" s="2514"/>
      <c r="J10" s="2514"/>
      <c r="K10" s="50" t="s">
        <v>101</v>
      </c>
      <c r="L10" s="2514" t="s">
        <v>84</v>
      </c>
      <c r="M10" s="2514"/>
      <c r="N10" s="50" t="s">
        <v>122</v>
      </c>
      <c r="O10" s="50" t="s">
        <v>101</v>
      </c>
      <c r="P10" s="2514" t="s">
        <v>84</v>
      </c>
      <c r="Q10" s="2514"/>
      <c r="R10" s="50" t="s">
        <v>122</v>
      </c>
      <c r="S10" s="220" t="s">
        <v>101</v>
      </c>
      <c r="T10" s="2514" t="s">
        <v>84</v>
      </c>
      <c r="U10" s="2514"/>
      <c r="V10" s="220" t="s">
        <v>85</v>
      </c>
      <c r="W10" s="2514"/>
      <c r="Z10" s="1177" t="s">
        <v>123</v>
      </c>
      <c r="AA10" s="1177" t="s">
        <v>124</v>
      </c>
      <c r="AB10" s="1177" t="s">
        <v>125</v>
      </c>
      <c r="AC10" s="1177" t="s">
        <v>126</v>
      </c>
      <c r="AD10" s="1177" t="s">
        <v>127</v>
      </c>
      <c r="AE10" s="1177" t="s">
        <v>128</v>
      </c>
      <c r="AF10" s="1177" t="s">
        <v>129</v>
      </c>
      <c r="AG10" s="1177" t="s">
        <v>130</v>
      </c>
      <c r="AH10" s="1177" t="s">
        <v>131</v>
      </c>
      <c r="AI10" s="1177" t="s">
        <v>132</v>
      </c>
      <c r="AJ10" s="1177" t="s">
        <v>133</v>
      </c>
      <c r="AK10" s="1177" t="s">
        <v>134</v>
      </c>
      <c r="AL10" s="1177" t="s">
        <v>135</v>
      </c>
      <c r="AM10" s="1177" t="s">
        <v>136</v>
      </c>
      <c r="AN10" s="1177" t="s">
        <v>137</v>
      </c>
      <c r="AO10" s="1177" t="s">
        <v>138</v>
      </c>
      <c r="AP10" s="1177" t="s">
        <v>139</v>
      </c>
      <c r="AQ10" s="1177" t="s">
        <v>140</v>
      </c>
      <c r="AR10" s="44">
        <v>30</v>
      </c>
    </row>
    <row r="11" spans="1:44" s="2413" customFormat="1" ht="12" hidden="1" customHeight="1">
      <c r="D11" s="1167" t="s">
        <v>102</v>
      </c>
      <c r="E11" s="1167" t="s">
        <v>103</v>
      </c>
      <c r="F11" s="1167"/>
      <c r="G11" s="1167" t="s">
        <v>86</v>
      </c>
      <c r="H11" s="2563" t="s">
        <v>104</v>
      </c>
      <c r="I11" s="2563"/>
      <c r="J11" s="1167" t="s">
        <v>88</v>
      </c>
      <c r="K11" s="1167" t="s">
        <v>89</v>
      </c>
      <c r="L11" s="2563" t="s">
        <v>105</v>
      </c>
      <c r="M11" s="2563"/>
      <c r="N11" s="1167" t="s">
        <v>141</v>
      </c>
      <c r="O11" s="1167" t="s">
        <v>142</v>
      </c>
      <c r="P11" s="2563" t="s">
        <v>143</v>
      </c>
      <c r="Q11" s="2563"/>
      <c r="R11" s="1167" t="s">
        <v>144</v>
      </c>
      <c r="S11" s="1167" t="s">
        <v>143</v>
      </c>
      <c r="T11" s="2563" t="s">
        <v>144</v>
      </c>
      <c r="U11" s="2563"/>
      <c r="V11" s="1167" t="s">
        <v>145</v>
      </c>
      <c r="W11" s="1167" t="s">
        <v>146</v>
      </c>
      <c r="Y11" s="1177"/>
      <c r="Z11" s="1177"/>
      <c r="AA11" s="1177"/>
      <c r="AB11" s="1177"/>
      <c r="AC11" s="1177"/>
      <c r="AD11" s="1177"/>
      <c r="AE11" s="1177"/>
      <c r="AF11" s="1177"/>
      <c r="AG11" s="1177"/>
      <c r="AH11" s="1177"/>
      <c r="AI11" s="1177"/>
      <c r="AJ11" s="1177"/>
      <c r="AK11" s="1177"/>
      <c r="AL11" s="1177"/>
      <c r="AM11" s="1177"/>
      <c r="AN11" s="1177"/>
      <c r="AO11" s="1177"/>
      <c r="AP11" s="1177"/>
      <c r="AQ11" s="1177"/>
      <c r="AR11" s="214">
        <v>0</v>
      </c>
    </row>
    <row r="12" spans="1:44" ht="14.25" hidden="1" customHeight="1">
      <c r="C12" s="146"/>
      <c r="D12" s="1200">
        <v>0</v>
      </c>
      <c r="E12" s="187"/>
      <c r="F12" s="187"/>
      <c r="G12" s="187"/>
      <c r="H12" s="188"/>
      <c r="I12" s="188"/>
      <c r="J12" s="96"/>
      <c r="K12" s="52"/>
      <c r="L12" s="96"/>
      <c r="M12" s="96"/>
      <c r="N12" s="189"/>
      <c r="O12" s="52"/>
      <c r="P12" s="96"/>
      <c r="Q12" s="96"/>
      <c r="R12" s="190"/>
      <c r="S12" s="221"/>
      <c r="T12" s="229"/>
      <c r="U12" s="229"/>
      <c r="V12" s="233"/>
      <c r="W12" s="52"/>
      <c r="X12" s="80"/>
      <c r="AR12" s="44">
        <v>0</v>
      </c>
    </row>
    <row r="13" spans="1:44" s="2416" customFormat="1" ht="17.25" hidden="1" customHeight="1">
      <c r="A13" s="258"/>
      <c r="C13" s="146"/>
      <c r="D13" s="2547">
        <v>1</v>
      </c>
      <c r="E13" s="2536" t="s">
        <v>147</v>
      </c>
      <c r="F13" s="2549" t="s">
        <v>19</v>
      </c>
      <c r="G13" s="2536"/>
      <c r="H13" s="2538"/>
      <c r="I13" s="2540"/>
      <c r="J13" s="2542"/>
      <c r="K13" s="2534"/>
      <c r="L13" s="2534"/>
      <c r="M13" s="2534"/>
      <c r="N13" s="2545"/>
      <c r="O13" s="2534"/>
      <c r="P13" s="2534"/>
      <c r="Q13" s="2534"/>
      <c r="R13" s="2532"/>
      <c r="S13" s="2534"/>
      <c r="T13" s="1338"/>
      <c r="U13" s="1338"/>
      <c r="V13" s="1337"/>
      <c r="W13" s="1214"/>
      <c r="Y13" s="1185"/>
      <c r="Z13" s="1185"/>
      <c r="AA13" s="1185"/>
      <c r="AB13" s="1185"/>
      <c r="AC13" s="1185" t="s">
        <v>148</v>
      </c>
      <c r="AD13" s="1185" t="s">
        <v>149</v>
      </c>
      <c r="AE13" s="1185" t="s">
        <v>150</v>
      </c>
      <c r="AF13" s="1185" t="s">
        <v>151</v>
      </c>
      <c r="AG13" s="1185" t="s">
        <v>152</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6">
        <v>0</v>
      </c>
    </row>
    <row r="14" spans="1:44" s="2416" customFormat="1" ht="17.25" hidden="1" customHeight="1">
      <c r="A14" s="258"/>
      <c r="C14" s="257"/>
      <c r="D14" s="2547"/>
      <c r="E14" s="2536"/>
      <c r="F14" s="2550"/>
      <c r="G14" s="2536"/>
      <c r="H14" s="2539"/>
      <c r="I14" s="2541"/>
      <c r="J14" s="2543"/>
      <c r="K14" s="2535"/>
      <c r="L14" s="2535"/>
      <c r="M14" s="2535"/>
      <c r="N14" s="2546"/>
      <c r="O14" s="2535"/>
      <c r="P14" s="2535"/>
      <c r="Q14" s="2535"/>
      <c r="R14" s="2533"/>
      <c r="S14" s="2535"/>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6">
        <v>0</v>
      </c>
    </row>
    <row r="15" spans="1:44" s="2416" customFormat="1" ht="17.25" hidden="1" customHeight="1">
      <c r="A15" s="258"/>
      <c r="C15" s="146"/>
      <c r="D15" s="2547"/>
      <c r="E15" s="2536"/>
      <c r="F15" s="2550"/>
      <c r="G15" s="2536"/>
      <c r="H15" s="2539"/>
      <c r="I15" s="2541"/>
      <c r="J15" s="2544"/>
      <c r="K15" s="2535"/>
      <c r="L15" s="2535"/>
      <c r="M15" s="2535"/>
      <c r="N15" s="2533"/>
      <c r="O15" s="2535"/>
      <c r="P15" s="1336"/>
      <c r="Q15" s="1215"/>
      <c r="R15" s="1215"/>
      <c r="S15" s="266"/>
      <c r="T15" s="266"/>
      <c r="U15" s="266"/>
      <c r="V15" s="266"/>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416" customFormat="1" ht="17.25" hidden="1" customHeight="1">
      <c r="A16" s="258"/>
      <c r="C16" s="257"/>
      <c r="D16" s="2547"/>
      <c r="E16" s="2536"/>
      <c r="F16" s="2550"/>
      <c r="G16" s="2536"/>
      <c r="H16" s="2539"/>
      <c r="I16" s="2541"/>
      <c r="J16" s="2544"/>
      <c r="K16" s="2535"/>
      <c r="L16" s="1215"/>
      <c r="M16" s="1215"/>
      <c r="N16" s="1215"/>
      <c r="O16" s="1215"/>
      <c r="P16" s="1215"/>
      <c r="Q16" s="1215"/>
      <c r="R16" s="1215"/>
      <c r="S16" s="266"/>
      <c r="T16" s="266"/>
      <c r="U16" s="266"/>
      <c r="V16" s="266"/>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416" customFormat="1" ht="17.25" hidden="1" customHeight="1">
      <c r="A17" s="258"/>
      <c r="C17" s="257"/>
      <c r="D17" s="2548"/>
      <c r="E17" s="2537"/>
      <c r="F17" s="2551"/>
      <c r="G17" s="2537"/>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6">
        <v>0</v>
      </c>
    </row>
    <row r="18" spans="1:44" s="2416" customFormat="1" ht="17.25" hidden="1" customHeight="1">
      <c r="A18" s="258"/>
      <c r="C18" s="146"/>
      <c r="D18" s="2547">
        <v>2</v>
      </c>
      <c r="E18" s="2561"/>
      <c r="F18" s="2549" t="s">
        <v>19</v>
      </c>
      <c r="G18" s="2536"/>
      <c r="H18" s="2538"/>
      <c r="I18" s="2540"/>
      <c r="J18" s="2542"/>
      <c r="K18" s="2534"/>
      <c r="L18" s="2534"/>
      <c r="M18" s="2534"/>
      <c r="N18" s="2545"/>
      <c r="O18" s="2534"/>
      <c r="P18" s="2534"/>
      <c r="Q18" s="2534"/>
      <c r="R18" s="2532"/>
      <c r="S18" s="2534"/>
      <c r="T18" s="1338"/>
      <c r="U18" s="1338"/>
      <c r="V18" s="1337"/>
      <c r="W18" s="1214"/>
      <c r="X18" s="1185"/>
      <c r="Y18" s="1185"/>
      <c r="Z18" s="1185"/>
      <c r="AA18" s="1185"/>
      <c r="AB18" s="1185"/>
      <c r="AC18" s="1185" t="s">
        <v>153</v>
      </c>
      <c r="AD18" s="1185" t="s">
        <v>154</v>
      </c>
      <c r="AE18" s="1185" t="s">
        <v>155</v>
      </c>
      <c r="AF18" s="1185" t="s">
        <v>156</v>
      </c>
      <c r="AG18" s="1185" t="s">
        <v>157</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9">
        <f>$I$18</f>
        <v>0</v>
      </c>
      <c r="AO18" s="1185" t="str">
        <f>$I$18&amp;"."&amp;$M$18</f>
        <v>.</v>
      </c>
      <c r="AP18" s="1177" t="str">
        <f>$I$18&amp;"."&amp;$M$18&amp;"."&amp;$Q$18</f>
        <v>..</v>
      </c>
      <c r="AQ18" s="1177" t="str">
        <f>$I$18&amp;"."&amp;$M$18&amp;"."&amp;$Q$18&amp;"."&amp;$U$18</f>
        <v>...</v>
      </c>
      <c r="AR18" s="1201">
        <v>0</v>
      </c>
    </row>
    <row r="19" spans="1:44" s="2416" customFormat="1" ht="17.25" hidden="1" customHeight="1">
      <c r="A19" s="258"/>
      <c r="C19" s="257"/>
      <c r="D19" s="2547"/>
      <c r="E19" s="2561"/>
      <c r="F19" s="2550"/>
      <c r="G19" s="2536"/>
      <c r="H19" s="2539"/>
      <c r="I19" s="2541"/>
      <c r="J19" s="2543"/>
      <c r="K19" s="2535"/>
      <c r="L19" s="2535"/>
      <c r="M19" s="2535"/>
      <c r="N19" s="2546"/>
      <c r="O19" s="2535"/>
      <c r="P19" s="2535"/>
      <c r="Q19" s="2535"/>
      <c r="R19" s="2533"/>
      <c r="S19" s="2535"/>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416" customFormat="1" ht="17.25" hidden="1" customHeight="1">
      <c r="A20" s="258"/>
      <c r="C20" s="257"/>
      <c r="D20" s="2548"/>
      <c r="E20" s="2562"/>
      <c r="F20" s="2550"/>
      <c r="G20" s="2537"/>
      <c r="H20" s="2539"/>
      <c r="I20" s="2541"/>
      <c r="J20" s="2544"/>
      <c r="K20" s="2535"/>
      <c r="L20" s="2535"/>
      <c r="M20" s="2535"/>
      <c r="N20" s="2533"/>
      <c r="O20" s="2535"/>
      <c r="P20" s="1336"/>
      <c r="Q20" s="1215"/>
      <c r="R20" s="1215"/>
      <c r="S20" s="266"/>
      <c r="T20" s="266"/>
      <c r="U20" s="266"/>
      <c r="V20" s="266"/>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416" customFormat="1" ht="17.25" hidden="1" customHeight="1">
      <c r="A21" s="258"/>
      <c r="C21" s="257"/>
      <c r="D21" s="2548"/>
      <c r="E21" s="2562"/>
      <c r="F21" s="2550"/>
      <c r="G21" s="2537"/>
      <c r="H21" s="2539"/>
      <c r="I21" s="2541"/>
      <c r="J21" s="2544"/>
      <c r="K21" s="2535"/>
      <c r="L21" s="1215"/>
      <c r="M21" s="1215"/>
      <c r="N21" s="1215"/>
      <c r="O21" s="1215"/>
      <c r="P21" s="1215"/>
      <c r="Q21" s="1215"/>
      <c r="R21" s="1215"/>
      <c r="S21" s="266"/>
      <c r="T21" s="266"/>
      <c r="U21" s="266"/>
      <c r="V21" s="266"/>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416" customFormat="1" ht="17.25" hidden="1" customHeight="1">
      <c r="A22" s="258"/>
      <c r="C22" s="257"/>
      <c r="D22" s="2548"/>
      <c r="E22" s="2562"/>
      <c r="F22" s="2551"/>
      <c r="G22" s="2537"/>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416" customFormat="1" ht="17.25" hidden="1" customHeight="1">
      <c r="A23" s="258"/>
      <c r="C23" s="146"/>
      <c r="D23" s="2547">
        <v>2</v>
      </c>
      <c r="E23" s="2536" t="s">
        <v>158</v>
      </c>
      <c r="F23" s="2549" t="s">
        <v>19</v>
      </c>
      <c r="G23" s="2536"/>
      <c r="H23" s="2538"/>
      <c r="I23" s="2540"/>
      <c r="J23" s="2542"/>
      <c r="K23" s="2534"/>
      <c r="L23" s="2534"/>
      <c r="M23" s="2534"/>
      <c r="N23" s="2545"/>
      <c r="O23" s="2534"/>
      <c r="P23" s="2534"/>
      <c r="Q23" s="2534"/>
      <c r="R23" s="2532"/>
      <c r="S23" s="2534"/>
      <c r="T23" s="1910"/>
      <c r="U23" s="1910"/>
      <c r="V23" s="1912"/>
      <c r="W23" s="1214"/>
      <c r="X23" s="1185"/>
      <c r="Y23" s="1185"/>
      <c r="Z23" s="1185"/>
      <c r="AA23" s="1185"/>
      <c r="AB23" s="1185"/>
      <c r="AC23" s="1185" t="s">
        <v>153</v>
      </c>
      <c r="AD23" s="1185" t="s">
        <v>154</v>
      </c>
      <c r="AE23" s="1185" t="s">
        <v>155</v>
      </c>
      <c r="AF23" s="1185" t="s">
        <v>156</v>
      </c>
      <c r="AG23" s="1185" t="s">
        <v>157</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9">
        <f>$I$23</f>
        <v>0</v>
      </c>
      <c r="AO23" s="1185" t="str">
        <f>$I$23&amp;"."&amp;$M$23</f>
        <v>.</v>
      </c>
      <c r="AP23" s="1184" t="str">
        <f>$I$23&amp;"."&amp;$M$23&amp;"."&amp;$Q$23</f>
        <v>..</v>
      </c>
      <c r="AQ23" s="1184" t="str">
        <f>$I$23&amp;"."&amp;$M$23&amp;"."&amp;$Q$23&amp;"."&amp;$U$23</f>
        <v>...</v>
      </c>
      <c r="AR23" s="1385">
        <v>0</v>
      </c>
    </row>
    <row r="24" spans="1:44" s="2416" customFormat="1" ht="17.25" hidden="1" customHeight="1">
      <c r="A24" s="258"/>
      <c r="C24" s="257"/>
      <c r="D24" s="2547"/>
      <c r="E24" s="2536"/>
      <c r="F24" s="2550"/>
      <c r="G24" s="2536"/>
      <c r="H24" s="2539"/>
      <c r="I24" s="2541"/>
      <c r="J24" s="2543"/>
      <c r="K24" s="2535"/>
      <c r="L24" s="2535"/>
      <c r="M24" s="2535"/>
      <c r="N24" s="2546"/>
      <c r="O24" s="2535"/>
      <c r="P24" s="2535"/>
      <c r="Q24" s="2535"/>
      <c r="R24" s="2533"/>
      <c r="S24" s="2535"/>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416" customFormat="1" ht="17.25" hidden="1" customHeight="1">
      <c r="A25" s="258"/>
      <c r="C25" s="257"/>
      <c r="D25" s="2548"/>
      <c r="E25" s="2537"/>
      <c r="F25" s="2550"/>
      <c r="G25" s="2537"/>
      <c r="H25" s="2539"/>
      <c r="I25" s="2541"/>
      <c r="J25" s="2544"/>
      <c r="K25" s="2535"/>
      <c r="L25" s="2535"/>
      <c r="M25" s="2535"/>
      <c r="N25" s="2533"/>
      <c r="O25" s="2535"/>
      <c r="P25" s="1911"/>
      <c r="Q25" s="1915"/>
      <c r="R25" s="1915"/>
      <c r="S25" s="266"/>
      <c r="T25" s="266"/>
      <c r="U25" s="266"/>
      <c r="V25" s="266"/>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416" customFormat="1" ht="17.25" hidden="1" customHeight="1">
      <c r="A26" s="258"/>
      <c r="C26" s="257"/>
      <c r="D26" s="2548"/>
      <c r="E26" s="2537"/>
      <c r="F26" s="2550"/>
      <c r="G26" s="2537"/>
      <c r="H26" s="2539"/>
      <c r="I26" s="2541"/>
      <c r="J26" s="2544"/>
      <c r="K26" s="2535"/>
      <c r="L26" s="1915"/>
      <c r="M26" s="1915"/>
      <c r="N26" s="1915"/>
      <c r="O26" s="1915"/>
      <c r="P26" s="1915"/>
      <c r="Q26" s="1915"/>
      <c r="R26" s="1915"/>
      <c r="S26" s="266"/>
      <c r="T26" s="266"/>
      <c r="U26" s="266"/>
      <c r="V26" s="266"/>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416" customFormat="1" ht="17.25" hidden="1" customHeight="1">
      <c r="A27" s="258"/>
      <c r="C27" s="257"/>
      <c r="D27" s="2548"/>
      <c r="E27" s="2537"/>
      <c r="F27" s="2551"/>
      <c r="G27" s="2537"/>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416" customFormat="1" ht="17.25" hidden="1" customHeight="1">
      <c r="A28" s="258"/>
      <c r="C28" s="146"/>
      <c r="D28" s="2547">
        <v>3</v>
      </c>
      <c r="E28" s="2536" t="s">
        <v>159</v>
      </c>
      <c r="F28" s="2549" t="s">
        <v>19</v>
      </c>
      <c r="G28" s="2536"/>
      <c r="H28" s="2538"/>
      <c r="I28" s="2540"/>
      <c r="J28" s="2542"/>
      <c r="K28" s="2534"/>
      <c r="L28" s="2534"/>
      <c r="M28" s="2534"/>
      <c r="N28" s="2545"/>
      <c r="O28" s="2534"/>
      <c r="P28" s="2534"/>
      <c r="Q28" s="2534"/>
      <c r="R28" s="2532"/>
      <c r="S28" s="2534"/>
      <c r="T28" s="1338"/>
      <c r="U28" s="1338"/>
      <c r="V28" s="1337"/>
      <c r="W28" s="1214"/>
      <c r="X28" s="1185"/>
      <c r="Y28" s="1185"/>
      <c r="Z28" s="1185"/>
      <c r="AA28" s="1185"/>
      <c r="AB28" s="1185"/>
      <c r="AC28" s="1185" t="s">
        <v>160</v>
      </c>
      <c r="AD28" s="1185" t="s">
        <v>161</v>
      </c>
      <c r="AE28" s="1185" t="s">
        <v>162</v>
      </c>
      <c r="AF28" s="1185" t="s">
        <v>163</v>
      </c>
      <c r="AG28" s="1185" t="s">
        <v>164</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416" customFormat="1" ht="17.25" hidden="1" customHeight="1">
      <c r="A29" s="258"/>
      <c r="C29" s="257"/>
      <c r="D29" s="2547"/>
      <c r="E29" s="2536"/>
      <c r="F29" s="2550"/>
      <c r="G29" s="2536"/>
      <c r="H29" s="2539"/>
      <c r="I29" s="2541"/>
      <c r="J29" s="2543"/>
      <c r="K29" s="2535"/>
      <c r="L29" s="2535"/>
      <c r="M29" s="2535"/>
      <c r="N29" s="2546"/>
      <c r="O29" s="2535"/>
      <c r="P29" s="2535"/>
      <c r="Q29" s="2535"/>
      <c r="R29" s="2533"/>
      <c r="S29" s="2535"/>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416" customFormat="1" ht="17.25" hidden="1" customHeight="1">
      <c r="A30" s="258"/>
      <c r="C30" s="257"/>
      <c r="D30" s="2548"/>
      <c r="E30" s="2537"/>
      <c r="F30" s="2550"/>
      <c r="G30" s="2537"/>
      <c r="H30" s="2539"/>
      <c r="I30" s="2541"/>
      <c r="J30" s="2544"/>
      <c r="K30" s="2535"/>
      <c r="L30" s="2535"/>
      <c r="M30" s="2535"/>
      <c r="N30" s="2533"/>
      <c r="O30" s="2535"/>
      <c r="P30" s="1336"/>
      <c r="Q30" s="1215"/>
      <c r="R30" s="1215"/>
      <c r="S30" s="266"/>
      <c r="T30" s="266"/>
      <c r="U30" s="266"/>
      <c r="V30" s="266"/>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416" customFormat="1" ht="17.25" hidden="1" customHeight="1">
      <c r="A31" s="258"/>
      <c r="C31" s="257"/>
      <c r="D31" s="2548"/>
      <c r="E31" s="2537"/>
      <c r="F31" s="2550"/>
      <c r="G31" s="2537"/>
      <c r="H31" s="2539"/>
      <c r="I31" s="2541"/>
      <c r="J31" s="2544"/>
      <c r="K31" s="2535"/>
      <c r="L31" s="1215"/>
      <c r="M31" s="1215"/>
      <c r="N31" s="1215"/>
      <c r="O31" s="1215"/>
      <c r="P31" s="1215"/>
      <c r="Q31" s="1215"/>
      <c r="R31" s="1215"/>
      <c r="S31" s="266"/>
      <c r="T31" s="266"/>
      <c r="U31" s="266"/>
      <c r="V31" s="266"/>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416" customFormat="1" ht="17.25" hidden="1" customHeight="1">
      <c r="A32" s="258"/>
      <c r="C32" s="257"/>
      <c r="D32" s="2548"/>
      <c r="E32" s="2537"/>
      <c r="F32" s="2551"/>
      <c r="G32" s="2537"/>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416" customFormat="1" ht="17.25" hidden="1" customHeight="1">
      <c r="A33" s="258"/>
      <c r="C33" s="146"/>
      <c r="D33" s="2547">
        <v>4</v>
      </c>
      <c r="E33" s="2536" t="s">
        <v>165</v>
      </c>
      <c r="F33" s="2549" t="s">
        <v>19</v>
      </c>
      <c r="G33" s="2536"/>
      <c r="H33" s="2538"/>
      <c r="I33" s="2540"/>
      <c r="J33" s="2542"/>
      <c r="K33" s="2534"/>
      <c r="L33" s="2534"/>
      <c r="M33" s="2534"/>
      <c r="N33" s="2545"/>
      <c r="O33" s="2534"/>
      <c r="P33" s="2534"/>
      <c r="Q33" s="2534"/>
      <c r="R33" s="2532"/>
      <c r="S33" s="2534"/>
      <c r="T33" s="1338"/>
      <c r="U33" s="1338"/>
      <c r="V33" s="1337"/>
      <c r="W33" s="1214"/>
      <c r="X33" s="1185"/>
      <c r="Y33" s="1185"/>
      <c r="Z33" s="1185"/>
      <c r="AA33" s="1185"/>
      <c r="AB33" s="1185"/>
      <c r="AC33" s="1185" t="s">
        <v>166</v>
      </c>
      <c r="AD33" s="1185" t="s">
        <v>167</v>
      </c>
      <c r="AE33" s="1185" t="s">
        <v>168</v>
      </c>
      <c r="AF33" s="1185" t="s">
        <v>169</v>
      </c>
      <c r="AG33" s="1185" t="s">
        <v>170</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416" customFormat="1" ht="17.25" hidden="1" customHeight="1">
      <c r="A34" s="258"/>
      <c r="C34" s="257"/>
      <c r="D34" s="2547"/>
      <c r="E34" s="2536"/>
      <c r="F34" s="2550"/>
      <c r="G34" s="2536"/>
      <c r="H34" s="2539"/>
      <c r="I34" s="2541"/>
      <c r="J34" s="2543"/>
      <c r="K34" s="2535"/>
      <c r="L34" s="2535"/>
      <c r="M34" s="2535"/>
      <c r="N34" s="2546"/>
      <c r="O34" s="2535"/>
      <c r="P34" s="2535"/>
      <c r="Q34" s="2535"/>
      <c r="R34" s="2533"/>
      <c r="S34" s="2535"/>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416" customFormat="1" ht="17.25" hidden="1" customHeight="1">
      <c r="A35" s="258"/>
      <c r="C35" s="257"/>
      <c r="D35" s="2548"/>
      <c r="E35" s="2537"/>
      <c r="F35" s="2550"/>
      <c r="G35" s="2537"/>
      <c r="H35" s="2539"/>
      <c r="I35" s="2541"/>
      <c r="J35" s="2544"/>
      <c r="K35" s="2535"/>
      <c r="L35" s="2535"/>
      <c r="M35" s="2535"/>
      <c r="N35" s="2533"/>
      <c r="O35" s="2535"/>
      <c r="P35" s="1336"/>
      <c r="Q35" s="1215"/>
      <c r="R35" s="1215"/>
      <c r="S35" s="266"/>
      <c r="T35" s="266"/>
      <c r="U35" s="266"/>
      <c r="V35" s="266"/>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416" customFormat="1" ht="17.25" hidden="1" customHeight="1">
      <c r="A36" s="258"/>
      <c r="C36" s="257"/>
      <c r="D36" s="2548"/>
      <c r="E36" s="2537"/>
      <c r="F36" s="2550"/>
      <c r="G36" s="2537"/>
      <c r="H36" s="2539"/>
      <c r="I36" s="2541"/>
      <c r="J36" s="2544"/>
      <c r="K36" s="2535"/>
      <c r="L36" s="1215"/>
      <c r="M36" s="1215"/>
      <c r="N36" s="1215"/>
      <c r="O36" s="1215"/>
      <c r="P36" s="1215"/>
      <c r="Q36" s="1215"/>
      <c r="R36" s="1215"/>
      <c r="S36" s="266"/>
      <c r="T36" s="266"/>
      <c r="U36" s="266"/>
      <c r="V36" s="266"/>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416" customFormat="1" ht="17.25" hidden="1" customHeight="1">
      <c r="A37" s="258"/>
      <c r="C37" s="257"/>
      <c r="D37" s="2548"/>
      <c r="E37" s="2537"/>
      <c r="F37" s="2551"/>
      <c r="G37" s="2537"/>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416" customFormat="1" ht="17.25" hidden="1" customHeight="1">
      <c r="A38" s="258"/>
      <c r="C38" s="146"/>
      <c r="D38" s="2547">
        <v>5</v>
      </c>
      <c r="E38" s="2536" t="s">
        <v>171</v>
      </c>
      <c r="F38" s="2549" t="s">
        <v>19</v>
      </c>
      <c r="G38" s="2536"/>
      <c r="H38" s="2538"/>
      <c r="I38" s="2540"/>
      <c r="J38" s="2542"/>
      <c r="K38" s="2534"/>
      <c r="L38" s="2534"/>
      <c r="M38" s="2534"/>
      <c r="N38" s="2545"/>
      <c r="O38" s="2534"/>
      <c r="P38" s="2534"/>
      <c r="Q38" s="2534"/>
      <c r="R38" s="2532"/>
      <c r="S38" s="2534"/>
      <c r="T38" s="1338"/>
      <c r="U38" s="1338"/>
      <c r="V38" s="1337"/>
      <c r="W38" s="1214"/>
      <c r="X38" s="1185"/>
      <c r="Y38" s="1185"/>
      <c r="Z38" s="1185"/>
      <c r="AA38" s="1185"/>
      <c r="AB38" s="1185"/>
      <c r="AC38" s="1185" t="s">
        <v>172</v>
      </c>
      <c r="AD38" s="1185" t="s">
        <v>173</v>
      </c>
      <c r="AE38" s="1185" t="s">
        <v>174</v>
      </c>
      <c r="AF38" s="1185" t="s">
        <v>175</v>
      </c>
      <c r="AG38" s="1185" t="s">
        <v>176</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416" customFormat="1" ht="17.25" hidden="1" customHeight="1">
      <c r="A39" s="258"/>
      <c r="C39" s="257"/>
      <c r="D39" s="2547"/>
      <c r="E39" s="2536"/>
      <c r="F39" s="2550"/>
      <c r="G39" s="2536"/>
      <c r="H39" s="2539"/>
      <c r="I39" s="2541"/>
      <c r="J39" s="2543"/>
      <c r="K39" s="2535"/>
      <c r="L39" s="2535"/>
      <c r="M39" s="2535"/>
      <c r="N39" s="2546"/>
      <c r="O39" s="2535"/>
      <c r="P39" s="2535"/>
      <c r="Q39" s="2535"/>
      <c r="R39" s="2533"/>
      <c r="S39" s="2535"/>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416" customFormat="1" ht="17.25" hidden="1" customHeight="1">
      <c r="A40" s="258"/>
      <c r="C40" s="257"/>
      <c r="D40" s="2548"/>
      <c r="E40" s="2537"/>
      <c r="F40" s="2550"/>
      <c r="G40" s="2537"/>
      <c r="H40" s="2539"/>
      <c r="I40" s="2541"/>
      <c r="J40" s="2544"/>
      <c r="K40" s="2535"/>
      <c r="L40" s="2535"/>
      <c r="M40" s="2535"/>
      <c r="N40" s="2533"/>
      <c r="O40" s="2535"/>
      <c r="P40" s="1336"/>
      <c r="Q40" s="1215"/>
      <c r="R40" s="1215"/>
      <c r="S40" s="266"/>
      <c r="T40" s="266"/>
      <c r="U40" s="266"/>
      <c r="V40" s="266"/>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416" customFormat="1" ht="17.25" hidden="1" customHeight="1">
      <c r="A41" s="258"/>
      <c r="C41" s="257"/>
      <c r="D41" s="2548"/>
      <c r="E41" s="2537"/>
      <c r="F41" s="2550"/>
      <c r="G41" s="2537"/>
      <c r="H41" s="2539"/>
      <c r="I41" s="2541"/>
      <c r="J41" s="2544"/>
      <c r="K41" s="2535"/>
      <c r="L41" s="1215"/>
      <c r="M41" s="1215"/>
      <c r="N41" s="1215"/>
      <c r="O41" s="1215"/>
      <c r="P41" s="1215"/>
      <c r="Q41" s="1215"/>
      <c r="R41" s="1215"/>
      <c r="S41" s="266"/>
      <c r="T41" s="266"/>
      <c r="U41" s="266"/>
      <c r="V41" s="266"/>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416" customFormat="1" ht="17.25" hidden="1" customHeight="1">
      <c r="A42" s="258"/>
      <c r="C42" s="257"/>
      <c r="D42" s="2548"/>
      <c r="E42" s="2537"/>
      <c r="F42" s="2551"/>
      <c r="G42" s="2537"/>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416" customFormat="1" ht="17.25" hidden="1" customHeight="1">
      <c r="A43" s="258"/>
      <c r="C43" s="146"/>
      <c r="D43" s="2547">
        <v>6</v>
      </c>
      <c r="E43" s="2536" t="s">
        <v>177</v>
      </c>
      <c r="F43" s="2549" t="s">
        <v>19</v>
      </c>
      <c r="G43" s="2536"/>
      <c r="H43" s="2538"/>
      <c r="I43" s="2540"/>
      <c r="J43" s="2542"/>
      <c r="K43" s="2534"/>
      <c r="L43" s="2534"/>
      <c r="M43" s="2534"/>
      <c r="N43" s="2545"/>
      <c r="O43" s="2534"/>
      <c r="P43" s="2534"/>
      <c r="Q43" s="2534"/>
      <c r="R43" s="2532"/>
      <c r="S43" s="2534"/>
      <c r="T43" s="1338"/>
      <c r="U43" s="1338"/>
      <c r="V43" s="1337"/>
      <c r="W43" s="1214"/>
      <c r="X43" s="1185"/>
      <c r="Y43" s="1185"/>
      <c r="Z43" s="1185"/>
      <c r="AA43" s="1185"/>
      <c r="AB43" s="1185"/>
      <c r="AC43" s="1185" t="s">
        <v>178</v>
      </c>
      <c r="AD43" s="1185" t="s">
        <v>179</v>
      </c>
      <c r="AE43" s="1185" t="s">
        <v>180</v>
      </c>
      <c r="AF43" s="1185" t="s">
        <v>181</v>
      </c>
      <c r="AG43" s="1185" t="s">
        <v>182</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416" customFormat="1" ht="17.25" hidden="1" customHeight="1">
      <c r="A44" s="258"/>
      <c r="C44" s="257"/>
      <c r="D44" s="2547"/>
      <c r="E44" s="2536"/>
      <c r="F44" s="2550"/>
      <c r="G44" s="2536"/>
      <c r="H44" s="2539"/>
      <c r="I44" s="2541"/>
      <c r="J44" s="2543"/>
      <c r="K44" s="2535"/>
      <c r="L44" s="2535"/>
      <c r="M44" s="2535"/>
      <c r="N44" s="2546"/>
      <c r="O44" s="2535"/>
      <c r="P44" s="2535"/>
      <c r="Q44" s="2535"/>
      <c r="R44" s="2533"/>
      <c r="S44" s="2535"/>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416" customFormat="1" ht="17.25" hidden="1" customHeight="1">
      <c r="A45" s="258"/>
      <c r="C45" s="257"/>
      <c r="D45" s="2548"/>
      <c r="E45" s="2537"/>
      <c r="F45" s="2550"/>
      <c r="G45" s="2537"/>
      <c r="H45" s="2539"/>
      <c r="I45" s="2541"/>
      <c r="J45" s="2544"/>
      <c r="K45" s="2535"/>
      <c r="L45" s="2535"/>
      <c r="M45" s="2535"/>
      <c r="N45" s="2533"/>
      <c r="O45" s="2535"/>
      <c r="P45" s="1336"/>
      <c r="Q45" s="1215"/>
      <c r="R45" s="1215"/>
      <c r="S45" s="266"/>
      <c r="T45" s="266"/>
      <c r="U45" s="266"/>
      <c r="V45" s="266"/>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416" customFormat="1" ht="17.25" hidden="1" customHeight="1">
      <c r="A46" s="258"/>
      <c r="C46" s="146"/>
      <c r="D46" s="2548"/>
      <c r="E46" s="2537"/>
      <c r="F46" s="2550"/>
      <c r="G46" s="2537"/>
      <c r="H46" s="2539"/>
      <c r="I46" s="2541"/>
      <c r="J46" s="2544"/>
      <c r="K46" s="2535"/>
      <c r="L46" s="1215"/>
      <c r="M46" s="1215"/>
      <c r="N46" s="1215"/>
      <c r="O46" s="1215"/>
      <c r="P46" s="1215"/>
      <c r="Q46" s="1215"/>
      <c r="R46" s="1215"/>
      <c r="S46" s="266"/>
      <c r="T46" s="266"/>
      <c r="U46" s="266"/>
      <c r="V46" s="266"/>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416" customFormat="1" ht="17.25" hidden="1" customHeight="1">
      <c r="A47" s="258"/>
      <c r="C47" s="257"/>
      <c r="D47" s="2548"/>
      <c r="E47" s="2537"/>
      <c r="F47" s="2551"/>
      <c r="G47" s="2537"/>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416" customFormat="1" ht="17.25" hidden="1" customHeight="1">
      <c r="A48" s="258"/>
      <c r="C48" s="146"/>
      <c r="D48" s="2555">
        <v>7</v>
      </c>
      <c r="E48" s="2558" t="s">
        <v>183</v>
      </c>
      <c r="F48" s="2549" t="s">
        <v>19</v>
      </c>
      <c r="G48" s="2558"/>
      <c r="H48" s="2538"/>
      <c r="I48" s="2540"/>
      <c r="J48" s="2542"/>
      <c r="K48" s="2534"/>
      <c r="L48" s="2534"/>
      <c r="M48" s="2534"/>
      <c r="N48" s="2545"/>
      <c r="O48" s="2534"/>
      <c r="P48" s="2534"/>
      <c r="Q48" s="2534"/>
      <c r="R48" s="2532"/>
      <c r="S48" s="2534"/>
      <c r="T48" s="1338"/>
      <c r="U48" s="1338"/>
      <c r="V48" s="1337"/>
      <c r="W48" s="1214"/>
      <c r="X48" s="1185"/>
      <c r="Y48" s="1185"/>
      <c r="Z48" s="1185"/>
      <c r="AA48" s="1185"/>
      <c r="AB48" s="1185"/>
      <c r="AC48" s="1185" t="s">
        <v>184</v>
      </c>
      <c r="AD48" s="1185" t="s">
        <v>185</v>
      </c>
      <c r="AE48" s="1185" t="s">
        <v>186</v>
      </c>
      <c r="AF48" s="1185" t="s">
        <v>187</v>
      </c>
      <c r="AG48" s="1185" t="s">
        <v>188</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416" customFormat="1" ht="17.25" hidden="1" customHeight="1">
      <c r="A49" s="258"/>
      <c r="C49" s="257"/>
      <c r="D49" s="2556"/>
      <c r="E49" s="2559"/>
      <c r="F49" s="2550"/>
      <c r="G49" s="2559"/>
      <c r="H49" s="2539"/>
      <c r="I49" s="2541"/>
      <c r="J49" s="2543"/>
      <c r="K49" s="2535"/>
      <c r="L49" s="2535"/>
      <c r="M49" s="2535"/>
      <c r="N49" s="2546"/>
      <c r="O49" s="2535"/>
      <c r="P49" s="2535"/>
      <c r="Q49" s="2535"/>
      <c r="R49" s="2533"/>
      <c r="S49" s="2535"/>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416" customFormat="1" ht="17.25" hidden="1" customHeight="1">
      <c r="A50" s="258"/>
      <c r="C50" s="257"/>
      <c r="D50" s="2556"/>
      <c r="E50" s="2559"/>
      <c r="F50" s="2550"/>
      <c r="G50" s="2559"/>
      <c r="H50" s="2539"/>
      <c r="I50" s="2541"/>
      <c r="J50" s="2544"/>
      <c r="K50" s="2535"/>
      <c r="L50" s="2535"/>
      <c r="M50" s="2535"/>
      <c r="N50" s="2533"/>
      <c r="O50" s="2535"/>
      <c r="P50" s="1336"/>
      <c r="Q50" s="1215"/>
      <c r="R50" s="1215"/>
      <c r="S50" s="266"/>
      <c r="T50" s="266"/>
      <c r="U50" s="266"/>
      <c r="V50" s="266"/>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416" customFormat="1" ht="17.25" hidden="1" customHeight="1">
      <c r="A51" s="258"/>
      <c r="C51" s="146"/>
      <c r="D51" s="2556"/>
      <c r="E51" s="2559"/>
      <c r="F51" s="2550"/>
      <c r="G51" s="2559"/>
      <c r="H51" s="2539"/>
      <c r="I51" s="2541"/>
      <c r="J51" s="2544"/>
      <c r="K51" s="2535"/>
      <c r="L51" s="1215"/>
      <c r="M51" s="1215"/>
      <c r="N51" s="1215"/>
      <c r="O51" s="1215"/>
      <c r="P51" s="1215"/>
      <c r="Q51" s="1215"/>
      <c r="R51" s="1215"/>
      <c r="S51" s="266"/>
      <c r="T51" s="266"/>
      <c r="U51" s="266"/>
      <c r="V51" s="266"/>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416" customFormat="1" ht="17.25" hidden="1" customHeight="1">
      <c r="A52" s="258"/>
      <c r="C52" s="257"/>
      <c r="D52" s="2557"/>
      <c r="E52" s="2560"/>
      <c r="F52" s="2551"/>
      <c r="G52" s="2560"/>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416" customFormat="1" ht="17.25" hidden="1" customHeight="1">
      <c r="A53" s="258"/>
      <c r="C53" s="146"/>
      <c r="D53" s="2547">
        <v>8</v>
      </c>
      <c r="E53" s="2536" t="s">
        <v>189</v>
      </c>
      <c r="F53" s="2549" t="s">
        <v>19</v>
      </c>
      <c r="G53" s="2536"/>
      <c r="H53" s="2538"/>
      <c r="I53" s="2540"/>
      <c r="J53" s="2542"/>
      <c r="K53" s="2534"/>
      <c r="L53" s="2534"/>
      <c r="M53" s="2534"/>
      <c r="N53" s="2545"/>
      <c r="O53" s="2534"/>
      <c r="P53" s="2534"/>
      <c r="Q53" s="2534"/>
      <c r="R53" s="2532"/>
      <c r="S53" s="2534"/>
      <c r="T53" s="1388"/>
      <c r="U53" s="1388"/>
      <c r="V53" s="1390"/>
      <c r="W53" s="1214"/>
      <c r="X53" s="1185"/>
      <c r="Y53" s="1185"/>
      <c r="Z53" s="1185"/>
      <c r="AA53" s="1185"/>
      <c r="AB53" s="1185"/>
      <c r="AC53" s="1185" t="s">
        <v>190</v>
      </c>
      <c r="AD53" s="1185" t="s">
        <v>191</v>
      </c>
      <c r="AE53" s="1185" t="s">
        <v>192</v>
      </c>
      <c r="AF53" s="1185" t="s">
        <v>193</v>
      </c>
      <c r="AG53" s="1185" t="s">
        <v>194</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416" customFormat="1" ht="17.25" hidden="1" customHeight="1">
      <c r="A54" s="258"/>
      <c r="C54" s="257"/>
      <c r="D54" s="2547"/>
      <c r="E54" s="2536"/>
      <c r="F54" s="2550"/>
      <c r="G54" s="2536"/>
      <c r="H54" s="2539"/>
      <c r="I54" s="2541"/>
      <c r="J54" s="2543"/>
      <c r="K54" s="2535"/>
      <c r="L54" s="2535"/>
      <c r="M54" s="2535"/>
      <c r="N54" s="2546"/>
      <c r="O54" s="2535"/>
      <c r="P54" s="2535"/>
      <c r="Q54" s="2535"/>
      <c r="R54" s="2533"/>
      <c r="S54" s="2535"/>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416" customFormat="1" ht="17.25" hidden="1" customHeight="1">
      <c r="A55" s="258"/>
      <c r="C55" s="257"/>
      <c r="D55" s="2548"/>
      <c r="E55" s="2537"/>
      <c r="F55" s="2550"/>
      <c r="G55" s="2537"/>
      <c r="H55" s="2539"/>
      <c r="I55" s="2541"/>
      <c r="J55" s="2544"/>
      <c r="K55" s="2535"/>
      <c r="L55" s="2535"/>
      <c r="M55" s="2535"/>
      <c r="N55" s="2533"/>
      <c r="O55" s="2535"/>
      <c r="P55" s="1389"/>
      <c r="Q55" s="1215"/>
      <c r="R55" s="1215"/>
      <c r="S55" s="266"/>
      <c r="T55" s="266"/>
      <c r="U55" s="266"/>
      <c r="V55" s="266"/>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416" customFormat="1" ht="17.25" hidden="1" customHeight="1">
      <c r="A56" s="258"/>
      <c r="C56" s="146"/>
      <c r="D56" s="2548"/>
      <c r="E56" s="2537"/>
      <c r="F56" s="2550"/>
      <c r="G56" s="2537"/>
      <c r="H56" s="2539"/>
      <c r="I56" s="2541"/>
      <c r="J56" s="2544"/>
      <c r="K56" s="2535"/>
      <c r="L56" s="1215"/>
      <c r="M56" s="1215"/>
      <c r="N56" s="1215"/>
      <c r="O56" s="1215"/>
      <c r="P56" s="1215"/>
      <c r="Q56" s="1215"/>
      <c r="R56" s="1215"/>
      <c r="S56" s="266"/>
      <c r="T56" s="266"/>
      <c r="U56" s="266"/>
      <c r="V56" s="266"/>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416" customFormat="1" ht="17.25" hidden="1" customHeight="1">
      <c r="A57" s="258"/>
      <c r="C57" s="257"/>
      <c r="D57" s="2548"/>
      <c r="E57" s="2537"/>
      <c r="F57" s="2551"/>
      <c r="G57" s="2537"/>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416" customFormat="1" ht="17.25" hidden="1" customHeight="1">
      <c r="A58" s="258"/>
      <c r="C58" s="146"/>
      <c r="D58" s="2547">
        <v>9</v>
      </c>
      <c r="E58" s="2536" t="s">
        <v>195</v>
      </c>
      <c r="F58" s="2549" t="s">
        <v>19</v>
      </c>
      <c r="G58" s="2536"/>
      <c r="H58" s="2538"/>
      <c r="I58" s="2540"/>
      <c r="J58" s="2542"/>
      <c r="K58" s="2534"/>
      <c r="L58" s="2534"/>
      <c r="M58" s="2534"/>
      <c r="N58" s="2545"/>
      <c r="O58" s="2534"/>
      <c r="P58" s="2534"/>
      <c r="Q58" s="2534"/>
      <c r="R58" s="2532"/>
      <c r="S58" s="2534"/>
      <c r="T58" s="1843"/>
      <c r="U58" s="1843"/>
      <c r="V58" s="1845"/>
      <c r="W58" s="1214"/>
      <c r="X58" s="1185"/>
      <c r="Y58" s="1185"/>
      <c r="Z58" s="1185"/>
      <c r="AA58" s="1185"/>
      <c r="AB58" s="1185"/>
      <c r="AC58" s="1185" t="s">
        <v>196</v>
      </c>
      <c r="AD58" s="1185" t="s">
        <v>197</v>
      </c>
      <c r="AE58" s="1185" t="s">
        <v>198</v>
      </c>
      <c r="AF58" s="1185" t="s">
        <v>199</v>
      </c>
      <c r="AG58" s="1185" t="s">
        <v>200</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416" customFormat="1" ht="17.25" hidden="1" customHeight="1">
      <c r="A59" s="258"/>
      <c r="C59" s="257"/>
      <c r="D59" s="2547"/>
      <c r="E59" s="2536"/>
      <c r="F59" s="2550"/>
      <c r="G59" s="2536"/>
      <c r="H59" s="2539"/>
      <c r="I59" s="2541"/>
      <c r="J59" s="2543"/>
      <c r="K59" s="2535"/>
      <c r="L59" s="2535"/>
      <c r="M59" s="2535"/>
      <c r="N59" s="2546"/>
      <c r="O59" s="2535"/>
      <c r="P59" s="2535"/>
      <c r="Q59" s="2535"/>
      <c r="R59" s="2533"/>
      <c r="S59" s="2535"/>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416" customFormat="1" ht="17.25" hidden="1" customHeight="1">
      <c r="A60" s="258"/>
      <c r="C60" s="257"/>
      <c r="D60" s="2548"/>
      <c r="E60" s="2537"/>
      <c r="F60" s="2550"/>
      <c r="G60" s="2537"/>
      <c r="H60" s="2539"/>
      <c r="I60" s="2541"/>
      <c r="J60" s="2544"/>
      <c r="K60" s="2535"/>
      <c r="L60" s="2535"/>
      <c r="M60" s="2535"/>
      <c r="N60" s="2533"/>
      <c r="O60" s="2535"/>
      <c r="P60" s="1844"/>
      <c r="Q60" s="1846"/>
      <c r="R60" s="1846"/>
      <c r="S60" s="266"/>
      <c r="T60" s="266"/>
      <c r="U60" s="266"/>
      <c r="V60" s="266"/>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416" customFormat="1" ht="17.25" hidden="1" customHeight="1">
      <c r="A61" s="258"/>
      <c r="C61" s="146"/>
      <c r="D61" s="2548"/>
      <c r="E61" s="2537"/>
      <c r="F61" s="2550"/>
      <c r="G61" s="2537"/>
      <c r="H61" s="2539"/>
      <c r="I61" s="2541"/>
      <c r="J61" s="2544"/>
      <c r="K61" s="2535"/>
      <c r="L61" s="1846"/>
      <c r="M61" s="1846"/>
      <c r="N61" s="1846"/>
      <c r="O61" s="1846"/>
      <c r="P61" s="1846"/>
      <c r="Q61" s="1846"/>
      <c r="R61" s="1846"/>
      <c r="S61" s="266"/>
      <c r="T61" s="266"/>
      <c r="U61" s="266"/>
      <c r="V61" s="266"/>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416" customFormat="1" ht="17.25" hidden="1" customHeight="1">
      <c r="A62" s="258"/>
      <c r="C62" s="257"/>
      <c r="D62" s="2548"/>
      <c r="E62" s="2537"/>
      <c r="F62" s="2551"/>
      <c r="G62" s="2537"/>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416" customFormat="1" ht="17.25" hidden="1" customHeight="1">
      <c r="A63" s="258"/>
      <c r="C63" s="146"/>
      <c r="D63" s="2547">
        <v>10</v>
      </c>
      <c r="E63" s="2536" t="s">
        <v>201</v>
      </c>
      <c r="F63" s="2549" t="s">
        <v>19</v>
      </c>
      <c r="G63" s="2536"/>
      <c r="H63" s="2538"/>
      <c r="I63" s="2540"/>
      <c r="J63" s="2542"/>
      <c r="K63" s="2534"/>
      <c r="L63" s="2534"/>
      <c r="M63" s="2534"/>
      <c r="N63" s="2545"/>
      <c r="O63" s="2534"/>
      <c r="P63" s="2534"/>
      <c r="Q63" s="2534"/>
      <c r="R63" s="2532"/>
      <c r="S63" s="2534"/>
      <c r="T63" s="1843"/>
      <c r="U63" s="1843"/>
      <c r="V63" s="1845"/>
      <c r="W63" s="1214"/>
      <c r="X63" s="1185"/>
      <c r="Y63" s="1185"/>
      <c r="Z63" s="1185"/>
      <c r="AA63" s="1185"/>
      <c r="AB63" s="1185"/>
      <c r="AC63" s="1185" t="s">
        <v>202</v>
      </c>
      <c r="AD63" s="1185" t="s">
        <v>203</v>
      </c>
      <c r="AE63" s="1185" t="s">
        <v>204</v>
      </c>
      <c r="AF63" s="1185" t="s">
        <v>205</v>
      </c>
      <c r="AG63" s="1185" t="s">
        <v>206</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416" customFormat="1" ht="17.25" hidden="1" customHeight="1">
      <c r="A64" s="258"/>
      <c r="C64" s="257"/>
      <c r="D64" s="2547"/>
      <c r="E64" s="2536"/>
      <c r="F64" s="2550"/>
      <c r="G64" s="2536"/>
      <c r="H64" s="2539"/>
      <c r="I64" s="2541"/>
      <c r="J64" s="2543"/>
      <c r="K64" s="2535"/>
      <c r="L64" s="2535"/>
      <c r="M64" s="2535"/>
      <c r="N64" s="2546"/>
      <c r="O64" s="2535"/>
      <c r="P64" s="2535"/>
      <c r="Q64" s="2535"/>
      <c r="R64" s="2533"/>
      <c r="S64" s="2535"/>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416" customFormat="1" ht="17.25" hidden="1" customHeight="1">
      <c r="A65" s="258"/>
      <c r="C65" s="257"/>
      <c r="D65" s="2548"/>
      <c r="E65" s="2537"/>
      <c r="F65" s="2550"/>
      <c r="G65" s="2537"/>
      <c r="H65" s="2539"/>
      <c r="I65" s="2541"/>
      <c r="J65" s="2544"/>
      <c r="K65" s="2535"/>
      <c r="L65" s="2535"/>
      <c r="M65" s="2535"/>
      <c r="N65" s="2533"/>
      <c r="O65" s="2535"/>
      <c r="P65" s="1844"/>
      <c r="Q65" s="1846"/>
      <c r="R65" s="1846"/>
      <c r="S65" s="266"/>
      <c r="T65" s="266"/>
      <c r="U65" s="266"/>
      <c r="V65" s="266"/>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416" customFormat="1" ht="17.25" hidden="1" customHeight="1">
      <c r="A66" s="258"/>
      <c r="C66" s="146"/>
      <c r="D66" s="2548"/>
      <c r="E66" s="2537"/>
      <c r="F66" s="2550"/>
      <c r="G66" s="2537"/>
      <c r="H66" s="2539"/>
      <c r="I66" s="2541"/>
      <c r="J66" s="2544"/>
      <c r="K66" s="2535"/>
      <c r="L66" s="1846"/>
      <c r="M66" s="1846"/>
      <c r="N66" s="1846"/>
      <c r="O66" s="1846"/>
      <c r="P66" s="1846"/>
      <c r="Q66" s="1846"/>
      <c r="R66" s="1846"/>
      <c r="S66" s="266"/>
      <c r="T66" s="266"/>
      <c r="U66" s="266"/>
      <c r="V66" s="266"/>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416" customFormat="1" ht="17.25" hidden="1" customHeight="1">
      <c r="A67" s="258"/>
      <c r="C67" s="257"/>
      <c r="D67" s="2548"/>
      <c r="E67" s="2537"/>
      <c r="F67" s="2551"/>
      <c r="G67" s="2537"/>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4">
        <v>0</v>
      </c>
    </row>
    <row r="69" spans="1:44" ht="11.25" hidden="1" customHeight="1">
      <c r="E69" s="2554" t="s">
        <v>207</v>
      </c>
      <c r="F69" s="2554"/>
      <c r="G69" s="2554"/>
      <c r="H69" s="2554"/>
      <c r="I69" s="2554"/>
      <c r="J69" s="2554"/>
      <c r="K69" s="2554"/>
      <c r="L69" s="2554"/>
      <c r="M69" s="2554"/>
      <c r="N69" s="2554"/>
      <c r="O69" s="2554"/>
      <c r="P69" s="2554"/>
      <c r="Q69" s="2554"/>
      <c r="R69" s="2554"/>
      <c r="S69" s="2554"/>
      <c r="T69" s="2554"/>
      <c r="U69" s="2554"/>
      <c r="V69" s="2554"/>
      <c r="W69" s="2554"/>
      <c r="AR69" s="44">
        <v>0</v>
      </c>
    </row>
    <row r="70" spans="1:44" ht="36.75" hidden="1" customHeight="1">
      <c r="E70" s="2552" t="s">
        <v>208</v>
      </c>
      <c r="F70" s="2552"/>
      <c r="G70" s="2553"/>
      <c r="H70" s="2553"/>
      <c r="I70" s="2553"/>
      <c r="J70" s="2553"/>
      <c r="K70" s="2553"/>
      <c r="L70" s="2553"/>
      <c r="M70" s="2553"/>
      <c r="N70" s="2553"/>
      <c r="O70" s="2553"/>
      <c r="P70" s="2553"/>
      <c r="Q70" s="2553"/>
      <c r="R70" s="2553"/>
      <c r="S70" s="2553"/>
      <c r="T70" s="2553"/>
      <c r="U70" s="2553"/>
      <c r="V70" s="2553"/>
      <c r="W70" s="2553"/>
      <c r="AR70" s="44">
        <v>0</v>
      </c>
    </row>
    <row r="71" spans="1:44" ht="28.5" hidden="1" customHeight="1">
      <c r="E71" s="2552" t="s">
        <v>209</v>
      </c>
      <c r="F71" s="2552"/>
      <c r="G71" s="2553"/>
      <c r="H71" s="2553"/>
      <c r="I71" s="2553"/>
      <c r="J71" s="2553"/>
      <c r="K71" s="2553"/>
      <c r="L71" s="2553"/>
      <c r="M71" s="2553"/>
      <c r="N71" s="2553"/>
      <c r="O71" s="2553"/>
      <c r="P71" s="2553"/>
      <c r="Q71" s="2553"/>
      <c r="R71" s="2553"/>
      <c r="S71" s="2553"/>
      <c r="T71" s="2553"/>
      <c r="U71" s="2553"/>
      <c r="V71" s="2553"/>
      <c r="W71" s="2553"/>
      <c r="AR71" s="44">
        <v>0</v>
      </c>
    </row>
    <row r="72" spans="1:44" ht="27" hidden="1" customHeight="1">
      <c r="E72" s="2552" t="s">
        <v>210</v>
      </c>
      <c r="F72" s="2552"/>
      <c r="G72" s="2553"/>
      <c r="H72" s="2553"/>
      <c r="I72" s="2553"/>
      <c r="J72" s="2553"/>
      <c r="K72" s="2553"/>
      <c r="L72" s="2553"/>
      <c r="M72" s="2553"/>
      <c r="N72" s="2553"/>
      <c r="O72" s="2553"/>
      <c r="P72" s="2553"/>
      <c r="Q72" s="2553"/>
      <c r="R72" s="2553"/>
      <c r="S72" s="2553"/>
      <c r="T72" s="2553"/>
      <c r="U72" s="2553"/>
      <c r="V72" s="2553"/>
      <c r="W72" s="2553"/>
      <c r="AR72" s="44">
        <v>0</v>
      </c>
    </row>
    <row r="73" spans="1:44" ht="17.25" hidden="1" customHeight="1">
      <c r="E73" s="2552" t="s">
        <v>211</v>
      </c>
      <c r="F73" s="2552"/>
      <c r="G73" s="2553"/>
      <c r="H73" s="2553"/>
      <c r="I73" s="2553"/>
      <c r="J73" s="2553"/>
      <c r="K73" s="2553"/>
      <c r="L73" s="2553"/>
      <c r="M73" s="2553"/>
      <c r="N73" s="2553"/>
      <c r="O73" s="2553"/>
      <c r="P73" s="2553"/>
      <c r="Q73" s="2553"/>
      <c r="R73" s="2553"/>
      <c r="S73" s="2553"/>
      <c r="T73" s="2553"/>
      <c r="U73" s="2553"/>
      <c r="V73" s="2553"/>
      <c r="W73" s="2553"/>
      <c r="AR73" s="44">
        <v>0</v>
      </c>
    </row>
    <row r="74" spans="1:44" ht="15" hidden="1" customHeight="1">
      <c r="E74" s="277"/>
      <c r="F74" s="1203"/>
      <c r="G74" s="95"/>
      <c r="H74" s="95"/>
      <c r="I74" s="95"/>
      <c r="J74" s="95"/>
      <c r="K74" s="95"/>
      <c r="L74" s="95"/>
      <c r="M74" s="95"/>
      <c r="N74" s="95"/>
      <c r="O74" s="95"/>
      <c r="P74" s="95"/>
      <c r="Q74" s="95"/>
      <c r="R74" s="95"/>
      <c r="S74" s="95"/>
      <c r="T74" s="95"/>
      <c r="U74" s="95"/>
      <c r="V74" s="95"/>
      <c r="W74" s="95"/>
      <c r="AR74" s="44">
        <v>0</v>
      </c>
    </row>
    <row r="75" spans="1:44" ht="15" hidden="1" customHeight="1">
      <c r="E75" s="2554" t="s">
        <v>212</v>
      </c>
      <c r="F75" s="2554"/>
      <c r="G75" s="2554"/>
      <c r="H75" s="2554"/>
      <c r="I75" s="2554"/>
      <c r="J75" s="2554"/>
      <c r="K75" s="2554"/>
      <c r="L75" s="2554"/>
      <c r="M75" s="2554"/>
      <c r="N75" s="2554"/>
      <c r="O75" s="2554"/>
      <c r="P75" s="2554"/>
      <c r="Q75" s="2554"/>
      <c r="R75" s="2554"/>
      <c r="S75" s="2554"/>
      <c r="T75" s="2554"/>
      <c r="U75" s="2554"/>
      <c r="V75" s="2554"/>
      <c r="W75" s="2554"/>
      <c r="AR75" s="44">
        <v>0</v>
      </c>
    </row>
    <row r="76" spans="1:44" ht="17.25" hidden="1" customHeight="1">
      <c r="E76" s="2552" t="s">
        <v>213</v>
      </c>
      <c r="F76" s="2552"/>
      <c r="G76" s="2553"/>
      <c r="H76" s="2553"/>
      <c r="I76" s="2553"/>
      <c r="J76" s="2553"/>
      <c r="K76" s="2553"/>
      <c r="L76" s="2553"/>
      <c r="M76" s="2553"/>
      <c r="N76" s="2553"/>
      <c r="O76" s="2553"/>
      <c r="P76" s="2553"/>
      <c r="Q76" s="2553"/>
      <c r="R76" s="2553"/>
      <c r="S76" s="2553"/>
      <c r="T76" s="2553"/>
      <c r="U76" s="2553"/>
      <c r="V76" s="2553"/>
      <c r="W76" s="2553"/>
      <c r="AR76" s="44">
        <v>0</v>
      </c>
    </row>
    <row r="77" spans="1:44" ht="17.25" hidden="1" customHeight="1">
      <c r="E77" s="2552" t="s">
        <v>214</v>
      </c>
      <c r="F77" s="2552"/>
      <c r="G77" s="2553"/>
      <c r="H77" s="2553"/>
      <c r="I77" s="2553"/>
      <c r="J77" s="2553"/>
      <c r="K77" s="2553"/>
      <c r="L77" s="2553"/>
      <c r="M77" s="2553"/>
      <c r="N77" s="2553"/>
      <c r="O77" s="2553"/>
      <c r="P77" s="2553"/>
      <c r="Q77" s="2553"/>
      <c r="R77" s="2553"/>
      <c r="S77" s="2553"/>
      <c r="T77" s="2553"/>
      <c r="U77" s="2553"/>
      <c r="V77" s="2553"/>
      <c r="W77" s="2553"/>
      <c r="AR77" s="44">
        <v>0</v>
      </c>
    </row>
    <row r="78" spans="1:44" s="2416" customFormat="1" ht="11.25" hidden="1" customHeight="1">
      <c r="A78" s="214"/>
      <c r="B78" s="214"/>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416" customFormat="1" ht="17.25" hidden="1" customHeight="1">
      <c r="A79" s="258"/>
      <c r="C79" s="146"/>
      <c r="D79" s="2547">
        <v>1</v>
      </c>
      <c r="E79" s="2536" t="s">
        <v>215</v>
      </c>
      <c r="F79" s="2549" t="s">
        <v>19</v>
      </c>
      <c r="G79" s="2536"/>
      <c r="H79" s="2538"/>
      <c r="I79" s="2540"/>
      <c r="J79" s="2542"/>
      <c r="K79" s="2534"/>
      <c r="L79" s="2534"/>
      <c r="M79" s="2534"/>
      <c r="N79" s="2545"/>
      <c r="O79" s="2534"/>
      <c r="P79" s="2534"/>
      <c r="Q79" s="2534"/>
      <c r="R79" s="2532"/>
      <c r="S79" s="2534"/>
      <c r="T79" s="1388"/>
      <c r="U79" s="1388"/>
      <c r="V79" s="1390"/>
      <c r="W79" s="1214"/>
      <c r="Y79" s="1185"/>
      <c r="Z79" s="1185"/>
      <c r="AA79" s="1185"/>
      <c r="AB79" s="1185"/>
      <c r="AC79" s="1185" t="s">
        <v>216</v>
      </c>
      <c r="AD79" s="1185" t="s">
        <v>217</v>
      </c>
      <c r="AE79" s="1185" t="s">
        <v>218</v>
      </c>
      <c r="AF79" s="1185" t="s">
        <v>219</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416" customFormat="1" ht="17.25" hidden="1" customHeight="1">
      <c r="A80" s="258"/>
      <c r="C80" s="257"/>
      <c r="D80" s="2547"/>
      <c r="E80" s="2536"/>
      <c r="F80" s="2550"/>
      <c r="G80" s="2536"/>
      <c r="H80" s="2539"/>
      <c r="I80" s="2541"/>
      <c r="J80" s="2543"/>
      <c r="K80" s="2535"/>
      <c r="L80" s="2535"/>
      <c r="M80" s="2535"/>
      <c r="N80" s="2546"/>
      <c r="O80" s="2535"/>
      <c r="P80" s="2535"/>
      <c r="Q80" s="2535"/>
      <c r="R80" s="2533"/>
      <c r="S80" s="2535"/>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416" customFormat="1" ht="17.25" hidden="1" customHeight="1">
      <c r="A81" s="258"/>
      <c r="C81" s="146"/>
      <c r="D81" s="2547"/>
      <c r="E81" s="2536"/>
      <c r="F81" s="2550"/>
      <c r="G81" s="2536"/>
      <c r="H81" s="2539"/>
      <c r="I81" s="2541"/>
      <c r="J81" s="2544"/>
      <c r="K81" s="2535"/>
      <c r="L81" s="2535"/>
      <c r="M81" s="2535"/>
      <c r="N81" s="2533"/>
      <c r="O81" s="2535"/>
      <c r="P81" s="1389"/>
      <c r="Q81" s="1215"/>
      <c r="R81" s="1215"/>
      <c r="S81" s="266"/>
      <c r="T81" s="266"/>
      <c r="U81" s="266"/>
      <c r="V81" s="266"/>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416" customFormat="1" ht="17.25" hidden="1" customHeight="1">
      <c r="A82" s="258"/>
      <c r="C82" s="257"/>
      <c r="D82" s="2547"/>
      <c r="E82" s="2536"/>
      <c r="F82" s="2550"/>
      <c r="G82" s="2536"/>
      <c r="H82" s="2539"/>
      <c r="I82" s="2541"/>
      <c r="J82" s="2544"/>
      <c r="K82" s="2535"/>
      <c r="L82" s="1215"/>
      <c r="M82" s="1215"/>
      <c r="N82" s="1215"/>
      <c r="O82" s="1215"/>
      <c r="P82" s="1215"/>
      <c r="Q82" s="1215"/>
      <c r="R82" s="1215"/>
      <c r="S82" s="266"/>
      <c r="T82" s="266"/>
      <c r="U82" s="266"/>
      <c r="V82" s="266"/>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416" customFormat="1" ht="17.25" hidden="1" customHeight="1">
      <c r="A83" s="258"/>
      <c r="C83" s="257"/>
      <c r="D83" s="2548"/>
      <c r="E83" s="2537"/>
      <c r="F83" s="2551"/>
      <c r="G83" s="2537"/>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416" customFormat="1" ht="17.25" hidden="1" customHeight="1">
      <c r="A84" s="258"/>
      <c r="C84" s="146"/>
      <c r="D84" s="2547">
        <v>2</v>
      </c>
      <c r="E84" s="2536" t="s">
        <v>220</v>
      </c>
      <c r="F84" s="2549" t="s">
        <v>19</v>
      </c>
      <c r="G84" s="2536"/>
      <c r="H84" s="2538"/>
      <c r="I84" s="2540"/>
      <c r="J84" s="2542"/>
      <c r="K84" s="2534"/>
      <c r="L84" s="2534"/>
      <c r="M84" s="2534"/>
      <c r="N84" s="2545"/>
      <c r="O84" s="2534"/>
      <c r="P84" s="2534"/>
      <c r="Q84" s="2534"/>
      <c r="R84" s="2532"/>
      <c r="S84" s="2534"/>
      <c r="T84" s="1361"/>
      <c r="U84" s="1361"/>
      <c r="V84" s="1363"/>
      <c r="W84" s="1214"/>
      <c r="X84" s="1185"/>
      <c r="Y84" s="1185"/>
      <c r="Z84" s="1185"/>
      <c r="AA84" s="1185"/>
      <c r="AB84" s="1185"/>
      <c r="AC84" s="1185" t="s">
        <v>221</v>
      </c>
      <c r="AD84" s="1185" t="s">
        <v>222</v>
      </c>
      <c r="AE84" s="1185" t="s">
        <v>223</v>
      </c>
      <c r="AF84" s="1185" t="s">
        <v>224</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416" customFormat="1" ht="17.25" hidden="1" customHeight="1">
      <c r="A85" s="258"/>
      <c r="C85" s="257"/>
      <c r="D85" s="2547"/>
      <c r="E85" s="2536"/>
      <c r="F85" s="2550"/>
      <c r="G85" s="2536"/>
      <c r="H85" s="2539"/>
      <c r="I85" s="2541"/>
      <c r="J85" s="2543"/>
      <c r="K85" s="2535"/>
      <c r="L85" s="2535"/>
      <c r="M85" s="2535"/>
      <c r="N85" s="2546"/>
      <c r="O85" s="2535"/>
      <c r="P85" s="2535"/>
      <c r="Q85" s="2535"/>
      <c r="R85" s="2533"/>
      <c r="S85" s="2535"/>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416" customFormat="1" ht="17.25" hidden="1" customHeight="1">
      <c r="A86" s="258"/>
      <c r="C86" s="257"/>
      <c r="D86" s="2548"/>
      <c r="E86" s="2537"/>
      <c r="F86" s="2550"/>
      <c r="G86" s="2537"/>
      <c r="H86" s="2539"/>
      <c r="I86" s="2541"/>
      <c r="J86" s="2544"/>
      <c r="K86" s="2535"/>
      <c r="L86" s="2535"/>
      <c r="M86" s="2535"/>
      <c r="N86" s="2533"/>
      <c r="O86" s="2535"/>
      <c r="P86" s="1362"/>
      <c r="Q86" s="1215"/>
      <c r="R86" s="1215"/>
      <c r="S86" s="266"/>
      <c r="T86" s="266"/>
      <c r="U86" s="266"/>
      <c r="V86" s="266"/>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416" customFormat="1" ht="17.25" hidden="1" customHeight="1">
      <c r="A87" s="258"/>
      <c r="C87" s="257"/>
      <c r="D87" s="2548"/>
      <c r="E87" s="2537"/>
      <c r="F87" s="2550"/>
      <c r="G87" s="2537"/>
      <c r="H87" s="2539"/>
      <c r="I87" s="2541"/>
      <c r="J87" s="2544"/>
      <c r="K87" s="2535"/>
      <c r="L87" s="1215"/>
      <c r="M87" s="1215"/>
      <c r="N87" s="1215"/>
      <c r="O87" s="1215"/>
      <c r="P87" s="1215"/>
      <c r="Q87" s="1215"/>
      <c r="R87" s="1215"/>
      <c r="S87" s="266"/>
      <c r="T87" s="266"/>
      <c r="U87" s="266"/>
      <c r="V87" s="266"/>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416" customFormat="1" ht="17.25" hidden="1" customHeight="1">
      <c r="A88" s="258"/>
      <c r="C88" s="257"/>
      <c r="D88" s="2548"/>
      <c r="E88" s="2537"/>
      <c r="F88" s="2551"/>
      <c r="G88" s="2537"/>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416" customFormat="1" ht="17.25" hidden="1" customHeight="1">
      <c r="A89" s="258"/>
      <c r="C89" s="146"/>
      <c r="D89" s="2547">
        <v>3</v>
      </c>
      <c r="E89" s="2536" t="s">
        <v>225</v>
      </c>
      <c r="F89" s="2549" t="s">
        <v>19</v>
      </c>
      <c r="G89" s="2536"/>
      <c r="H89" s="2538"/>
      <c r="I89" s="2540"/>
      <c r="J89" s="2542"/>
      <c r="K89" s="2534"/>
      <c r="L89" s="2534"/>
      <c r="M89" s="2534"/>
      <c r="N89" s="2545"/>
      <c r="O89" s="2534"/>
      <c r="P89" s="2534"/>
      <c r="Q89" s="2534"/>
      <c r="R89" s="2532"/>
      <c r="S89" s="2534"/>
      <c r="T89" s="1361"/>
      <c r="U89" s="1361"/>
      <c r="V89" s="1363"/>
      <c r="W89" s="1214"/>
      <c r="X89" s="1185"/>
      <c r="Y89" s="1185"/>
      <c r="Z89" s="1185"/>
      <c r="AA89" s="1185"/>
      <c r="AB89" s="1185"/>
      <c r="AC89" s="1185" t="s">
        <v>226</v>
      </c>
      <c r="AD89" s="1185" t="s">
        <v>227</v>
      </c>
      <c r="AE89" s="1185" t="s">
        <v>228</v>
      </c>
      <c r="AF89" s="1185" t="s">
        <v>229</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416" customFormat="1" ht="17.25" hidden="1" customHeight="1">
      <c r="A90" s="258"/>
      <c r="C90" s="257"/>
      <c r="D90" s="2547"/>
      <c r="E90" s="2536"/>
      <c r="F90" s="2550"/>
      <c r="G90" s="2536"/>
      <c r="H90" s="2539"/>
      <c r="I90" s="2541"/>
      <c r="J90" s="2543"/>
      <c r="K90" s="2535"/>
      <c r="L90" s="2535"/>
      <c r="M90" s="2535"/>
      <c r="N90" s="2546"/>
      <c r="O90" s="2535"/>
      <c r="P90" s="2535"/>
      <c r="Q90" s="2535"/>
      <c r="R90" s="2533"/>
      <c r="S90" s="2535"/>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416" customFormat="1" ht="17.25" hidden="1" customHeight="1">
      <c r="A91" s="258"/>
      <c r="C91" s="257"/>
      <c r="D91" s="2548"/>
      <c r="E91" s="2537"/>
      <c r="F91" s="2550"/>
      <c r="G91" s="2537"/>
      <c r="H91" s="2539"/>
      <c r="I91" s="2541"/>
      <c r="J91" s="2544"/>
      <c r="K91" s="2535"/>
      <c r="L91" s="2535"/>
      <c r="M91" s="2535"/>
      <c r="N91" s="2533"/>
      <c r="O91" s="2535"/>
      <c r="P91" s="1362"/>
      <c r="Q91" s="1215"/>
      <c r="R91" s="1215"/>
      <c r="S91" s="266"/>
      <c r="T91" s="266"/>
      <c r="U91" s="266"/>
      <c r="V91" s="266"/>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416" customFormat="1" ht="17.25" hidden="1" customHeight="1">
      <c r="A92" s="258"/>
      <c r="C92" s="257"/>
      <c r="D92" s="2548"/>
      <c r="E92" s="2537"/>
      <c r="F92" s="2550"/>
      <c r="G92" s="2537"/>
      <c r="H92" s="2539"/>
      <c r="I92" s="2541"/>
      <c r="J92" s="2544"/>
      <c r="K92" s="2535"/>
      <c r="L92" s="1215"/>
      <c r="M92" s="1215"/>
      <c r="N92" s="1215"/>
      <c r="O92" s="1215"/>
      <c r="P92" s="1215"/>
      <c r="Q92" s="1215"/>
      <c r="R92" s="1215"/>
      <c r="S92" s="266"/>
      <c r="T92" s="266"/>
      <c r="U92" s="266"/>
      <c r="V92" s="266"/>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416" customFormat="1" ht="17.25" hidden="1" customHeight="1">
      <c r="A93" s="258"/>
      <c r="C93" s="257"/>
      <c r="D93" s="2548"/>
      <c r="E93" s="2537"/>
      <c r="F93" s="2551"/>
      <c r="G93" s="2537"/>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416" customFormat="1" ht="17.25" hidden="1" customHeight="1">
      <c r="A94" s="258"/>
      <c r="C94" s="146"/>
      <c r="D94" s="2547">
        <v>4</v>
      </c>
      <c r="E94" s="2536" t="s">
        <v>230</v>
      </c>
      <c r="F94" s="2549" t="s">
        <v>19</v>
      </c>
      <c r="G94" s="2536"/>
      <c r="H94" s="2538"/>
      <c r="I94" s="2540"/>
      <c r="J94" s="2542"/>
      <c r="K94" s="2534"/>
      <c r="L94" s="2534"/>
      <c r="M94" s="2534"/>
      <c r="N94" s="2545"/>
      <c r="O94" s="2534"/>
      <c r="P94" s="2534"/>
      <c r="Q94" s="2534"/>
      <c r="R94" s="2532"/>
      <c r="S94" s="2534"/>
      <c r="T94" s="1361"/>
      <c r="U94" s="1361"/>
      <c r="V94" s="1363"/>
      <c r="W94" s="1214"/>
      <c r="X94" s="1185"/>
      <c r="Y94" s="1185"/>
      <c r="Z94" s="1185"/>
      <c r="AA94" s="1185"/>
      <c r="AB94" s="1185"/>
      <c r="AC94" s="1185" t="s">
        <v>231</v>
      </c>
      <c r="AD94" s="1185" t="s">
        <v>232</v>
      </c>
      <c r="AE94" s="1185" t="s">
        <v>233</v>
      </c>
      <c r="AF94" s="1185" t="s">
        <v>234</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416" customFormat="1" ht="17.25" hidden="1" customHeight="1">
      <c r="A95" s="258"/>
      <c r="C95" s="257"/>
      <c r="D95" s="2547"/>
      <c r="E95" s="2536"/>
      <c r="F95" s="2550"/>
      <c r="G95" s="2536"/>
      <c r="H95" s="2539"/>
      <c r="I95" s="2541"/>
      <c r="J95" s="2543"/>
      <c r="K95" s="2535"/>
      <c r="L95" s="2535"/>
      <c r="M95" s="2535"/>
      <c r="N95" s="2546"/>
      <c r="O95" s="2535"/>
      <c r="P95" s="2535"/>
      <c r="Q95" s="2535"/>
      <c r="R95" s="2533"/>
      <c r="S95" s="2535"/>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416" customFormat="1" ht="17.25" hidden="1" customHeight="1">
      <c r="A96" s="258"/>
      <c r="C96" s="257"/>
      <c r="D96" s="2548"/>
      <c r="E96" s="2537"/>
      <c r="F96" s="2550"/>
      <c r="G96" s="2537"/>
      <c r="H96" s="2539"/>
      <c r="I96" s="2541"/>
      <c r="J96" s="2544"/>
      <c r="K96" s="2535"/>
      <c r="L96" s="2535"/>
      <c r="M96" s="2535"/>
      <c r="N96" s="2533"/>
      <c r="O96" s="2535"/>
      <c r="P96" s="1362"/>
      <c r="Q96" s="1215"/>
      <c r="R96" s="1215"/>
      <c r="S96" s="266"/>
      <c r="T96" s="266"/>
      <c r="U96" s="266"/>
      <c r="V96" s="266"/>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416" customFormat="1" ht="17.25" hidden="1" customHeight="1">
      <c r="A97" s="258"/>
      <c r="C97" s="257"/>
      <c r="D97" s="2548"/>
      <c r="E97" s="2537"/>
      <c r="F97" s="2550"/>
      <c r="G97" s="2537"/>
      <c r="H97" s="2539"/>
      <c r="I97" s="2541"/>
      <c r="J97" s="2544"/>
      <c r="K97" s="2535"/>
      <c r="L97" s="1215"/>
      <c r="M97" s="1215"/>
      <c r="N97" s="1215"/>
      <c r="O97" s="1215"/>
      <c r="P97" s="1215"/>
      <c r="Q97" s="1215"/>
      <c r="R97" s="1215"/>
      <c r="S97" s="266"/>
      <c r="T97" s="266"/>
      <c r="U97" s="266"/>
      <c r="V97" s="266"/>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416" customFormat="1" ht="17.25" hidden="1" customHeight="1">
      <c r="A98" s="258"/>
      <c r="C98" s="257"/>
      <c r="D98" s="2548"/>
      <c r="E98" s="2537"/>
      <c r="F98" s="2551"/>
      <c r="G98" s="2537"/>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416" customFormat="1" ht="17.25" hidden="1" customHeight="1">
      <c r="A99" s="258"/>
      <c r="C99" s="146"/>
      <c r="D99" s="2547">
        <v>5</v>
      </c>
      <c r="E99" s="2536" t="s">
        <v>235</v>
      </c>
      <c r="F99" s="2549" t="s">
        <v>19</v>
      </c>
      <c r="G99" s="2536"/>
      <c r="H99" s="2538"/>
      <c r="I99" s="2540"/>
      <c r="J99" s="2542"/>
      <c r="K99" s="2534"/>
      <c r="L99" s="2534"/>
      <c r="M99" s="2534"/>
      <c r="N99" s="2545"/>
      <c r="O99" s="2534"/>
      <c r="P99" s="2534"/>
      <c r="Q99" s="2534"/>
      <c r="R99" s="2532"/>
      <c r="S99" s="2534"/>
      <c r="T99" s="1855"/>
      <c r="U99" s="1855"/>
      <c r="V99" s="1857"/>
      <c r="W99" s="1214"/>
      <c r="X99" s="1185"/>
      <c r="Y99" s="1185"/>
      <c r="Z99" s="1185"/>
      <c r="AA99" s="1185"/>
      <c r="AB99" s="1185"/>
      <c r="AC99" s="1185" t="s">
        <v>236</v>
      </c>
      <c r="AD99" s="1185" t="s">
        <v>237</v>
      </c>
      <c r="AE99" s="1185" t="s">
        <v>238</v>
      </c>
      <c r="AF99" s="1185" t="s">
        <v>239</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416" customFormat="1" ht="17.25" hidden="1" customHeight="1">
      <c r="A100" s="258"/>
      <c r="C100" s="257"/>
      <c r="D100" s="2547"/>
      <c r="E100" s="2536"/>
      <c r="F100" s="2550"/>
      <c r="G100" s="2536"/>
      <c r="H100" s="2539"/>
      <c r="I100" s="2541"/>
      <c r="J100" s="2543"/>
      <c r="K100" s="2535"/>
      <c r="L100" s="2535"/>
      <c r="M100" s="2535"/>
      <c r="N100" s="2546"/>
      <c r="O100" s="2535"/>
      <c r="P100" s="2535"/>
      <c r="Q100" s="2535"/>
      <c r="R100" s="2533"/>
      <c r="S100" s="2535"/>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416" customFormat="1" ht="17.25" hidden="1" customHeight="1">
      <c r="A101" s="258"/>
      <c r="C101" s="257"/>
      <c r="D101" s="2548"/>
      <c r="E101" s="2537"/>
      <c r="F101" s="2550"/>
      <c r="G101" s="2537"/>
      <c r="H101" s="2539"/>
      <c r="I101" s="2541"/>
      <c r="J101" s="2544"/>
      <c r="K101" s="2535"/>
      <c r="L101" s="2535"/>
      <c r="M101" s="2535"/>
      <c r="N101" s="2533"/>
      <c r="O101" s="2535"/>
      <c r="P101" s="1856"/>
      <c r="Q101" s="1860"/>
      <c r="R101" s="1860"/>
      <c r="S101" s="266"/>
      <c r="T101" s="266"/>
      <c r="U101" s="266"/>
      <c r="V101" s="266"/>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416" customFormat="1" ht="17.25" hidden="1" customHeight="1">
      <c r="A102" s="258"/>
      <c r="C102" s="257"/>
      <c r="D102" s="2548"/>
      <c r="E102" s="2537"/>
      <c r="F102" s="2550"/>
      <c r="G102" s="2537"/>
      <c r="H102" s="2539"/>
      <c r="I102" s="2541"/>
      <c r="J102" s="2544"/>
      <c r="K102" s="2535"/>
      <c r="L102" s="1860"/>
      <c r="M102" s="1860"/>
      <c r="N102" s="1860"/>
      <c r="O102" s="1860"/>
      <c r="P102" s="1860"/>
      <c r="Q102" s="1860"/>
      <c r="R102" s="1860"/>
      <c r="S102" s="266"/>
      <c r="T102" s="266"/>
      <c r="U102" s="266"/>
      <c r="V102" s="266"/>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416" customFormat="1" ht="17.25" hidden="1" customHeight="1">
      <c r="A103" s="258"/>
      <c r="C103" s="257"/>
      <c r="D103" s="2548"/>
      <c r="E103" s="2537"/>
      <c r="F103" s="2551"/>
      <c r="G103" s="2537"/>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416" customFormat="1" ht="11.25" hidden="1" customHeight="1">
      <c r="A104" s="214"/>
      <c r="B104" s="214"/>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416" customFormat="1" ht="17.25" hidden="1" customHeight="1">
      <c r="A105" s="258"/>
      <c r="C105" s="146"/>
      <c r="D105" s="2547">
        <v>1</v>
      </c>
      <c r="E105" s="2536" t="s">
        <v>240</v>
      </c>
      <c r="F105" s="2549" t="s">
        <v>19</v>
      </c>
      <c r="G105" s="2536"/>
      <c r="H105" s="2538"/>
      <c r="I105" s="2540"/>
      <c r="J105" s="2542"/>
      <c r="K105" s="2534"/>
      <c r="L105" s="2534"/>
      <c r="M105" s="2534"/>
      <c r="N105" s="2545"/>
      <c r="O105" s="2534"/>
      <c r="P105" s="2534"/>
      <c r="Q105" s="2534"/>
      <c r="R105" s="2532"/>
      <c r="S105" s="2534"/>
      <c r="T105" s="1388"/>
      <c r="U105" s="1388"/>
      <c r="V105" s="1390"/>
      <c r="W105" s="1214"/>
      <c r="Y105" s="1185"/>
      <c r="Z105" s="1185"/>
      <c r="AA105" s="1185"/>
      <c r="AB105" s="1185"/>
      <c r="AC105" s="1185" t="s">
        <v>241</v>
      </c>
      <c r="AD105" s="1185" t="s">
        <v>242</v>
      </c>
      <c r="AE105" s="1185" t="s">
        <v>243</v>
      </c>
      <c r="AF105" s="1185" t="s">
        <v>244</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416" customFormat="1" ht="17.25" hidden="1" customHeight="1">
      <c r="A106" s="258"/>
      <c r="C106" s="257"/>
      <c r="D106" s="2547"/>
      <c r="E106" s="2536"/>
      <c r="F106" s="2550"/>
      <c r="G106" s="2536"/>
      <c r="H106" s="2539"/>
      <c r="I106" s="2541"/>
      <c r="J106" s="2543"/>
      <c r="K106" s="2535"/>
      <c r="L106" s="2535"/>
      <c r="M106" s="2535"/>
      <c r="N106" s="2546"/>
      <c r="O106" s="2535"/>
      <c r="P106" s="2535"/>
      <c r="Q106" s="2535"/>
      <c r="R106" s="2533"/>
      <c r="S106" s="2535"/>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416" customFormat="1" ht="17.25" hidden="1" customHeight="1">
      <c r="A107" s="258"/>
      <c r="C107" s="146"/>
      <c r="D107" s="2547"/>
      <c r="E107" s="2536"/>
      <c r="F107" s="2550"/>
      <c r="G107" s="2536"/>
      <c r="H107" s="2539"/>
      <c r="I107" s="2541"/>
      <c r="J107" s="2544"/>
      <c r="K107" s="2535"/>
      <c r="L107" s="2535"/>
      <c r="M107" s="2535"/>
      <c r="N107" s="2533"/>
      <c r="O107" s="2535"/>
      <c r="P107" s="1389"/>
      <c r="Q107" s="1215"/>
      <c r="R107" s="1215"/>
      <c r="S107" s="266"/>
      <c r="T107" s="266"/>
      <c r="U107" s="266"/>
      <c r="V107" s="266"/>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416" customFormat="1" ht="17.25" hidden="1" customHeight="1">
      <c r="A108" s="258"/>
      <c r="C108" s="257"/>
      <c r="D108" s="2547"/>
      <c r="E108" s="2536"/>
      <c r="F108" s="2550"/>
      <c r="G108" s="2536"/>
      <c r="H108" s="2539"/>
      <c r="I108" s="2541"/>
      <c r="J108" s="2544"/>
      <c r="K108" s="2535"/>
      <c r="L108" s="1215"/>
      <c r="M108" s="1215"/>
      <c r="N108" s="1215"/>
      <c r="O108" s="1215"/>
      <c r="P108" s="1215"/>
      <c r="Q108" s="1215"/>
      <c r="R108" s="1215"/>
      <c r="S108" s="266"/>
      <c r="T108" s="266"/>
      <c r="U108" s="266"/>
      <c r="V108" s="266"/>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416" customFormat="1" ht="17.25" hidden="1" customHeight="1">
      <c r="A109" s="258"/>
      <c r="C109" s="257"/>
      <c r="D109" s="2548"/>
      <c r="E109" s="2537"/>
      <c r="F109" s="2551"/>
      <c r="G109" s="2537"/>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416" customFormat="1" ht="17.25" hidden="1" customHeight="1">
      <c r="A110" s="258"/>
      <c r="C110" s="146"/>
      <c r="D110" s="2547">
        <v>2</v>
      </c>
      <c r="E110" s="2536" t="s">
        <v>245</v>
      </c>
      <c r="F110" s="2549" t="s">
        <v>19</v>
      </c>
      <c r="G110" s="2536"/>
      <c r="H110" s="2538"/>
      <c r="I110" s="2540"/>
      <c r="J110" s="2542"/>
      <c r="K110" s="2534"/>
      <c r="L110" s="2534"/>
      <c r="M110" s="2534"/>
      <c r="N110" s="2545"/>
      <c r="O110" s="2534"/>
      <c r="P110" s="2534"/>
      <c r="Q110" s="2534"/>
      <c r="R110" s="2532"/>
      <c r="S110" s="2534"/>
      <c r="T110" s="1388"/>
      <c r="U110" s="1388"/>
      <c r="V110" s="1390"/>
      <c r="W110" s="1214"/>
      <c r="X110" s="1185"/>
      <c r="Y110" s="1185"/>
      <c r="Z110" s="1185"/>
      <c r="AA110" s="1185"/>
      <c r="AB110" s="1185"/>
      <c r="AC110" s="1185" t="s">
        <v>246</v>
      </c>
      <c r="AD110" s="1185" t="s">
        <v>247</v>
      </c>
      <c r="AE110" s="1185" t="s">
        <v>248</v>
      </c>
      <c r="AF110" s="1185" t="s">
        <v>249</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416" customFormat="1" ht="17.25" hidden="1" customHeight="1">
      <c r="A111" s="258"/>
      <c r="C111" s="257"/>
      <c r="D111" s="2547"/>
      <c r="E111" s="2536"/>
      <c r="F111" s="2550"/>
      <c r="G111" s="2536"/>
      <c r="H111" s="2539"/>
      <c r="I111" s="2541"/>
      <c r="J111" s="2543"/>
      <c r="K111" s="2535"/>
      <c r="L111" s="2535"/>
      <c r="M111" s="2535"/>
      <c r="N111" s="2546"/>
      <c r="O111" s="2535"/>
      <c r="P111" s="2535"/>
      <c r="Q111" s="2535"/>
      <c r="R111" s="2533"/>
      <c r="S111" s="2535"/>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416" customFormat="1" ht="17.25" hidden="1" customHeight="1">
      <c r="A112" s="258"/>
      <c r="C112" s="257"/>
      <c r="D112" s="2548"/>
      <c r="E112" s="2537"/>
      <c r="F112" s="2550"/>
      <c r="G112" s="2537"/>
      <c r="H112" s="2539"/>
      <c r="I112" s="2541"/>
      <c r="J112" s="2544"/>
      <c r="K112" s="2535"/>
      <c r="L112" s="2535"/>
      <c r="M112" s="2535"/>
      <c r="N112" s="2533"/>
      <c r="O112" s="2535"/>
      <c r="P112" s="1389"/>
      <c r="Q112" s="1215"/>
      <c r="R112" s="1215"/>
      <c r="S112" s="266"/>
      <c r="T112" s="266"/>
      <c r="U112" s="266"/>
      <c r="V112" s="266"/>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416" customFormat="1" ht="17.25" hidden="1" customHeight="1">
      <c r="A113" s="258"/>
      <c r="C113" s="257"/>
      <c r="D113" s="2548"/>
      <c r="E113" s="2537"/>
      <c r="F113" s="2550"/>
      <c r="G113" s="2537"/>
      <c r="H113" s="2539"/>
      <c r="I113" s="2541"/>
      <c r="J113" s="2544"/>
      <c r="K113" s="2535"/>
      <c r="L113" s="1215"/>
      <c r="M113" s="1215"/>
      <c r="N113" s="1215"/>
      <c r="O113" s="1215"/>
      <c r="P113" s="1215"/>
      <c r="Q113" s="1215"/>
      <c r="R113" s="1215"/>
      <c r="S113" s="266"/>
      <c r="T113" s="266"/>
      <c r="U113" s="266"/>
      <c r="V113" s="266"/>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416" customFormat="1" ht="17.25" hidden="1" customHeight="1">
      <c r="A114" s="258"/>
      <c r="C114" s="257"/>
      <c r="D114" s="2548"/>
      <c r="E114" s="2537"/>
      <c r="F114" s="2551"/>
      <c r="G114" s="2537"/>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416" customFormat="1" ht="17.25" hidden="1" customHeight="1">
      <c r="A115" s="258"/>
      <c r="C115" s="146"/>
      <c r="D115" s="2547">
        <v>3</v>
      </c>
      <c r="E115" s="2536" t="s">
        <v>250</v>
      </c>
      <c r="F115" s="2549" t="s">
        <v>19</v>
      </c>
      <c r="G115" s="2536"/>
      <c r="H115" s="2538"/>
      <c r="I115" s="2540"/>
      <c r="J115" s="2542"/>
      <c r="K115" s="2534"/>
      <c r="L115" s="2534"/>
      <c r="M115" s="2534"/>
      <c r="N115" s="2545"/>
      <c r="O115" s="2534"/>
      <c r="P115" s="2534"/>
      <c r="Q115" s="2534"/>
      <c r="R115" s="2532"/>
      <c r="S115" s="2534"/>
      <c r="T115" s="1855"/>
      <c r="U115" s="1855"/>
      <c r="V115" s="1857"/>
      <c r="W115" s="1214"/>
      <c r="X115" s="1185"/>
      <c r="Y115" s="1185"/>
      <c r="Z115" s="1185"/>
      <c r="AA115" s="1185"/>
      <c r="AB115" s="1185"/>
      <c r="AC115" s="1185" t="s">
        <v>251</v>
      </c>
      <c r="AD115" s="1185" t="s">
        <v>252</v>
      </c>
      <c r="AE115" s="1185" t="s">
        <v>253</v>
      </c>
      <c r="AF115" s="1185" t="s">
        <v>254</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416" customFormat="1" ht="17.25" hidden="1" customHeight="1">
      <c r="A116" s="258"/>
      <c r="C116" s="257"/>
      <c r="D116" s="2547"/>
      <c r="E116" s="2536"/>
      <c r="F116" s="2550"/>
      <c r="G116" s="2536"/>
      <c r="H116" s="2539"/>
      <c r="I116" s="2541"/>
      <c r="J116" s="2543"/>
      <c r="K116" s="2535"/>
      <c r="L116" s="2535"/>
      <c r="M116" s="2535"/>
      <c r="N116" s="2546"/>
      <c r="O116" s="2535"/>
      <c r="P116" s="2535"/>
      <c r="Q116" s="2535"/>
      <c r="R116" s="2533"/>
      <c r="S116" s="2535"/>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416" customFormat="1" ht="17.25" hidden="1" customHeight="1">
      <c r="A117" s="258"/>
      <c r="C117" s="257"/>
      <c r="D117" s="2548"/>
      <c r="E117" s="2537"/>
      <c r="F117" s="2550"/>
      <c r="G117" s="2537"/>
      <c r="H117" s="2539"/>
      <c r="I117" s="2541"/>
      <c r="J117" s="2544"/>
      <c r="K117" s="2535"/>
      <c r="L117" s="2535"/>
      <c r="M117" s="2535"/>
      <c r="N117" s="2533"/>
      <c r="O117" s="2535"/>
      <c r="P117" s="1856"/>
      <c r="Q117" s="1860"/>
      <c r="R117" s="1860"/>
      <c r="S117" s="266"/>
      <c r="T117" s="266"/>
      <c r="U117" s="266"/>
      <c r="V117" s="266"/>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416" customFormat="1" ht="17.25" hidden="1" customHeight="1">
      <c r="A118" s="258"/>
      <c r="C118" s="257"/>
      <c r="D118" s="2548"/>
      <c r="E118" s="2537"/>
      <c r="F118" s="2550"/>
      <c r="G118" s="2537"/>
      <c r="H118" s="2539"/>
      <c r="I118" s="2541"/>
      <c r="J118" s="2544"/>
      <c r="K118" s="2535"/>
      <c r="L118" s="1860"/>
      <c r="M118" s="1860"/>
      <c r="N118" s="1860"/>
      <c r="O118" s="1860"/>
      <c r="P118" s="1860"/>
      <c r="Q118" s="1860"/>
      <c r="R118" s="1860"/>
      <c r="S118" s="266"/>
      <c r="T118" s="266"/>
      <c r="U118" s="266"/>
      <c r="V118" s="266"/>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416" customFormat="1" ht="17.25" hidden="1" customHeight="1">
      <c r="A119" s="258"/>
      <c r="C119" s="257"/>
      <c r="D119" s="2548"/>
      <c r="E119" s="2537"/>
      <c r="F119" s="2551"/>
      <c r="G119" s="2537"/>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416" customFormat="1" ht="11.25" hidden="1" customHeight="1">
      <c r="A120" s="214"/>
      <c r="B120" s="214"/>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416" customFormat="1" ht="17.25" hidden="1" customHeight="1">
      <c r="A121" s="258"/>
      <c r="C121" s="146"/>
      <c r="D121" s="2547">
        <v>1</v>
      </c>
      <c r="E121" s="2536" t="s">
        <v>255</v>
      </c>
      <c r="F121" s="2549" t="s">
        <v>19</v>
      </c>
      <c r="G121" s="2536"/>
      <c r="H121" s="2538"/>
      <c r="I121" s="2540"/>
      <c r="J121" s="2542"/>
      <c r="K121" s="2534"/>
      <c r="L121" s="2534"/>
      <c r="M121" s="2534"/>
      <c r="N121" s="2545"/>
      <c r="O121" s="2534"/>
      <c r="P121" s="2534"/>
      <c r="Q121" s="2534"/>
      <c r="R121" s="2532"/>
      <c r="S121" s="2534"/>
      <c r="T121" s="1388"/>
      <c r="U121" s="1388"/>
      <c r="V121" s="1390"/>
      <c r="W121" s="1214"/>
      <c r="Y121" s="1185"/>
      <c r="Z121" s="1185"/>
      <c r="AA121" s="1185"/>
      <c r="AB121" s="1185"/>
      <c r="AC121" s="1185" t="s">
        <v>256</v>
      </c>
      <c r="AD121" s="1185" t="s">
        <v>257</v>
      </c>
      <c r="AE121" s="1185" t="s">
        <v>258</v>
      </c>
      <c r="AF121" s="1185" t="s">
        <v>259</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416" customFormat="1" ht="17.25" hidden="1" customHeight="1">
      <c r="A122" s="258"/>
      <c r="C122" s="257"/>
      <c r="D122" s="2547"/>
      <c r="E122" s="2536"/>
      <c r="F122" s="2550"/>
      <c r="G122" s="2536"/>
      <c r="H122" s="2539"/>
      <c r="I122" s="2541"/>
      <c r="J122" s="2543"/>
      <c r="K122" s="2535"/>
      <c r="L122" s="2535"/>
      <c r="M122" s="2535"/>
      <c r="N122" s="2546"/>
      <c r="O122" s="2535"/>
      <c r="P122" s="2535"/>
      <c r="Q122" s="2535"/>
      <c r="R122" s="2533"/>
      <c r="S122" s="2535"/>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416" customFormat="1" ht="17.25" hidden="1" customHeight="1">
      <c r="A123" s="258"/>
      <c r="C123" s="146"/>
      <c r="D123" s="2547"/>
      <c r="E123" s="2536"/>
      <c r="F123" s="2550"/>
      <c r="G123" s="2536"/>
      <c r="H123" s="2539"/>
      <c r="I123" s="2541"/>
      <c r="J123" s="2544"/>
      <c r="K123" s="2535"/>
      <c r="L123" s="2535"/>
      <c r="M123" s="2535"/>
      <c r="N123" s="2533"/>
      <c r="O123" s="2535"/>
      <c r="P123" s="1389"/>
      <c r="Q123" s="1215"/>
      <c r="R123" s="1215"/>
      <c r="S123" s="266"/>
      <c r="T123" s="266"/>
      <c r="U123" s="266"/>
      <c r="V123" s="266"/>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416" customFormat="1" ht="17.25" hidden="1" customHeight="1">
      <c r="A124" s="258"/>
      <c r="C124" s="257"/>
      <c r="D124" s="2547"/>
      <c r="E124" s="2536"/>
      <c r="F124" s="2550"/>
      <c r="G124" s="2536"/>
      <c r="H124" s="2539"/>
      <c r="I124" s="2541"/>
      <c r="J124" s="2544"/>
      <c r="K124" s="2535"/>
      <c r="L124" s="1215"/>
      <c r="M124" s="1215"/>
      <c r="N124" s="1215"/>
      <c r="O124" s="1215"/>
      <c r="P124" s="1215"/>
      <c r="Q124" s="1215"/>
      <c r="R124" s="1215"/>
      <c r="S124" s="266"/>
      <c r="T124" s="266"/>
      <c r="U124" s="266"/>
      <c r="V124" s="266"/>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416" customFormat="1" ht="17.25" hidden="1" customHeight="1">
      <c r="A125" s="258"/>
      <c r="C125" s="257"/>
      <c r="D125" s="2548"/>
      <c r="E125" s="2537"/>
      <c r="F125" s="2551"/>
      <c r="G125" s="2537"/>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416" customFormat="1" ht="17.25" hidden="1" customHeight="1">
      <c r="A126" s="258"/>
      <c r="C126" s="146"/>
      <c r="D126" s="2547">
        <v>2</v>
      </c>
      <c r="E126" s="2536" t="s">
        <v>260</v>
      </c>
      <c r="F126" s="2549" t="s">
        <v>19</v>
      </c>
      <c r="G126" s="2536"/>
      <c r="H126" s="2538"/>
      <c r="I126" s="2540"/>
      <c r="J126" s="2542"/>
      <c r="K126" s="2534"/>
      <c r="L126" s="2534"/>
      <c r="M126" s="2534"/>
      <c r="N126" s="2545"/>
      <c r="O126" s="2534"/>
      <c r="P126" s="2534"/>
      <c r="Q126" s="2534"/>
      <c r="R126" s="2532"/>
      <c r="S126" s="2534"/>
      <c r="T126" s="1388"/>
      <c r="U126" s="1388"/>
      <c r="V126" s="1390"/>
      <c r="W126" s="1214"/>
      <c r="X126" s="1185"/>
      <c r="Y126" s="1185"/>
      <c r="Z126" s="1185"/>
      <c r="AA126" s="1185"/>
      <c r="AB126" s="1185"/>
      <c r="AC126" s="1185" t="s">
        <v>261</v>
      </c>
      <c r="AD126" s="1185" t="s">
        <v>262</v>
      </c>
      <c r="AE126" s="1185" t="s">
        <v>263</v>
      </c>
      <c r="AF126" s="1185" t="s">
        <v>264</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416" customFormat="1" ht="17.25" hidden="1" customHeight="1">
      <c r="A127" s="258"/>
      <c r="C127" s="257"/>
      <c r="D127" s="2547"/>
      <c r="E127" s="2536"/>
      <c r="F127" s="2550"/>
      <c r="G127" s="2536"/>
      <c r="H127" s="2539"/>
      <c r="I127" s="2541"/>
      <c r="J127" s="2543"/>
      <c r="K127" s="2535"/>
      <c r="L127" s="2535"/>
      <c r="M127" s="2535"/>
      <c r="N127" s="2546"/>
      <c r="O127" s="2535"/>
      <c r="P127" s="2535"/>
      <c r="Q127" s="2535"/>
      <c r="R127" s="2533"/>
      <c r="S127" s="2535"/>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416" customFormat="1" ht="17.25" hidden="1" customHeight="1">
      <c r="A128" s="258"/>
      <c r="C128" s="257"/>
      <c r="D128" s="2548"/>
      <c r="E128" s="2537"/>
      <c r="F128" s="2550"/>
      <c r="G128" s="2537"/>
      <c r="H128" s="2539"/>
      <c r="I128" s="2541"/>
      <c r="J128" s="2544"/>
      <c r="K128" s="2535"/>
      <c r="L128" s="2535"/>
      <c r="M128" s="2535"/>
      <c r="N128" s="2533"/>
      <c r="O128" s="2535"/>
      <c r="P128" s="1389"/>
      <c r="Q128" s="1215"/>
      <c r="R128" s="1215"/>
      <c r="S128" s="266"/>
      <c r="T128" s="266"/>
      <c r="U128" s="266"/>
      <c r="V128" s="266"/>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416" customFormat="1" ht="17.25" hidden="1" customHeight="1">
      <c r="A129" s="258"/>
      <c r="C129" s="257"/>
      <c r="D129" s="2548"/>
      <c r="E129" s="2537"/>
      <c r="F129" s="2550"/>
      <c r="G129" s="2537"/>
      <c r="H129" s="2539"/>
      <c r="I129" s="2541"/>
      <c r="J129" s="2544"/>
      <c r="K129" s="2535"/>
      <c r="L129" s="1215"/>
      <c r="M129" s="1215"/>
      <c r="N129" s="1215"/>
      <c r="O129" s="1215"/>
      <c r="P129" s="1215"/>
      <c r="Q129" s="1215"/>
      <c r="R129" s="1215"/>
      <c r="S129" s="266"/>
      <c r="T129" s="266"/>
      <c r="U129" s="266"/>
      <c r="V129" s="266"/>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416" customFormat="1" ht="17.25" hidden="1" customHeight="1">
      <c r="A130" s="258"/>
      <c r="C130" s="257"/>
      <c r="D130" s="2548"/>
      <c r="E130" s="2537"/>
      <c r="F130" s="2551"/>
      <c r="G130" s="2537"/>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416" customFormat="1" ht="17.25" hidden="1" customHeight="1">
      <c r="A131" s="258"/>
      <c r="C131" s="146"/>
      <c r="D131" s="2547">
        <v>3</v>
      </c>
      <c r="E131" s="2536" t="s">
        <v>265</v>
      </c>
      <c r="F131" s="2549" t="s">
        <v>19</v>
      </c>
      <c r="G131" s="2536"/>
      <c r="H131" s="2538"/>
      <c r="I131" s="2540"/>
      <c r="J131" s="2542"/>
      <c r="K131" s="2534"/>
      <c r="L131" s="2534"/>
      <c r="M131" s="2534"/>
      <c r="N131" s="2545"/>
      <c r="O131" s="2534"/>
      <c r="P131" s="2534"/>
      <c r="Q131" s="2534"/>
      <c r="R131" s="2532"/>
      <c r="S131" s="2534"/>
      <c r="T131" s="1855"/>
      <c r="U131" s="1855"/>
      <c r="V131" s="1857"/>
      <c r="W131" s="1214"/>
      <c r="X131" s="1185"/>
      <c r="Y131" s="1185"/>
      <c r="Z131" s="1185"/>
      <c r="AA131" s="1185"/>
      <c r="AB131" s="1185"/>
      <c r="AC131" s="1185" t="s">
        <v>266</v>
      </c>
      <c r="AD131" s="1185" t="s">
        <v>267</v>
      </c>
      <c r="AE131" s="1185" t="s">
        <v>268</v>
      </c>
      <c r="AF131" s="1185" t="s">
        <v>269</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416" customFormat="1" ht="17.25" hidden="1" customHeight="1">
      <c r="A132" s="258"/>
      <c r="C132" s="257"/>
      <c r="D132" s="2547"/>
      <c r="E132" s="2536"/>
      <c r="F132" s="2550"/>
      <c r="G132" s="2536"/>
      <c r="H132" s="2539"/>
      <c r="I132" s="2541"/>
      <c r="J132" s="2543"/>
      <c r="K132" s="2535"/>
      <c r="L132" s="2535"/>
      <c r="M132" s="2535"/>
      <c r="N132" s="2546"/>
      <c r="O132" s="2535"/>
      <c r="P132" s="2535"/>
      <c r="Q132" s="2535"/>
      <c r="R132" s="2533"/>
      <c r="S132" s="2535"/>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416" customFormat="1" ht="17.25" hidden="1" customHeight="1">
      <c r="A133" s="258"/>
      <c r="C133" s="257"/>
      <c r="D133" s="2548"/>
      <c r="E133" s="2537"/>
      <c r="F133" s="2550"/>
      <c r="G133" s="2537"/>
      <c r="H133" s="2539"/>
      <c r="I133" s="2541"/>
      <c r="J133" s="2544"/>
      <c r="K133" s="2535"/>
      <c r="L133" s="2535"/>
      <c r="M133" s="2535"/>
      <c r="N133" s="2533"/>
      <c r="O133" s="2535"/>
      <c r="P133" s="1856"/>
      <c r="Q133" s="1860"/>
      <c r="R133" s="1860"/>
      <c r="S133" s="266"/>
      <c r="T133" s="266"/>
      <c r="U133" s="266"/>
      <c r="V133" s="266"/>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416" customFormat="1" ht="17.25" hidden="1" customHeight="1">
      <c r="A134" s="258"/>
      <c r="C134" s="257"/>
      <c r="D134" s="2548"/>
      <c r="E134" s="2537"/>
      <c r="F134" s="2550"/>
      <c r="G134" s="2537"/>
      <c r="H134" s="2539"/>
      <c r="I134" s="2541"/>
      <c r="J134" s="2544"/>
      <c r="K134" s="2535"/>
      <c r="L134" s="1860"/>
      <c r="M134" s="1860"/>
      <c r="N134" s="1860"/>
      <c r="O134" s="1860"/>
      <c r="P134" s="1860"/>
      <c r="Q134" s="1860"/>
      <c r="R134" s="1860"/>
      <c r="S134" s="266"/>
      <c r="T134" s="266"/>
      <c r="U134" s="266"/>
      <c r="V134" s="266"/>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416" customFormat="1" ht="17.25" hidden="1" customHeight="1">
      <c r="A135" s="258"/>
      <c r="C135" s="257"/>
      <c r="D135" s="2548"/>
      <c r="E135" s="2537"/>
      <c r="F135" s="2551"/>
      <c r="G135" s="2537"/>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4">
        <v>11</v>
      </c>
    </row>
    <row r="137" spans="1:44" ht="11.45" customHeight="1">
      <c r="AR137" s="44">
        <v>11</v>
      </c>
    </row>
    <row r="138" spans="1:44" ht="11.45" customHeight="1">
      <c r="AR138" s="44">
        <v>11</v>
      </c>
    </row>
    <row r="139" spans="1:44" ht="11.45" customHeight="1">
      <c r="E139" s="1268"/>
      <c r="AR139" s="44">
        <v>11</v>
      </c>
    </row>
    <row r="140" spans="1:44" ht="11.45" customHeight="1">
      <c r="E140" s="1268"/>
      <c r="AR140" s="44">
        <v>11</v>
      </c>
    </row>
    <row r="141" spans="1:44" ht="11.45" customHeight="1">
      <c r="E141" s="1268"/>
      <c r="AR141" s="44">
        <v>11</v>
      </c>
    </row>
    <row r="142" spans="1:44" ht="11.45" customHeight="1">
      <c r="E142" s="1268"/>
      <c r="AR142" s="44">
        <v>11</v>
      </c>
    </row>
    <row r="143" spans="1:44" ht="11.45" customHeight="1">
      <c r="E143" s="1268"/>
      <c r="AR143" s="44">
        <v>11</v>
      </c>
    </row>
    <row r="144" spans="1:44" ht="11.45" customHeight="1">
      <c r="E144" s="1268"/>
      <c r="AR144" s="44">
        <v>11</v>
      </c>
    </row>
    <row r="145" spans="1:44" ht="11.45" customHeight="1">
      <c r="E145" s="1268"/>
      <c r="AR145" s="44">
        <v>11</v>
      </c>
    </row>
    <row r="146" spans="1:44" ht="11.25" hidden="1" customHeight="1">
      <c r="A146" s="91" t="s">
        <v>78</v>
      </c>
      <c r="B146" s="91">
        <v>0</v>
      </c>
      <c r="C146" s="44">
        <v>3</v>
      </c>
      <c r="D146" s="44">
        <v>6</v>
      </c>
      <c r="E146" s="44">
        <v>42</v>
      </c>
      <c r="F146" s="1201">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398" hidden="1" customWidth="1"/>
    <col min="2" max="2" width="9.140625" style="2400" hidden="1" customWidth="1"/>
    <col min="3" max="3" width="4" style="2444" customWidth="1"/>
    <col min="4" max="4" width="6" style="2400" customWidth="1"/>
    <col min="5" max="5" width="47" style="2400" customWidth="1"/>
    <col min="6" max="6" width="9" style="2400" customWidth="1"/>
    <col min="7" max="7" width="25.7109375" style="2400" hidden="1" customWidth="1"/>
    <col min="8" max="8" width="34" style="2400" hidden="1" customWidth="1"/>
    <col min="9" max="9" width="25.7109375" style="2400" customWidth="1"/>
    <col min="10" max="10" width="33" style="2400" customWidth="1"/>
    <col min="11" max="11" width="50" style="2406" customWidth="1"/>
    <col min="12" max="20" width="10" style="2400" customWidth="1"/>
    <col min="21" max="21" width="10" style="2445" customWidth="1"/>
    <col min="22" max="22" width="10.5703125" style="2400" hidden="1"/>
  </cols>
  <sheetData>
    <row r="1" spans="1:22" s="2406" customFormat="1" ht="22.5" hidden="1" customHeight="1">
      <c r="C1" s="608"/>
      <c r="G1" s="353">
        <v>4</v>
      </c>
      <c r="I1" s="353">
        <v>4</v>
      </c>
      <c r="U1" s="356"/>
      <c r="V1" s="353" t="s">
        <v>14</v>
      </c>
    </row>
    <row r="2" spans="1:22" s="2400" customFormat="1" ht="15" hidden="1" customHeight="1">
      <c r="A2" s="298"/>
      <c r="C2" s="113"/>
      <c r="D2" s="283"/>
      <c r="E2" s="609"/>
      <c r="F2" s="458"/>
      <c r="G2" s="552"/>
      <c r="H2" s="552"/>
      <c r="I2" s="552"/>
      <c r="J2" s="552"/>
      <c r="U2" s="610"/>
      <c r="V2" s="445">
        <v>0</v>
      </c>
    </row>
    <row r="3" spans="1:22" s="2406"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623" t="s">
        <v>1208</v>
      </c>
      <c r="E5" s="2623"/>
      <c r="F5" s="2623"/>
      <c r="G5" s="2623"/>
      <c r="H5" s="2623"/>
      <c r="I5" s="2623"/>
      <c r="J5" s="2623"/>
      <c r="V5" s="441">
        <v>63</v>
      </c>
    </row>
    <row r="6" spans="1:22" ht="15.75" customHeight="1">
      <c r="C6" s="113"/>
      <c r="D6" s="2595" t="str">
        <f>IF(org=0,"Не определено",org)</f>
        <v>ПАО "ТГК-1" (филиал "Кольский")</v>
      </c>
      <c r="E6" s="2595"/>
      <c r="F6" s="2595"/>
      <c r="G6" s="2595"/>
      <c r="H6" s="2595"/>
      <c r="I6" s="2595"/>
      <c r="J6" s="2595"/>
      <c r="K6" s="473"/>
      <c r="V6" s="441">
        <v>15</v>
      </c>
    </row>
    <row r="7" spans="1:22" ht="15.75" customHeight="1">
      <c r="C7" s="113"/>
      <c r="D7" s="688"/>
      <c r="E7" s="445"/>
      <c r="F7" s="445"/>
      <c r="G7" s="473">
        <v>22</v>
      </c>
      <c r="I7" s="473">
        <v>1</v>
      </c>
      <c r="J7" s="688"/>
      <c r="V7" s="441">
        <v>15</v>
      </c>
    </row>
    <row r="8" spans="1:22" s="2400" customFormat="1" ht="1.1499999999999999" customHeight="1">
      <c r="A8" s="693"/>
      <c r="C8" s="113"/>
      <c r="D8" s="445"/>
      <c r="E8" s="445"/>
      <c r="F8" s="445"/>
      <c r="G8" s="473"/>
      <c r="H8" s="688"/>
      <c r="I8" s="473" t="s">
        <v>110</v>
      </c>
      <c r="J8" s="688"/>
      <c r="K8" s="353"/>
      <c r="U8" s="611"/>
      <c r="V8" s="692">
        <v>1</v>
      </c>
    </row>
    <row r="9" spans="1:22" ht="15.75" customHeight="1">
      <c r="C9" s="113"/>
      <c r="D9" s="647"/>
      <c r="E9" s="2729" t="s">
        <v>98</v>
      </c>
      <c r="F9" s="2730"/>
      <c r="G9" s="2754" t="str">
        <f>IF(G8="","",INDEX(DIFFERENTIATION_UNMERGE_VD,MATCH(G8,DIFFERENTIATION_ID_DIFF,0)))</f>
        <v/>
      </c>
      <c r="H9" s="2755"/>
      <c r="I9" s="2754">
        <f>IF(I8="","",INDEX(DIFFERENTIATION_UNMERGE_VD,MATCH(I8,DIFFERENTIATION_ID_DIFF,0)))</f>
        <v>0</v>
      </c>
      <c r="J9" s="2755"/>
      <c r="K9" s="2573" t="s">
        <v>292</v>
      </c>
      <c r="V9" s="441">
        <v>15</v>
      </c>
    </row>
    <row r="10" spans="1:22" s="2400" customFormat="1" ht="15.75" customHeight="1">
      <c r="A10" s="693"/>
      <c r="C10" s="113"/>
      <c r="D10" s="647"/>
      <c r="E10" s="2729" t="s">
        <v>555</v>
      </c>
      <c r="F10" s="2730"/>
      <c r="G10" s="2754" t="str">
        <f>IF(G8="","",INDEX(DIFFERENTIATION_UNMERGE_AREA,MATCH(G8,DIFFERENTIATION_ID_DIFF,0)))</f>
        <v/>
      </c>
      <c r="H10" s="2755"/>
      <c r="I10" s="2754" t="str">
        <f>IF(I8="","",INDEX(DIFFERENTIATION_UNMERGE_AREA,MATCH(I8,DIFFERENTIATION_ID_DIFF,0)))</f>
        <v/>
      </c>
      <c r="J10" s="2755"/>
      <c r="K10" s="2578"/>
      <c r="U10" s="611"/>
      <c r="V10" s="692">
        <v>15</v>
      </c>
    </row>
    <row r="11" spans="1:22" s="2400" customFormat="1" ht="15.75" customHeight="1">
      <c r="A11" s="693"/>
      <c r="C11" s="113"/>
      <c r="D11" s="647"/>
      <c r="E11" s="2729" t="s">
        <v>556</v>
      </c>
      <c r="F11" s="2730"/>
      <c r="G11" s="2754" t="str">
        <f>IF(G8="","",INDEX(DIFFERENTIATION_UNMERGE_SYSTEM,MATCH(G8,DIFFERENTIATION_ID_DIFF,0)))</f>
        <v/>
      </c>
      <c r="H11" s="2755"/>
      <c r="I11" s="2754" t="str">
        <f>IF(I8="","",INDEX(DIFFERENTIATION_UNMERGE_SYSTEM,MATCH(I8,DIFFERENTIATION_ID_DIFF,0)))</f>
        <v>без дифференциации</v>
      </c>
      <c r="J11" s="2755"/>
      <c r="K11" s="2578"/>
      <c r="U11" s="611"/>
      <c r="V11" s="692">
        <v>15</v>
      </c>
    </row>
    <row r="12" spans="1:22" s="2400" customFormat="1" ht="15.75" customHeight="1">
      <c r="A12" s="693"/>
      <c r="C12" s="113"/>
      <c r="D12" s="2731" t="s">
        <v>291</v>
      </c>
      <c r="E12" s="2732"/>
      <c r="F12" s="2732"/>
      <c r="G12" s="812"/>
      <c r="H12" s="812"/>
      <c r="I12" s="812"/>
      <c r="J12" s="812"/>
      <c r="K12" s="2578"/>
      <c r="U12" s="611"/>
      <c r="V12" s="692">
        <v>15</v>
      </c>
    </row>
    <row r="13" spans="1:22" ht="35.65" customHeight="1">
      <c r="C13" s="113"/>
      <c r="D13" s="735" t="s">
        <v>84</v>
      </c>
      <c r="E13" s="737" t="s">
        <v>293</v>
      </c>
      <c r="F13" s="737" t="s">
        <v>557</v>
      </c>
      <c r="G13" s="738" t="s">
        <v>294</v>
      </c>
      <c r="H13" s="737" t="s">
        <v>381</v>
      </c>
      <c r="I13" s="738" t="s">
        <v>294</v>
      </c>
      <c r="J13" s="737" t="s">
        <v>381</v>
      </c>
      <c r="K13" s="2628"/>
      <c r="V13" s="441">
        <v>34</v>
      </c>
    </row>
    <row r="14" spans="1:22" ht="15" hidden="1" customHeight="1">
      <c r="C14" s="113"/>
      <c r="D14" s="529" t="s">
        <v>102</v>
      </c>
      <c r="E14" s="529" t="s">
        <v>103</v>
      </c>
      <c r="F14" s="529" t="s">
        <v>86</v>
      </c>
      <c r="G14" s="595" t="str">
        <f>G1&amp;".1"</f>
        <v>4.1</v>
      </c>
      <c r="H14" s="595"/>
      <c r="I14" s="595" t="str">
        <f>I1&amp;".1"</f>
        <v>4.1</v>
      </c>
      <c r="J14" s="595"/>
      <c r="K14" s="226"/>
      <c r="V14" s="441">
        <v>0</v>
      </c>
    </row>
    <row r="15" spans="1:22" ht="22.5" hidden="1" customHeight="1">
      <c r="A15" s="441"/>
      <c r="C15" s="462"/>
      <c r="D15" s="457">
        <v>1</v>
      </c>
      <c r="E15" s="613" t="s">
        <v>800</v>
      </c>
      <c r="F15" s="457" t="s">
        <v>801</v>
      </c>
      <c r="G15" s="614"/>
      <c r="H15" s="614"/>
      <c r="I15" s="614"/>
      <c r="J15" s="614"/>
      <c r="K15" s="226" t="s">
        <v>802</v>
      </c>
      <c r="V15" s="441">
        <v>0</v>
      </c>
    </row>
    <row r="16" spans="1:22" ht="22.5" hidden="1" customHeight="1">
      <c r="A16" s="441"/>
      <c r="C16" s="462"/>
      <c r="D16" s="457">
        <v>2</v>
      </c>
      <c r="E16" s="216" t="s">
        <v>803</v>
      </c>
      <c r="F16" s="457" t="s">
        <v>804</v>
      </c>
      <c r="G16" s="614"/>
      <c r="H16" s="614"/>
      <c r="I16" s="614"/>
      <c r="J16" s="614"/>
      <c r="K16" s="226" t="s">
        <v>805</v>
      </c>
      <c r="V16" s="441">
        <v>0</v>
      </c>
    </row>
    <row r="17" spans="1:22" ht="123.75" hidden="1" customHeight="1">
      <c r="A17" s="441"/>
      <c r="C17" s="462"/>
      <c r="D17" s="457">
        <v>3</v>
      </c>
      <c r="E17" s="216" t="s">
        <v>1209</v>
      </c>
      <c r="F17" s="457" t="s">
        <v>297</v>
      </c>
      <c r="G17" s="614"/>
      <c r="H17" s="614"/>
      <c r="I17" s="614"/>
      <c r="J17" s="614"/>
      <c r="K17" s="226" t="s">
        <v>1210</v>
      </c>
      <c r="V17" s="441">
        <v>0</v>
      </c>
    </row>
    <row r="18" spans="1:22" ht="48.2" customHeight="1">
      <c r="A18" s="441"/>
      <c r="C18" s="462"/>
      <c r="D18" s="457">
        <v>3</v>
      </c>
      <c r="E18" s="216" t="s">
        <v>806</v>
      </c>
      <c r="F18" s="457" t="s">
        <v>297</v>
      </c>
      <c r="G18" s="739" t="s">
        <v>297</v>
      </c>
      <c r="H18" s="740" t="s">
        <v>297</v>
      </c>
      <c r="I18" s="457" t="s">
        <v>297</v>
      </c>
      <c r="J18" s="514" t="s">
        <v>297</v>
      </c>
      <c r="K18" s="226" t="s">
        <v>1211</v>
      </c>
      <c r="V18" s="441">
        <v>46</v>
      </c>
    </row>
    <row r="19" spans="1:22" ht="35.65" customHeight="1">
      <c r="A19" s="441"/>
      <c r="C19" s="462"/>
      <c r="D19" s="475" t="s">
        <v>315</v>
      </c>
      <c r="E19" s="495" t="s">
        <v>808</v>
      </c>
      <c r="F19" s="457" t="s">
        <v>809</v>
      </c>
      <c r="G19" s="747"/>
      <c r="H19" s="46"/>
      <c r="I19" s="747"/>
      <c r="J19" s="748"/>
      <c r="K19" s="615"/>
      <c r="V19" s="441">
        <v>34</v>
      </c>
    </row>
    <row r="20" spans="1:22" ht="35.65" customHeight="1">
      <c r="A20" s="441"/>
      <c r="C20" s="462"/>
      <c r="D20" s="1805" t="s">
        <v>323</v>
      </c>
      <c r="E20" s="495" t="s">
        <v>810</v>
      </c>
      <c r="F20" s="457" t="s">
        <v>811</v>
      </c>
      <c r="G20" s="747"/>
      <c r="H20" s="46"/>
      <c r="I20" s="747"/>
      <c r="J20" s="46"/>
      <c r="K20" s="615"/>
      <c r="V20" s="441">
        <v>34</v>
      </c>
    </row>
    <row r="21" spans="1:22" ht="48.2" customHeight="1">
      <c r="A21" s="441"/>
      <c r="C21" s="462"/>
      <c r="D21" s="1805" t="s">
        <v>325</v>
      </c>
      <c r="E21" s="495" t="s">
        <v>812</v>
      </c>
      <c r="F21" s="457" t="s">
        <v>562</v>
      </c>
      <c r="G21" s="616"/>
      <c r="H21" s="46"/>
      <c r="I21" s="616"/>
      <c r="J21" s="46"/>
      <c r="K21" s="615"/>
      <c r="V21" s="441">
        <v>46</v>
      </c>
    </row>
    <row r="22" spans="1:22" ht="67.5" hidden="1" customHeight="1">
      <c r="A22" s="441"/>
      <c r="C22" s="462"/>
      <c r="D22" s="457">
        <v>5</v>
      </c>
      <c r="E22" s="216" t="s">
        <v>1212</v>
      </c>
      <c r="F22" s="457" t="s">
        <v>549</v>
      </c>
      <c r="G22" s="617"/>
      <c r="H22" s="618"/>
      <c r="I22" s="617"/>
      <c r="J22" s="618"/>
      <c r="K22" s="226" t="s">
        <v>1213</v>
      </c>
      <c r="V22" s="441">
        <v>0</v>
      </c>
    </row>
    <row r="23" spans="1:22" ht="33.75" hidden="1" customHeight="1">
      <c r="C23" s="387"/>
      <c r="D23" s="457">
        <v>6</v>
      </c>
      <c r="E23" s="216" t="s">
        <v>1214</v>
      </c>
      <c r="F23" s="457" t="s">
        <v>1215</v>
      </c>
      <c r="G23" s="617"/>
      <c r="H23" s="617"/>
      <c r="I23" s="617"/>
      <c r="J23" s="617"/>
      <c r="K23" s="226" t="s">
        <v>1216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78</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459" customWidth="1"/>
    <col min="2" max="2" width="11" style="2410" customWidth="1"/>
    <col min="3" max="3" width="9.140625" style="2410"/>
    <col min="4" max="4" width="26.5703125" style="2410" customWidth="1"/>
    <col min="5" max="5" width="36.85546875" style="2455" customWidth="1"/>
    <col min="6" max="6" width="23.5703125" style="2455" customWidth="1"/>
    <col min="7" max="7" width="31.42578125" style="2455" customWidth="1"/>
    <col min="8" max="8" width="40.85546875" style="2455" customWidth="1"/>
    <col min="9" max="9" width="14.5703125" style="2455" customWidth="1"/>
    <col min="10" max="10" width="26.85546875" style="2455" customWidth="1"/>
    <col min="11" max="11" width="50" style="2455" customWidth="1"/>
    <col min="12" max="12" width="52.42578125" style="2455" customWidth="1"/>
    <col min="13" max="13" width="10.7109375" style="2455" customWidth="1"/>
    <col min="14" max="14" width="55.140625" style="2455" customWidth="1"/>
    <col min="15" max="15" width="31.85546875" style="2455" customWidth="1"/>
    <col min="16" max="16" width="23.85546875" style="2455" customWidth="1"/>
    <col min="17" max="17" width="46.5703125" style="2455" customWidth="1"/>
    <col min="18" max="18" width="24" style="2455" customWidth="1"/>
    <col min="19" max="19" width="20.5703125" style="2455" customWidth="1"/>
    <col min="20" max="20" width="22" style="2455" customWidth="1"/>
    <col min="21" max="22" width="26.42578125" style="2455" customWidth="1"/>
    <col min="23" max="23" width="8.28515625" style="2455" hidden="1" customWidth="1"/>
    <col min="24" max="24" width="59.7109375" style="2455" customWidth="1"/>
    <col min="25" max="25" width="49.140625" style="2455" customWidth="1"/>
    <col min="26" max="26" width="11.140625" style="2455" customWidth="1"/>
    <col min="27" max="30" width="29" style="2455" customWidth="1"/>
    <col min="31" max="31" width="9.140625" style="2455"/>
    <col min="32" max="32" width="34.7109375" style="2455" customWidth="1"/>
    <col min="33" max="33" width="9.140625" style="2455"/>
    <col min="34" max="35" width="34.42578125" style="2455" customWidth="1"/>
    <col min="36" max="36" width="9.140625" style="2455"/>
    <col min="37" max="37" width="24.5703125" style="2455" customWidth="1"/>
    <col min="38" max="38" width="9.140625" style="2455"/>
    <col min="39" max="39" width="26.140625" style="2455" customWidth="1"/>
    <col min="40" max="40" width="1.7109375" style="2455" customWidth="1"/>
    <col min="41" max="41" width="9.140625" style="2455"/>
    <col min="42" max="43" width="47.85546875" style="2455" customWidth="1"/>
    <col min="44" max="44" width="1.7109375" style="2455" customWidth="1"/>
    <col min="45" max="45" width="21.42578125" style="2455" customWidth="1"/>
    <col min="46" max="46" width="1.7109375" style="2455" customWidth="1"/>
    <col min="47" max="47" width="31.28515625" style="2455" customWidth="1"/>
    <col min="48" max="48" width="1.7109375" style="2455" customWidth="1"/>
    <col min="49" max="50" width="9.140625" style="2455"/>
    <col min="51" max="51" width="3.7109375" style="2455" customWidth="1"/>
    <col min="52" max="52" width="60.85546875" style="2455" customWidth="1"/>
    <col min="53" max="53" width="49.28515625" style="2455" customWidth="1"/>
    <col min="54" max="54" width="35.140625" style="2455" customWidth="1"/>
    <col min="55" max="55" width="9.140625" style="2455"/>
    <col min="56" max="56" width="1.7109375" style="2455" customWidth="1"/>
    <col min="57" max="57" width="12.5703125" style="2460" customWidth="1"/>
    <col min="58" max="58" width="14.28515625" style="2460" customWidth="1"/>
    <col min="59" max="59" width="30.7109375" style="2455" customWidth="1"/>
    <col min="60" max="60" width="40.7109375" style="2461" customWidth="1"/>
    <col min="61" max="61" width="15" style="2461" customWidth="1"/>
    <col min="62" max="62" width="40.7109375" style="2461" customWidth="1"/>
    <col min="63" max="63" width="2.7109375" style="2461" customWidth="1"/>
    <col min="64" max="64" width="44.7109375" style="2461" customWidth="1"/>
    <col min="65" max="65" width="2.7109375" style="2461" customWidth="1"/>
    <col min="66" max="66" width="40.7109375" style="2461" customWidth="1"/>
    <col min="67" max="68" width="9.140625" style="2455"/>
    <col min="69" max="69" width="18.140625" style="2455" customWidth="1"/>
    <col min="70" max="70" width="57.85546875" style="2455" customWidth="1"/>
    <col min="71" max="71" width="1.7109375" style="2455" customWidth="1"/>
    <col min="72" max="72" width="22.5703125" style="2455" customWidth="1"/>
    <col min="73" max="73" width="57.85546875" style="2455" customWidth="1"/>
    <col min="74" max="74" width="1.7109375" style="2455" customWidth="1"/>
    <col min="75" max="75" width="22.5703125" style="2455" customWidth="1"/>
    <col min="76" max="76" width="57.85546875" style="2455" customWidth="1"/>
    <col min="77" max="77" width="1.7109375" style="2455" customWidth="1"/>
    <col min="78" max="78" width="22.5703125" style="2455" customWidth="1"/>
    <col min="79" max="79" width="57.85546875" style="2455" customWidth="1"/>
    <col min="80" max="81" width="9.140625" style="2455"/>
    <col min="82" max="82" width="49.5703125" style="2455" customWidth="1"/>
  </cols>
  <sheetData>
    <row r="1" spans="1:79" s="2458" customFormat="1" ht="11.25" customHeight="1">
      <c r="A1" s="989" t="s">
        <v>1217</v>
      </c>
      <c r="B1" s="989" t="s">
        <v>1218</v>
      </c>
      <c r="C1" s="989" t="s">
        <v>1219</v>
      </c>
      <c r="D1" s="989" t="s">
        <v>1220</v>
      </c>
      <c r="E1" s="989" t="s">
        <v>1221</v>
      </c>
      <c r="F1" s="989" t="s">
        <v>1222</v>
      </c>
      <c r="G1" s="989" t="s">
        <v>1223</v>
      </c>
      <c r="H1" s="989" t="s">
        <v>1224</v>
      </c>
      <c r="I1" s="989" t="s">
        <v>1225</v>
      </c>
      <c r="J1" s="989" t="s">
        <v>1226</v>
      </c>
      <c r="K1" s="989" t="s">
        <v>1227</v>
      </c>
      <c r="L1" s="989" t="s">
        <v>1228</v>
      </c>
      <c r="M1" s="989"/>
      <c r="N1" s="989" t="s">
        <v>1229</v>
      </c>
      <c r="O1" s="989" t="s">
        <v>1230</v>
      </c>
      <c r="P1" s="989" t="s">
        <v>1231</v>
      </c>
      <c r="Q1" s="989" t="s">
        <v>1232</v>
      </c>
      <c r="R1" s="989" t="s">
        <v>1233</v>
      </c>
      <c r="S1" s="989" t="s">
        <v>1234</v>
      </c>
      <c r="T1" s="989" t="s">
        <v>1235</v>
      </c>
      <c r="U1" s="989" t="s">
        <v>1236</v>
      </c>
      <c r="V1" s="989"/>
      <c r="W1" s="727" t="s">
        <v>1237</v>
      </c>
      <c r="X1" s="989" t="s">
        <v>1238</v>
      </c>
      <c r="Y1" s="989" t="s">
        <v>1239</v>
      </c>
      <c r="Z1" s="989"/>
      <c r="AA1" s="989" t="s">
        <v>1240</v>
      </c>
      <c r="AB1" s="989"/>
      <c r="AC1" s="989" t="s">
        <v>1241</v>
      </c>
      <c r="AD1" s="989"/>
      <c r="AF1" s="989" t="s">
        <v>1242</v>
      </c>
      <c r="AH1" s="989" t="s">
        <v>1243</v>
      </c>
      <c r="AI1" s="989" t="s">
        <v>1244</v>
      </c>
      <c r="AK1" s="989" t="s">
        <v>1245</v>
      </c>
      <c r="AM1" s="989" t="s">
        <v>1246</v>
      </c>
      <c r="AP1" s="989" t="s">
        <v>1247</v>
      </c>
      <c r="AQ1" s="989" t="s">
        <v>1248</v>
      </c>
      <c r="AS1" s="989" t="s">
        <v>1249</v>
      </c>
      <c r="AU1" s="989" t="s">
        <v>1250</v>
      </c>
      <c r="AW1" s="989" t="s">
        <v>1251</v>
      </c>
      <c r="AX1" s="989" t="s">
        <v>1252</v>
      </c>
      <c r="AZ1" s="1070" t="s">
        <v>1253</v>
      </c>
      <c r="BB1" s="989" t="s">
        <v>1254</v>
      </c>
      <c r="BC1" s="989"/>
      <c r="BE1" s="989" t="s">
        <v>1255</v>
      </c>
      <c r="BF1" s="989" t="s">
        <v>1256</v>
      </c>
      <c r="BH1" s="991" t="s">
        <v>799</v>
      </c>
      <c r="BI1" s="992"/>
      <c r="BJ1" s="993" t="s">
        <v>1257</v>
      </c>
      <c r="BK1" s="992"/>
      <c r="BL1" s="994" t="s">
        <v>898</v>
      </c>
      <c r="BM1" s="992"/>
      <c r="BN1" s="995" t="s">
        <v>1258</v>
      </c>
      <c r="BS1" s="1345"/>
    </row>
    <row r="2" spans="1:79" ht="11.25" customHeight="1">
      <c r="A2" s="996" t="s">
        <v>1259</v>
      </c>
      <c r="B2" s="997">
        <v>2000</v>
      </c>
      <c r="C2" s="997">
        <v>2022</v>
      </c>
      <c r="D2" s="997" t="s">
        <v>65</v>
      </c>
      <c r="E2" s="998" t="s">
        <v>1260</v>
      </c>
      <c r="F2" s="998" t="s">
        <v>1261</v>
      </c>
      <c r="G2" s="998" t="s">
        <v>1262</v>
      </c>
      <c r="H2" s="999" t="s">
        <v>54</v>
      </c>
      <c r="I2" s="998" t="s">
        <v>102</v>
      </c>
      <c r="J2" s="998" t="s">
        <v>1263</v>
      </c>
      <c r="K2" s="1000" t="s">
        <v>1264</v>
      </c>
      <c r="L2" s="1001"/>
      <c r="M2" s="1000">
        <v>1</v>
      </c>
      <c r="N2" s="1080" t="s">
        <v>1265</v>
      </c>
      <c r="O2" s="999" t="s">
        <v>1266</v>
      </c>
      <c r="P2" s="1002" t="s">
        <v>1267</v>
      </c>
      <c r="Q2" s="1003" t="s">
        <v>1268</v>
      </c>
      <c r="R2" s="82" t="s">
        <v>1269</v>
      </c>
      <c r="S2" s="82" t="s">
        <v>1270</v>
      </c>
      <c r="T2" s="1004" t="s">
        <v>1271</v>
      </c>
      <c r="U2" s="1001" t="s">
        <v>1272</v>
      </c>
      <c r="V2" s="1005">
        <v>1</v>
      </c>
      <c r="W2" s="1006"/>
      <c r="X2" s="1006" t="s">
        <v>1273</v>
      </c>
      <c r="Y2" s="997" t="s">
        <v>1274</v>
      </c>
      <c r="Z2" s="1007"/>
      <c r="AA2" s="997" t="s">
        <v>1275</v>
      </c>
      <c r="AB2" s="1008" t="s">
        <v>1275</v>
      </c>
      <c r="AC2" s="997" t="s">
        <v>1276</v>
      </c>
      <c r="AD2" s="1008" t="s">
        <v>1276</v>
      </c>
      <c r="AF2" s="999" t="s">
        <v>1272</v>
      </c>
      <c r="AH2" s="998" t="s">
        <v>1277</v>
      </c>
      <c r="AI2" s="998" t="s">
        <v>1277</v>
      </c>
      <c r="AK2" s="998" t="s">
        <v>1278</v>
      </c>
      <c r="AM2" s="998" t="s">
        <v>1279</v>
      </c>
      <c r="AP2" s="1009" t="s">
        <v>1273</v>
      </c>
      <c r="AQ2" s="1010" t="s">
        <v>1273</v>
      </c>
      <c r="AS2" s="997" t="s">
        <v>1280</v>
      </c>
      <c r="AU2" s="1039" t="s">
        <v>1281</v>
      </c>
      <c r="AW2" s="1039" t="s">
        <v>1282</v>
      </c>
      <c r="AX2" s="1039" t="s">
        <v>1282</v>
      </c>
      <c r="AZ2" s="1039" t="s">
        <v>1283</v>
      </c>
      <c r="BB2" s="1039" t="s">
        <v>1284</v>
      </c>
      <c r="BC2" s="1039" t="s">
        <v>1285</v>
      </c>
      <c r="BE2" s="1039">
        <v>2000</v>
      </c>
      <c r="BF2" s="1039" t="s">
        <v>1286</v>
      </c>
    </row>
    <row r="3" spans="1:79" ht="11.25" customHeight="1">
      <c r="A3" s="996" t="s">
        <v>1287</v>
      </c>
      <c r="B3" s="997">
        <v>2001</v>
      </c>
      <c r="C3" s="997">
        <v>2023</v>
      </c>
      <c r="D3" s="997" t="s">
        <v>19</v>
      </c>
      <c r="E3" s="998" t="s">
        <v>1288</v>
      </c>
      <c r="F3" s="998" t="s">
        <v>1289</v>
      </c>
      <c r="G3" s="998" t="s">
        <v>1290</v>
      </c>
      <c r="H3" s="999" t="s">
        <v>1291</v>
      </c>
      <c r="I3" s="998" t="s">
        <v>103</v>
      </c>
      <c r="J3" s="998" t="s">
        <v>547</v>
      </c>
      <c r="K3" s="1000" t="s">
        <v>1292</v>
      </c>
      <c r="L3" s="1001">
        <f>IFERROR(MATCH(K3,OFFER_METHOD,0),0)</f>
        <v>0</v>
      </c>
      <c r="M3" s="1000">
        <v>2</v>
      </c>
      <c r="N3" s="1080" t="s">
        <v>1293</v>
      </c>
      <c r="O3" s="999" t="s">
        <v>1294</v>
      </c>
      <c r="P3" s="1002" t="s">
        <v>37</v>
      </c>
      <c r="Q3" s="1003" t="s">
        <v>1295</v>
      </c>
      <c r="R3" s="82" t="s">
        <v>1296</v>
      </c>
      <c r="S3" s="82" t="s">
        <v>1297</v>
      </c>
      <c r="T3" s="1004" t="s">
        <v>1298</v>
      </c>
      <c r="U3" s="1001" t="s">
        <v>1299</v>
      </c>
      <c r="V3" s="1005">
        <v>2</v>
      </c>
      <c r="W3" s="1006"/>
      <c r="X3" s="1006" t="s">
        <v>1300</v>
      </c>
      <c r="Y3" s="997" t="s">
        <v>1274</v>
      </c>
      <c r="Z3" s="1007"/>
      <c r="AA3" s="997" t="s">
        <v>1301</v>
      </c>
      <c r="AB3" s="1008" t="s">
        <v>1301</v>
      </c>
      <c r="AC3" s="997" t="s">
        <v>1302</v>
      </c>
      <c r="AD3" s="1008" t="s">
        <v>1302</v>
      </c>
      <c r="AF3" s="999" t="s">
        <v>1299</v>
      </c>
      <c r="AH3" s="998" t="s">
        <v>1303</v>
      </c>
      <c r="AI3" s="998" t="s">
        <v>1304</v>
      </c>
      <c r="AK3" s="998" t="s">
        <v>1305</v>
      </c>
      <c r="AM3" s="998" t="s">
        <v>1306</v>
      </c>
      <c r="AP3" s="1009" t="s">
        <v>1307</v>
      </c>
      <c r="AQ3" s="1010" t="s">
        <v>1307</v>
      </c>
      <c r="AS3" s="997" t="s">
        <v>1308</v>
      </c>
      <c r="AU3" s="1039" t="s">
        <v>1309</v>
      </c>
      <c r="AW3" s="1039" t="s">
        <v>1310</v>
      </c>
      <c r="AX3" s="1039" t="s">
        <v>1310</v>
      </c>
      <c r="AZ3" s="1039" t="s">
        <v>52</v>
      </c>
      <c r="BB3" s="1039" t="s">
        <v>1311</v>
      </c>
      <c r="BC3" s="1039" t="s">
        <v>1285</v>
      </c>
      <c r="BE3" s="1039">
        <v>2001</v>
      </c>
      <c r="BF3" s="1039" t="s">
        <v>1312</v>
      </c>
      <c r="BH3" s="989" t="s">
        <v>1313</v>
      </c>
      <c r="BJ3" s="989" t="s">
        <v>1314</v>
      </c>
      <c r="BL3" s="989" t="s">
        <v>1315</v>
      </c>
      <c r="BN3" s="989" t="s">
        <v>1316</v>
      </c>
      <c r="BR3" s="989" t="s">
        <v>1317</v>
      </c>
      <c r="BS3" s="1346"/>
      <c r="BT3" s="992"/>
      <c r="BU3" s="989" t="s">
        <v>1318</v>
      </c>
      <c r="BV3" s="992"/>
      <c r="BW3" s="1608"/>
      <c r="BX3" s="1610" t="s">
        <v>1319</v>
      </c>
      <c r="CA3" s="989" t="s">
        <v>1320</v>
      </c>
    </row>
    <row r="4" spans="1:79" ht="11.25" customHeight="1">
      <c r="A4" s="996" t="s">
        <v>1321</v>
      </c>
      <c r="B4" s="997">
        <v>2002</v>
      </c>
      <c r="C4" s="997">
        <v>2024</v>
      </c>
      <c r="E4" s="998" t="s">
        <v>1322</v>
      </c>
      <c r="F4" s="998" t="s">
        <v>1323</v>
      </c>
      <c r="H4" s="999" t="s">
        <v>1324</v>
      </c>
      <c r="I4" s="998" t="s">
        <v>86</v>
      </c>
      <c r="J4" s="998" t="s">
        <v>1325</v>
      </c>
      <c r="K4" s="1000" t="s">
        <v>1326</v>
      </c>
      <c r="L4" s="1001">
        <f>IFERROR(MATCH(K4,OFFER_METHOD,0),0)</f>
        <v>0</v>
      </c>
      <c r="M4" s="1000">
        <v>3</v>
      </c>
      <c r="N4" s="1080" t="s">
        <v>1327</v>
      </c>
      <c r="O4" s="998" t="s">
        <v>1328</v>
      </c>
      <c r="Q4" s="1003" t="s">
        <v>1329</v>
      </c>
      <c r="R4" s="82" t="s">
        <v>1330</v>
      </c>
      <c r="S4" s="82" t="s">
        <v>1331</v>
      </c>
      <c r="T4" s="1004" t="s">
        <v>1332</v>
      </c>
      <c r="U4" s="1001" t="s">
        <v>1333</v>
      </c>
      <c r="V4" s="1005">
        <v>3</v>
      </c>
      <c r="W4" s="1006"/>
      <c r="X4" s="1006" t="s">
        <v>1334</v>
      </c>
      <c r="Y4" s="997" t="s">
        <v>1274</v>
      </c>
      <c r="Z4" s="1012"/>
      <c r="AC4" s="997" t="s">
        <v>1335</v>
      </c>
      <c r="AD4" s="1008" t="s">
        <v>1335</v>
      </c>
      <c r="AF4" s="999" t="s">
        <v>1333</v>
      </c>
      <c r="AH4" s="999" t="s">
        <v>1336</v>
      </c>
      <c r="AK4" s="998" t="s">
        <v>1337</v>
      </c>
      <c r="AM4" s="998" t="s">
        <v>1338</v>
      </c>
      <c r="AP4" s="1009" t="s">
        <v>1300</v>
      </c>
      <c r="AQ4" s="1010" t="s">
        <v>1300</v>
      </c>
      <c r="AS4" s="997" t="s">
        <v>1339</v>
      </c>
      <c r="AU4" s="1039" t="s">
        <v>1340</v>
      </c>
      <c r="AW4" s="1039" t="s">
        <v>1341</v>
      </c>
      <c r="AX4" s="1039" t="s">
        <v>1341</v>
      </c>
      <c r="AZ4" s="1039" t="s">
        <v>1342</v>
      </c>
      <c r="BB4" s="1039" t="s">
        <v>1343</v>
      </c>
      <c r="BC4" s="1039" t="s">
        <v>1344</v>
      </c>
      <c r="BE4" s="1039">
        <v>2002</v>
      </c>
      <c r="BF4" s="1039" t="s">
        <v>1345</v>
      </c>
      <c r="BH4" s="990" t="s">
        <v>1346</v>
      </c>
      <c r="BJ4" s="990" t="s">
        <v>1346</v>
      </c>
      <c r="BL4" s="990" t="s">
        <v>1346</v>
      </c>
      <c r="BN4" s="990" t="s">
        <v>1346</v>
      </c>
      <c r="BQ4" s="1350" t="s">
        <v>1347</v>
      </c>
      <c r="BR4" s="1077" t="s">
        <v>1348</v>
      </c>
      <c r="BS4" s="211"/>
      <c r="BT4" s="1350" t="s">
        <v>1349</v>
      </c>
      <c r="BU4" s="1077" t="s">
        <v>1350</v>
      </c>
      <c r="BV4" s="992"/>
      <c r="BW4" s="1615" t="s">
        <v>1351</v>
      </c>
      <c r="BX4" s="1609" t="s">
        <v>1352</v>
      </c>
      <c r="BZ4" s="1350" t="s">
        <v>1353</v>
      </c>
      <c r="CA4" s="1077" t="s">
        <v>1354</v>
      </c>
    </row>
    <row r="5" spans="1:79" ht="11.25" customHeight="1">
      <c r="A5" s="996" t="s">
        <v>1355</v>
      </c>
      <c r="B5" s="997">
        <v>2003</v>
      </c>
      <c r="C5" s="997">
        <v>2025</v>
      </c>
      <c r="E5" s="998" t="s">
        <v>1356</v>
      </c>
      <c r="F5" s="998" t="s">
        <v>1357</v>
      </c>
      <c r="H5" s="999" t="s">
        <v>1358</v>
      </c>
      <c r="I5" s="998" t="s">
        <v>87</v>
      </c>
      <c r="K5" s="1000" t="s">
        <v>1359</v>
      </c>
      <c r="L5" s="1001">
        <f>IFERROR(MATCH(K5,OFFER_METHOD,0),0)</f>
        <v>0</v>
      </c>
      <c r="M5" s="1000">
        <v>4</v>
      </c>
      <c r="N5" s="1013" t="s">
        <v>1360</v>
      </c>
      <c r="O5" s="998" t="s">
        <v>1361</v>
      </c>
      <c r="Q5" s="1003" t="s">
        <v>1362</v>
      </c>
      <c r="R5" s="82" t="s">
        <v>1363</v>
      </c>
      <c r="T5" s="999" t="s">
        <v>1364</v>
      </c>
      <c r="U5" s="1001" t="s">
        <v>1365</v>
      </c>
      <c r="V5" s="1005">
        <v>4</v>
      </c>
      <c r="W5" s="1006"/>
      <c r="X5" s="1006" t="s">
        <v>159</v>
      </c>
      <c r="Y5" s="997" t="s">
        <v>1366</v>
      </c>
      <c r="Z5" s="1012">
        <v>1</v>
      </c>
      <c r="AF5" s="999" t="s">
        <v>1367</v>
      </c>
      <c r="AH5" s="998" t="s">
        <v>1368</v>
      </c>
      <c r="AK5" s="998" t="s">
        <v>1369</v>
      </c>
      <c r="AM5" s="998" t="s">
        <v>1370</v>
      </c>
      <c r="AP5" s="1009" t="s">
        <v>159</v>
      </c>
      <c r="AQ5" s="1010" t="s">
        <v>159</v>
      </c>
      <c r="AU5" s="1039" t="s">
        <v>1371</v>
      </c>
      <c r="AW5" s="1039" t="s">
        <v>1372</v>
      </c>
      <c r="AX5" s="1039" t="s">
        <v>1372</v>
      </c>
      <c r="AZ5" s="1039" t="s">
        <v>1373</v>
      </c>
      <c r="BB5" s="1039" t="s">
        <v>1374</v>
      </c>
      <c r="BC5" s="1039" t="s">
        <v>1375</v>
      </c>
      <c r="BE5" s="1039">
        <v>2003</v>
      </c>
      <c r="BF5" s="1039" t="s">
        <v>1376</v>
      </c>
      <c r="BH5" s="990" t="s">
        <v>1377</v>
      </c>
      <c r="BJ5" s="990" t="s">
        <v>1377</v>
      </c>
      <c r="BL5" s="990" t="s">
        <v>1377</v>
      </c>
      <c r="BN5" s="990" t="s">
        <v>1378</v>
      </c>
      <c r="BQ5" s="1199">
        <v>4213775</v>
      </c>
      <c r="BR5" s="990" t="s">
        <v>1273</v>
      </c>
      <c r="BS5" s="1347"/>
      <c r="BT5" s="1199">
        <v>64236871</v>
      </c>
      <c r="BU5" s="990" t="s">
        <v>220</v>
      </c>
      <c r="BV5" s="992"/>
      <c r="BW5" s="1613">
        <v>4213767</v>
      </c>
      <c r="BX5" s="1611" t="s">
        <v>1379</v>
      </c>
      <c r="BZ5" s="1199">
        <v>64237509</v>
      </c>
      <c r="CA5" s="1213" t="s">
        <v>1380</v>
      </c>
    </row>
    <row r="6" spans="1:79" ht="11.25" customHeight="1">
      <c r="A6" s="996" t="s">
        <v>1381</v>
      </c>
      <c r="B6" s="997">
        <v>2004</v>
      </c>
      <c r="C6" s="997">
        <v>2026</v>
      </c>
      <c r="E6" s="998" t="s">
        <v>1382</v>
      </c>
      <c r="F6" s="1014"/>
      <c r="H6" s="999" t="s">
        <v>1383</v>
      </c>
      <c r="I6" s="998" t="s">
        <v>104</v>
      </c>
      <c r="J6" s="989" t="s">
        <v>1384</v>
      </c>
      <c r="L6" s="1001">
        <f>SUM(kind_of_control_method_filter)</f>
        <v>0</v>
      </c>
      <c r="N6" s="1013" t="s">
        <v>1385</v>
      </c>
      <c r="O6" s="998" t="s">
        <v>1386</v>
      </c>
      <c r="R6" s="82" t="s">
        <v>1268</v>
      </c>
      <c r="T6" s="999" t="s">
        <v>1387</v>
      </c>
      <c r="U6" s="1001" t="s">
        <v>1367</v>
      </c>
      <c r="V6" s="1005">
        <v>5</v>
      </c>
      <c r="W6" s="1006"/>
      <c r="X6" s="997" t="s">
        <v>165</v>
      </c>
      <c r="Y6" s="997" t="s">
        <v>1388</v>
      </c>
      <c r="Z6" s="1012"/>
      <c r="AA6" s="1015"/>
      <c r="AH6" s="998" t="s">
        <v>1389</v>
      </c>
      <c r="AK6" s="998" t="s">
        <v>1390</v>
      </c>
      <c r="AM6" s="998" t="s">
        <v>1391</v>
      </c>
      <c r="AP6" s="1009" t="s">
        <v>165</v>
      </c>
      <c r="AQ6" s="1010" t="s">
        <v>165</v>
      </c>
      <c r="AU6" s="1039" t="s">
        <v>1392</v>
      </c>
      <c r="AW6" s="1039" t="s">
        <v>1393</v>
      </c>
      <c r="AX6" s="1039" t="s">
        <v>1393</v>
      </c>
      <c r="BB6" s="1039" t="s">
        <v>1394</v>
      </c>
      <c r="BC6" s="1039" t="s">
        <v>1375</v>
      </c>
      <c r="BE6" s="1039">
        <v>2004</v>
      </c>
      <c r="BF6" s="1039" t="s">
        <v>1395</v>
      </c>
      <c r="BH6" s="990" t="s">
        <v>1396</v>
      </c>
      <c r="BJ6" s="990" t="s">
        <v>1397</v>
      </c>
      <c r="BL6" s="990" t="s">
        <v>1397</v>
      </c>
      <c r="BN6" s="990" t="s">
        <v>1398</v>
      </c>
      <c r="BQ6" s="1199">
        <v>4213784</v>
      </c>
      <c r="BR6" s="1213" t="s">
        <v>1307</v>
      </c>
      <c r="BS6" s="1348"/>
      <c r="BT6" s="1199">
        <v>64236872</v>
      </c>
      <c r="BU6" s="990" t="s">
        <v>225</v>
      </c>
      <c r="BV6" s="992"/>
      <c r="BW6" s="1613">
        <v>4213768</v>
      </c>
      <c r="BX6" s="1611" t="s">
        <v>245</v>
      </c>
      <c r="BZ6" s="1199">
        <v>64237510</v>
      </c>
      <c r="CA6" s="990" t="s">
        <v>1399</v>
      </c>
    </row>
    <row r="7" spans="1:79" ht="11.25" customHeight="1">
      <c r="A7" s="996" t="s">
        <v>1400</v>
      </c>
      <c r="B7" s="997">
        <v>2005</v>
      </c>
      <c r="E7" s="998" t="s">
        <v>1401</v>
      </c>
      <c r="F7" s="1014"/>
      <c r="H7" s="999" t="s">
        <v>1402</v>
      </c>
      <c r="I7" s="998" t="s">
        <v>88</v>
      </c>
      <c r="J7" s="998" t="s">
        <v>1403</v>
      </c>
      <c r="N7" s="1017" t="s">
        <v>1404</v>
      </c>
      <c r="O7" s="998" t="s">
        <v>1405</v>
      </c>
      <c r="U7" s="1001" t="s">
        <v>19</v>
      </c>
      <c r="V7" s="306" t="s">
        <v>88</v>
      </c>
      <c r="W7" s="1006"/>
      <c r="X7" s="997" t="s">
        <v>171</v>
      </c>
      <c r="Y7" s="997" t="s">
        <v>1366</v>
      </c>
      <c r="Z7" s="1012"/>
      <c r="AA7" s="1015"/>
      <c r="AH7" s="998" t="s">
        <v>1406</v>
      </c>
      <c r="AK7" s="998" t="s">
        <v>1407</v>
      </c>
      <c r="AM7" s="998" t="s">
        <v>1408</v>
      </c>
      <c r="AP7" s="1009" t="s">
        <v>171</v>
      </c>
      <c r="AQ7" s="1010" t="s">
        <v>171</v>
      </c>
      <c r="AU7" s="1039" t="s">
        <v>1409</v>
      </c>
      <c r="AW7" s="1039" t="s">
        <v>1410</v>
      </c>
      <c r="AX7" s="1039" t="s">
        <v>1410</v>
      </c>
      <c r="AZ7" s="989" t="s">
        <v>1411</v>
      </c>
      <c r="BB7" s="1039" t="s">
        <v>1412</v>
      </c>
      <c r="BC7" s="1039" t="s">
        <v>1375</v>
      </c>
      <c r="BE7" s="1039">
        <v>2005</v>
      </c>
      <c r="BF7" s="1039" t="s">
        <v>1413</v>
      </c>
      <c r="BH7" s="990" t="s">
        <v>1032</v>
      </c>
      <c r="BJ7" s="990" t="s">
        <v>1396</v>
      </c>
      <c r="BL7" s="990" t="s">
        <v>1396</v>
      </c>
      <c r="BN7" s="990" t="s">
        <v>1414</v>
      </c>
      <c r="BQ7" s="1199">
        <v>4213781</v>
      </c>
      <c r="BR7" s="990" t="s">
        <v>1300</v>
      </c>
      <c r="BS7" s="1347"/>
      <c r="BT7" s="1199">
        <v>64236873</v>
      </c>
      <c r="BU7" s="990" t="s">
        <v>230</v>
      </c>
      <c r="BV7" s="992"/>
      <c r="BW7" s="1613">
        <v>4213769</v>
      </c>
      <c r="BX7" s="1611" t="s">
        <v>1415</v>
      </c>
      <c r="BZ7" s="1199">
        <v>64237511</v>
      </c>
      <c r="CA7" s="990" t="s">
        <v>260</v>
      </c>
    </row>
    <row r="8" spans="1:79" ht="11.25" customHeight="1">
      <c r="A8" s="996" t="s">
        <v>1416</v>
      </c>
      <c r="B8" s="997">
        <v>2006</v>
      </c>
      <c r="E8" s="998" t="s">
        <v>1417</v>
      </c>
      <c r="F8" s="1014"/>
      <c r="H8" s="999" t="s">
        <v>1418</v>
      </c>
      <c r="I8" s="998" t="s">
        <v>89</v>
      </c>
      <c r="J8" s="998" t="s">
        <v>1419</v>
      </c>
      <c r="N8" s="1081" t="s">
        <v>1420</v>
      </c>
      <c r="O8" s="998" t="s">
        <v>1421</v>
      </c>
      <c r="V8" s="306" t="s">
        <v>89</v>
      </c>
      <c r="W8" s="1006"/>
      <c r="X8" s="997" t="s">
        <v>177</v>
      </c>
      <c r="Y8" s="997" t="s">
        <v>1366</v>
      </c>
      <c r="Z8" s="1012"/>
      <c r="AA8" s="1015"/>
      <c r="AK8" s="998" t="s">
        <v>1422</v>
      </c>
      <c r="AP8" s="1009" t="s">
        <v>177</v>
      </c>
      <c r="AQ8" s="1010" t="s">
        <v>177</v>
      </c>
      <c r="AU8" s="1039" t="s">
        <v>1423</v>
      </c>
      <c r="AW8" s="1039" t="s">
        <v>1424</v>
      </c>
      <c r="AX8" s="1039" t="s">
        <v>1424</v>
      </c>
      <c r="AZ8" s="1039" t="s">
        <v>1425</v>
      </c>
      <c r="BB8" s="1039" t="s">
        <v>1426</v>
      </c>
      <c r="BC8" s="1039" t="s">
        <v>1375</v>
      </c>
      <c r="BE8" s="1039">
        <v>2006</v>
      </c>
      <c r="BF8" s="1039" t="s">
        <v>1427</v>
      </c>
      <c r="BH8" s="990" t="s">
        <v>1428</v>
      </c>
      <c r="BJ8" s="990" t="s">
        <v>1429</v>
      </c>
      <c r="BL8" s="990" t="s">
        <v>1429</v>
      </c>
      <c r="BN8" s="990" t="s">
        <v>1430</v>
      </c>
      <c r="BQ8" s="1199">
        <v>4213776</v>
      </c>
      <c r="BR8" s="990" t="s">
        <v>159</v>
      </c>
      <c r="BS8" s="1347"/>
      <c r="BT8" s="1199">
        <v>64236874</v>
      </c>
      <c r="BU8" s="1213" t="s">
        <v>1431</v>
      </c>
      <c r="BV8" s="992"/>
      <c r="BW8" s="1613">
        <v>4213770</v>
      </c>
      <c r="BX8" s="1614" t="s">
        <v>1432</v>
      </c>
      <c r="BZ8" s="1199">
        <v>64237512</v>
      </c>
      <c r="CA8" s="990" t="s">
        <v>255</v>
      </c>
    </row>
    <row r="9" spans="1:79" ht="11.25" customHeight="1">
      <c r="A9" s="996" t="s">
        <v>1433</v>
      </c>
      <c r="B9" s="997">
        <v>2007</v>
      </c>
      <c r="E9" s="998" t="s">
        <v>1434</v>
      </c>
      <c r="F9" s="1014"/>
      <c r="G9" s="989" t="s">
        <v>1435</v>
      </c>
      <c r="H9" s="989" t="s">
        <v>1436</v>
      </c>
      <c r="I9" s="998" t="s">
        <v>105</v>
      </c>
      <c r="O9" s="998" t="s">
        <v>1437</v>
      </c>
      <c r="V9" s="306" t="s">
        <v>105</v>
      </c>
      <c r="W9" s="1006"/>
      <c r="X9" s="997" t="s">
        <v>183</v>
      </c>
      <c r="Y9" s="997" t="s">
        <v>1274</v>
      </c>
      <c r="Z9" s="1012">
        <v>1</v>
      </c>
      <c r="AA9" s="1015"/>
      <c r="AK9" s="998" t="s">
        <v>1438</v>
      </c>
      <c r="AP9" s="1009" t="s">
        <v>1439</v>
      </c>
      <c r="AQ9" s="1010" t="s">
        <v>1439</v>
      </c>
      <c r="AW9" s="1039" t="s">
        <v>1440</v>
      </c>
      <c r="AX9" s="1039" t="s">
        <v>1440</v>
      </c>
      <c r="AZ9" s="1039" t="s">
        <v>1441</v>
      </c>
      <c r="BB9" s="1039" t="s">
        <v>1442</v>
      </c>
      <c r="BC9" s="1039" t="s">
        <v>1375</v>
      </c>
      <c r="BE9" s="1039">
        <v>2007</v>
      </c>
      <c r="BF9" s="1039" t="s">
        <v>1443</v>
      </c>
      <c r="BH9" s="990" t="s">
        <v>1050</v>
      </c>
      <c r="BJ9" s="990" t="s">
        <v>1444</v>
      </c>
      <c r="BL9" s="990" t="s">
        <v>1444</v>
      </c>
      <c r="BN9" s="990" t="s">
        <v>1445</v>
      </c>
      <c r="BQ9" s="1199">
        <v>4213777</v>
      </c>
      <c r="BR9" s="990" t="s">
        <v>165</v>
      </c>
      <c r="BS9" s="1347"/>
      <c r="BT9" s="1199">
        <v>64236875</v>
      </c>
      <c r="BU9" s="990" t="s">
        <v>235</v>
      </c>
      <c r="BV9" s="992"/>
      <c r="BW9" s="1608"/>
      <c r="BX9" s="1608"/>
    </row>
    <row r="10" spans="1:79" ht="11.25" customHeight="1">
      <c r="A10" s="996" t="s">
        <v>1446</v>
      </c>
      <c r="B10" s="997">
        <v>2008</v>
      </c>
      <c r="E10" s="998" t="s">
        <v>1447</v>
      </c>
      <c r="F10" s="1014"/>
      <c r="G10" s="998" t="s">
        <v>1448</v>
      </c>
      <c r="H10" s="998" t="s">
        <v>1449</v>
      </c>
      <c r="I10" s="998" t="s">
        <v>141</v>
      </c>
      <c r="J10" s="989" t="s">
        <v>1450</v>
      </c>
      <c r="K10" s="989" t="s">
        <v>1451</v>
      </c>
      <c r="O10" s="998" t="s">
        <v>1452</v>
      </c>
      <c r="V10" s="307" t="s">
        <v>141</v>
      </c>
      <c r="W10" s="1018"/>
      <c r="X10" s="1018" t="s">
        <v>1453</v>
      </c>
      <c r="Y10" s="1019" t="s">
        <v>1454</v>
      </c>
      <c r="Z10" s="1012"/>
      <c r="AP10" s="1009" t="s">
        <v>1453</v>
      </c>
      <c r="AQ10" s="1010" t="s">
        <v>1453</v>
      </c>
      <c r="AW10" s="1039" t="s">
        <v>1455</v>
      </c>
      <c r="AX10" s="1039" t="s">
        <v>1455</v>
      </c>
      <c r="AZ10" s="1039" t="s">
        <v>1166</v>
      </c>
      <c r="BB10" s="1039" t="s">
        <v>1456</v>
      </c>
      <c r="BC10" s="1039" t="s">
        <v>1375</v>
      </c>
      <c r="BE10" s="1039">
        <v>2008</v>
      </c>
      <c r="BF10" s="1039" t="s">
        <v>1457</v>
      </c>
      <c r="BH10" s="990" t="s">
        <v>1458</v>
      </c>
      <c r="BJ10" s="990" t="s">
        <v>1459</v>
      </c>
      <c r="BL10" s="990" t="s">
        <v>1459</v>
      </c>
      <c r="BN10" s="990" t="s">
        <v>1460</v>
      </c>
      <c r="BQ10" s="1199">
        <v>4213778</v>
      </c>
      <c r="BR10" s="990" t="s">
        <v>171</v>
      </c>
      <c r="BS10" s="1347"/>
      <c r="BT10" s="1199">
        <v>64236876</v>
      </c>
      <c r="BU10" s="990" t="s">
        <v>215</v>
      </c>
      <c r="BV10" s="992"/>
      <c r="BW10" s="1608"/>
      <c r="BX10" s="1608"/>
    </row>
    <row r="11" spans="1:79" ht="11.25" customHeight="1">
      <c r="A11" s="996" t="s">
        <v>1461</v>
      </c>
      <c r="B11" s="997">
        <v>2009</v>
      </c>
      <c r="E11" s="998" t="s">
        <v>1462</v>
      </c>
      <c r="F11" s="1014"/>
      <c r="G11" s="998" t="s">
        <v>1463</v>
      </c>
      <c r="H11" s="998" t="s">
        <v>1464</v>
      </c>
      <c r="I11" s="998" t="s">
        <v>142</v>
      </c>
      <c r="J11" s="999" t="s">
        <v>1465</v>
      </c>
      <c r="K11" s="1020" t="s">
        <v>1466</v>
      </c>
      <c r="O11" s="999" t="s">
        <v>1467</v>
      </c>
      <c r="V11" s="306" t="s">
        <v>142</v>
      </c>
      <c r="W11" s="212"/>
      <c r="X11" s="1006" t="s">
        <v>1439</v>
      </c>
      <c r="Y11" s="997" t="s">
        <v>1468</v>
      </c>
      <c r="Z11" s="1012"/>
      <c r="AP11" s="1009" t="s">
        <v>183</v>
      </c>
      <c r="AQ11" s="1011" t="s">
        <v>183</v>
      </c>
      <c r="AW11" s="1039" t="s">
        <v>1469</v>
      </c>
      <c r="AX11" s="1039" t="s">
        <v>1469</v>
      </c>
      <c r="AZ11" s="1039" t="s">
        <v>1470</v>
      </c>
      <c r="BB11" s="1039" t="s">
        <v>1471</v>
      </c>
      <c r="BC11" s="1039" t="s">
        <v>1375</v>
      </c>
      <c r="BE11" s="1039">
        <v>2009</v>
      </c>
      <c r="BF11" s="1039" t="s">
        <v>1472</v>
      </c>
      <c r="BH11" s="990" t="s">
        <v>1473</v>
      </c>
      <c r="BJ11" s="990" t="s">
        <v>1050</v>
      </c>
      <c r="BL11" s="990" t="s">
        <v>1050</v>
      </c>
      <c r="BN11" s="990" t="s">
        <v>1474</v>
      </c>
      <c r="BQ11" s="1199">
        <v>4213780</v>
      </c>
      <c r="BR11" s="990" t="s">
        <v>177</v>
      </c>
      <c r="BS11" s="1347"/>
      <c r="BW11" s="1608"/>
      <c r="BX11" s="1608"/>
    </row>
    <row r="12" spans="1:79" ht="11.25" customHeight="1">
      <c r="A12" s="996" t="s">
        <v>1475</v>
      </c>
      <c r="B12" s="997">
        <v>2010</v>
      </c>
      <c r="E12" s="998" t="s">
        <v>1476</v>
      </c>
      <c r="F12" s="1014"/>
      <c r="G12" s="998" t="s">
        <v>1464</v>
      </c>
      <c r="I12" s="998" t="s">
        <v>143</v>
      </c>
      <c r="J12" s="999" t="s">
        <v>1477</v>
      </c>
      <c r="K12" s="1020" t="s">
        <v>1478</v>
      </c>
      <c r="O12" s="999" t="s">
        <v>1268</v>
      </c>
      <c r="V12" s="306" t="s">
        <v>143</v>
      </c>
      <c r="W12" s="1011"/>
      <c r="X12" s="1006" t="s">
        <v>1479</v>
      </c>
      <c r="Y12" s="997" t="s">
        <v>1274</v>
      </c>
      <c r="AP12" s="1009"/>
      <c r="AW12" s="1039" t="s">
        <v>142</v>
      </c>
      <c r="AX12" s="1039" t="s">
        <v>142</v>
      </c>
      <c r="AZ12" s="1039" t="s">
        <v>1480</v>
      </c>
      <c r="BB12" s="1039" t="s">
        <v>1481</v>
      </c>
      <c r="BC12" s="1039" t="s">
        <v>1375</v>
      </c>
      <c r="BE12" s="1039">
        <v>2010</v>
      </c>
      <c r="BF12" s="1039" t="s">
        <v>1037</v>
      </c>
      <c r="BH12" s="990" t="s">
        <v>1482</v>
      </c>
      <c r="BJ12" s="990" t="s">
        <v>1483</v>
      </c>
      <c r="BL12" s="990" t="s">
        <v>1483</v>
      </c>
      <c r="BN12" s="990" t="s">
        <v>1484</v>
      </c>
      <c r="BQ12" s="1199">
        <v>4213779</v>
      </c>
      <c r="BR12" s="990" t="s">
        <v>1439</v>
      </c>
      <c r="BS12" s="1347"/>
      <c r="BT12" s="992"/>
      <c r="BU12" s="992"/>
      <c r="BV12" s="992"/>
      <c r="BW12" s="1608"/>
      <c r="BX12" s="1608"/>
    </row>
    <row r="13" spans="1:79" ht="11.25" customHeight="1">
      <c r="A13" s="996" t="s">
        <v>1485</v>
      </c>
      <c r="B13" s="997">
        <v>2011</v>
      </c>
      <c r="E13" s="998" t="s">
        <v>1486</v>
      </c>
      <c r="F13" s="1014"/>
      <c r="I13" s="998" t="s">
        <v>144</v>
      </c>
      <c r="K13" s="1020" t="s">
        <v>1438</v>
      </c>
      <c r="V13" s="306" t="s">
        <v>144</v>
      </c>
      <c r="W13" s="1011"/>
      <c r="X13" s="1011"/>
      <c r="Y13" s="1011"/>
      <c r="AW13" s="1039" t="s">
        <v>143</v>
      </c>
      <c r="AX13" s="1039" t="s">
        <v>143</v>
      </c>
      <c r="BB13" s="1039" t="s">
        <v>1487</v>
      </c>
      <c r="BC13" s="1039" t="s">
        <v>1488</v>
      </c>
      <c r="BE13" s="1039">
        <v>2011</v>
      </c>
      <c r="BF13" s="1039" t="s">
        <v>1022</v>
      </c>
      <c r="BH13" s="990" t="s">
        <v>1489</v>
      </c>
      <c r="BJ13" s="990" t="s">
        <v>1473</v>
      </c>
      <c r="BL13" s="990" t="s">
        <v>1473</v>
      </c>
      <c r="BN13" s="990" t="s">
        <v>1490</v>
      </c>
      <c r="BQ13" s="1199">
        <v>4213783</v>
      </c>
      <c r="BR13" s="990" t="s">
        <v>1453</v>
      </c>
      <c r="BS13" s="1347"/>
      <c r="BT13" s="992"/>
      <c r="BU13" s="992"/>
      <c r="BV13" s="992"/>
      <c r="BW13" s="1612"/>
      <c r="BX13" s="1608"/>
    </row>
    <row r="14" spans="1:79" ht="11.25" customHeight="1">
      <c r="A14" s="996" t="s">
        <v>1491</v>
      </c>
      <c r="B14" s="997">
        <v>2012</v>
      </c>
      <c r="I14" s="998" t="s">
        <v>145</v>
      </c>
      <c r="J14" s="989" t="s">
        <v>1492</v>
      </c>
      <c r="N14" s="989" t="s">
        <v>1493</v>
      </c>
      <c r="V14" s="1005">
        <v>13</v>
      </c>
      <c r="W14" s="1006"/>
      <c r="X14" s="1006" t="s">
        <v>1307</v>
      </c>
      <c r="Y14" s="997" t="s">
        <v>1274</v>
      </c>
      <c r="AW14" s="1039" t="s">
        <v>144</v>
      </c>
      <c r="AX14" s="1039" t="s">
        <v>144</v>
      </c>
      <c r="AZ14" s="989" t="s">
        <v>1494</v>
      </c>
      <c r="BB14" s="1039" t="s">
        <v>1495</v>
      </c>
      <c r="BC14" s="1039" t="s">
        <v>1488</v>
      </c>
      <c r="BE14" s="1039">
        <v>2012</v>
      </c>
      <c r="BH14" s="990" t="s">
        <v>1414</v>
      </c>
      <c r="BJ14" s="1135" t="s">
        <v>1496</v>
      </c>
      <c r="BL14" s="1135" t="s">
        <v>1496</v>
      </c>
      <c r="BN14" s="990" t="s">
        <v>1497</v>
      </c>
      <c r="BQ14" s="1199">
        <v>4213782</v>
      </c>
      <c r="BR14" s="990" t="s">
        <v>183</v>
      </c>
      <c r="BS14" s="1347"/>
      <c r="BT14" s="992"/>
      <c r="BU14" s="992"/>
      <c r="BV14" s="992"/>
      <c r="BW14" s="1612"/>
      <c r="BX14" s="1608"/>
    </row>
    <row r="15" spans="1:79" ht="19.5" customHeight="1">
      <c r="A15" s="996" t="s">
        <v>1498</v>
      </c>
      <c r="B15" s="997">
        <v>2013</v>
      </c>
      <c r="E15" s="1616" t="s">
        <v>1499</v>
      </c>
      <c r="G15" s="989" t="s">
        <v>1500</v>
      </c>
      <c r="H15" s="989" t="s">
        <v>1501</v>
      </c>
      <c r="I15" s="1000" t="s">
        <v>146</v>
      </c>
      <c r="J15" s="1011" t="s">
        <v>574</v>
      </c>
      <c r="N15" s="1076" t="s">
        <v>1502</v>
      </c>
      <c r="X15" s="1009"/>
      <c r="AW15" s="1039" t="s">
        <v>145</v>
      </c>
      <c r="AX15" s="1039" t="s">
        <v>145</v>
      </c>
      <c r="AZ15" s="1039" t="s">
        <v>1425</v>
      </c>
      <c r="BB15" s="1039" t="s">
        <v>1503</v>
      </c>
      <c r="BC15" s="1039" t="s">
        <v>1488</v>
      </c>
      <c r="BE15" s="1039">
        <v>2013</v>
      </c>
      <c r="BH15" s="990" t="s">
        <v>1430</v>
      </c>
      <c r="BJ15" s="1135" t="s">
        <v>1504</v>
      </c>
      <c r="BL15" s="1135" t="s">
        <v>1504</v>
      </c>
      <c r="BN15" s="990" t="s">
        <v>1505</v>
      </c>
      <c r="BR15" s="992"/>
      <c r="BS15" s="1349"/>
      <c r="BT15" s="992"/>
      <c r="BU15" s="992"/>
      <c r="BV15" s="992"/>
      <c r="BW15" s="1612"/>
      <c r="BX15" s="1608"/>
    </row>
    <row r="16" spans="1:79" ht="21" customHeight="1">
      <c r="A16" s="1785" t="s">
        <v>1506</v>
      </c>
      <c r="B16" s="997">
        <v>2014</v>
      </c>
      <c r="E16" s="1617" t="s">
        <v>1507</v>
      </c>
      <c r="G16" s="998" t="s">
        <v>1508</v>
      </c>
      <c r="H16" s="998" t="s">
        <v>1509</v>
      </c>
      <c r="I16" s="1000" t="s">
        <v>1510</v>
      </c>
      <c r="J16" s="1011" t="s">
        <v>547</v>
      </c>
      <c r="N16" s="1076" t="s">
        <v>1511</v>
      </c>
      <c r="AW16" s="1039" t="s">
        <v>146</v>
      </c>
      <c r="AX16" s="1039" t="s">
        <v>146</v>
      </c>
      <c r="AZ16" s="1039" t="s">
        <v>1441</v>
      </c>
      <c r="BB16" s="1039" t="s">
        <v>1512</v>
      </c>
      <c r="BC16" s="1039" t="s">
        <v>1488</v>
      </c>
      <c r="BE16" s="1039">
        <v>2014</v>
      </c>
      <c r="BH16" s="990" t="s">
        <v>1445</v>
      </c>
      <c r="BJ16" s="1135" t="s">
        <v>1513</v>
      </c>
      <c r="BL16" s="1135" t="s">
        <v>1513</v>
      </c>
      <c r="BN16" s="990" t="s">
        <v>1514</v>
      </c>
      <c r="BR16" s="992"/>
      <c r="BS16" s="1349"/>
      <c r="BT16" s="992"/>
      <c r="BU16" s="992"/>
      <c r="BV16" s="992"/>
      <c r="BW16" s="1612"/>
      <c r="BX16" s="1608"/>
    </row>
    <row r="17" spans="1:82" ht="21" customHeight="1">
      <c r="A17" s="996" t="s">
        <v>1515</v>
      </c>
      <c r="B17" s="997">
        <v>2015</v>
      </c>
      <c r="G17" s="998" t="s">
        <v>1464</v>
      </c>
      <c r="H17" s="998" t="s">
        <v>1464</v>
      </c>
      <c r="I17" s="998" t="s">
        <v>1516</v>
      </c>
      <c r="N17" s="1076" t="s">
        <v>1517</v>
      </c>
      <c r="X17" s="1009"/>
      <c r="AW17" s="1039" t="s">
        <v>1510</v>
      </c>
      <c r="AX17" s="1039" t="s">
        <v>1510</v>
      </c>
      <c r="AZ17" s="1039" t="s">
        <v>67</v>
      </c>
      <c r="BB17" s="1039" t="s">
        <v>1518</v>
      </c>
      <c r="BC17" s="1039" t="s">
        <v>1375</v>
      </c>
      <c r="BE17" s="1039">
        <v>2015</v>
      </c>
      <c r="BH17" s="990" t="s">
        <v>1460</v>
      </c>
      <c r="BJ17" s="1135" t="s">
        <v>1519</v>
      </c>
      <c r="BL17" s="1135" t="s">
        <v>1519</v>
      </c>
      <c r="BN17" s="990" t="s">
        <v>1520</v>
      </c>
      <c r="BR17" s="989" t="s">
        <v>1317</v>
      </c>
      <c r="BS17" s="1346"/>
      <c r="BU17" s="989" t="s">
        <v>1521</v>
      </c>
      <c r="BV17" s="992"/>
      <c r="BW17" s="1608"/>
      <c r="BX17" s="1610" t="s">
        <v>1522</v>
      </c>
      <c r="CA17" s="989" t="s">
        <v>1523</v>
      </c>
      <c r="CD17" s="989" t="s">
        <v>1524</v>
      </c>
    </row>
    <row r="18" spans="1:82" ht="21" customHeight="1">
      <c r="A18" s="996" t="s">
        <v>1525</v>
      </c>
      <c r="B18" s="997">
        <v>2016</v>
      </c>
      <c r="E18" s="1917" t="s">
        <v>1526</v>
      </c>
      <c r="I18" s="998" t="s">
        <v>1527</v>
      </c>
      <c r="N18" s="1076" t="s">
        <v>1528</v>
      </c>
      <c r="X18" s="1009"/>
      <c r="AW18" s="1039" t="s">
        <v>1516</v>
      </c>
      <c r="AX18" s="1039" t="s">
        <v>1516</v>
      </c>
      <c r="BB18" s="1039" t="s">
        <v>1529</v>
      </c>
      <c r="BC18" s="1039" t="s">
        <v>1375</v>
      </c>
      <c r="BE18" s="1039">
        <v>2016</v>
      </c>
      <c r="BH18" s="990" t="s">
        <v>1474</v>
      </c>
      <c r="BJ18" s="1135" t="s">
        <v>1530</v>
      </c>
      <c r="BL18" s="1135" t="s">
        <v>1530</v>
      </c>
      <c r="BN18" s="990" t="s">
        <v>1531</v>
      </c>
      <c r="BQ18" s="1350" t="s">
        <v>1347</v>
      </c>
      <c r="BR18" s="1077" t="s">
        <v>1348</v>
      </c>
      <c r="BS18" s="211"/>
      <c r="BT18" s="1350" t="s">
        <v>1532</v>
      </c>
      <c r="BU18" s="1077" t="s">
        <v>1533</v>
      </c>
      <c r="BV18" s="992"/>
      <c r="BW18" s="1615" t="s">
        <v>1534</v>
      </c>
      <c r="BX18" s="1609" t="s">
        <v>1535</v>
      </c>
      <c r="BZ18" s="1350" t="s">
        <v>1536</v>
      </c>
      <c r="CA18" s="1077" t="s">
        <v>1537</v>
      </c>
      <c r="CC18" s="1350" t="s">
        <v>1538</v>
      </c>
      <c r="CD18" s="1077" t="s">
        <v>1539</v>
      </c>
    </row>
    <row r="19" spans="1:82" ht="21" customHeight="1">
      <c r="A19" s="1785" t="s">
        <v>1540</v>
      </c>
      <c r="B19" s="997">
        <v>2017</v>
      </c>
      <c r="E19" s="996" t="s">
        <v>158</v>
      </c>
      <c r="I19" s="998" t="s">
        <v>1541</v>
      </c>
      <c r="N19" s="1076" t="s">
        <v>1542</v>
      </c>
      <c r="X19" s="1009"/>
      <c r="AW19" s="1039" t="s">
        <v>1527</v>
      </c>
      <c r="AX19" s="1039" t="s">
        <v>1527</v>
      </c>
      <c r="AZ19" s="989" t="s">
        <v>1543</v>
      </c>
      <c r="BB19" s="1039" t="s">
        <v>1544</v>
      </c>
      <c r="BC19" s="1039" t="s">
        <v>1375</v>
      </c>
      <c r="BE19" s="1039">
        <v>2017</v>
      </c>
      <c r="BH19" s="990" t="s">
        <v>1545</v>
      </c>
      <c r="BJ19" s="1135" t="s">
        <v>1546</v>
      </c>
      <c r="BL19" s="1135" t="s">
        <v>1546</v>
      </c>
      <c r="BQ19" s="1199">
        <v>4190064</v>
      </c>
      <c r="BR19" s="990" t="s">
        <v>1547</v>
      </c>
      <c r="BS19" s="1347"/>
      <c r="BT19" s="1199">
        <v>4189671</v>
      </c>
      <c r="BU19" s="990" t="s">
        <v>1548</v>
      </c>
      <c r="BV19" s="992"/>
      <c r="BW19" s="1613">
        <v>4189706</v>
      </c>
      <c r="BX19" s="1611" t="s">
        <v>1549</v>
      </c>
      <c r="BZ19" s="1199">
        <v>4189714</v>
      </c>
      <c r="CA19" s="990" t="s">
        <v>1550</v>
      </c>
      <c r="CC19" s="1199">
        <v>4189708</v>
      </c>
      <c r="CD19" s="990" t="s">
        <v>1551</v>
      </c>
    </row>
    <row r="20" spans="1:82" ht="21" customHeight="1">
      <c r="A20" s="996" t="s">
        <v>1552</v>
      </c>
      <c r="B20" s="997">
        <v>2018</v>
      </c>
      <c r="E20" s="996" t="s">
        <v>1307</v>
      </c>
      <c r="I20" s="998" t="s">
        <v>1553</v>
      </c>
      <c r="N20" s="1076" t="s">
        <v>1554</v>
      </c>
      <c r="AW20" s="1039" t="s">
        <v>1541</v>
      </c>
      <c r="AX20" s="1039" t="s">
        <v>1541</v>
      </c>
      <c r="AZ20" s="1039" t="s">
        <v>1555</v>
      </c>
      <c r="BB20" s="1039" t="s">
        <v>1556</v>
      </c>
      <c r="BC20" s="1039" t="s">
        <v>1488</v>
      </c>
      <c r="BE20" s="1039">
        <v>2018</v>
      </c>
      <c r="BH20" s="990" t="s">
        <v>1484</v>
      </c>
      <c r="BJ20" s="990" t="s">
        <v>1414</v>
      </c>
      <c r="BL20" s="990" t="s">
        <v>1414</v>
      </c>
      <c r="BQ20" s="1199">
        <v>4190065</v>
      </c>
      <c r="BR20" s="990" t="s">
        <v>1557</v>
      </c>
      <c r="BS20" s="1347"/>
      <c r="BT20" s="1199">
        <v>4189672</v>
      </c>
      <c r="BU20" s="990" t="s">
        <v>1558</v>
      </c>
      <c r="BV20" s="992"/>
      <c r="BW20" s="1613">
        <v>4189705</v>
      </c>
      <c r="BX20" s="1611" t="s">
        <v>1559</v>
      </c>
      <c r="BZ20" s="1199">
        <v>4189713</v>
      </c>
      <c r="CA20" s="990" t="s">
        <v>1559</v>
      </c>
      <c r="CC20" s="1199">
        <v>4189709</v>
      </c>
      <c r="CD20" s="990" t="s">
        <v>1560</v>
      </c>
    </row>
    <row r="21" spans="1:82" ht="21" customHeight="1">
      <c r="A21" s="996" t="s">
        <v>1561</v>
      </c>
      <c r="B21" s="997">
        <v>2019</v>
      </c>
      <c r="I21" s="998" t="s">
        <v>1562</v>
      </c>
      <c r="N21" s="1076" t="s">
        <v>1563</v>
      </c>
      <c r="AW21" s="1039" t="s">
        <v>1553</v>
      </c>
      <c r="AX21" s="1039" t="s">
        <v>1553</v>
      </c>
      <c r="AZ21" s="1039" t="s">
        <v>1564</v>
      </c>
      <c r="BB21" s="1039" t="s">
        <v>1565</v>
      </c>
      <c r="BC21" s="1039" t="s">
        <v>1375</v>
      </c>
      <c r="BE21" s="1039">
        <v>2019</v>
      </c>
      <c r="BH21" s="990" t="s">
        <v>1490</v>
      </c>
      <c r="BJ21" s="990" t="s">
        <v>1430</v>
      </c>
      <c r="BL21" s="990" t="s">
        <v>1430</v>
      </c>
      <c r="BQ21" s="1199">
        <v>4190066</v>
      </c>
      <c r="BR21" s="990" t="s">
        <v>1566</v>
      </c>
      <c r="BS21" s="1347"/>
      <c r="BT21" s="1199">
        <v>4189673</v>
      </c>
      <c r="BU21" s="990" t="s">
        <v>1567</v>
      </c>
      <c r="BV21" s="992"/>
      <c r="BW21" s="1613">
        <v>4189707</v>
      </c>
      <c r="BX21" s="1611" t="s">
        <v>1568</v>
      </c>
      <c r="BZ21" s="1199">
        <v>4189712</v>
      </c>
      <c r="CA21" s="990" t="s">
        <v>1569</v>
      </c>
      <c r="CC21" s="1199">
        <v>4189710</v>
      </c>
      <c r="CD21" s="990" t="s">
        <v>1570</v>
      </c>
    </row>
    <row r="22" spans="1:82" ht="21" customHeight="1">
      <c r="A22" s="996" t="s">
        <v>1571</v>
      </c>
      <c r="B22" s="997">
        <v>2020</v>
      </c>
      <c r="N22" s="1076" t="s">
        <v>1572</v>
      </c>
      <c r="AW22" s="1039" t="s">
        <v>1562</v>
      </c>
      <c r="AX22" s="1039" t="s">
        <v>1562</v>
      </c>
      <c r="AZ22" s="1039" t="s">
        <v>1573</v>
      </c>
      <c r="BB22" s="1039" t="s">
        <v>1574</v>
      </c>
      <c r="BC22" s="1039" t="s">
        <v>1375</v>
      </c>
      <c r="BE22" s="1039">
        <v>2020</v>
      </c>
      <c r="BH22" s="990" t="s">
        <v>1497</v>
      </c>
      <c r="BJ22" s="990" t="s">
        <v>1445</v>
      </c>
      <c r="BL22" s="990" t="s">
        <v>1445</v>
      </c>
      <c r="BQ22" s="1199">
        <v>4190067</v>
      </c>
      <c r="BR22" s="990" t="s">
        <v>1575</v>
      </c>
      <c r="BS22" s="1347"/>
      <c r="BT22" s="1199">
        <v>4189674</v>
      </c>
      <c r="BU22" s="990" t="s">
        <v>1576</v>
      </c>
      <c r="BV22" s="992"/>
      <c r="BW22" s="992"/>
      <c r="CC22" s="1199">
        <v>4189711</v>
      </c>
      <c r="CD22" s="990" t="s">
        <v>284</v>
      </c>
    </row>
    <row r="23" spans="1:82" ht="21" customHeight="1">
      <c r="A23" s="996" t="s">
        <v>1577</v>
      </c>
      <c r="B23" s="997">
        <v>2021</v>
      </c>
      <c r="AW23" s="1039" t="s">
        <v>1578</v>
      </c>
      <c r="AX23" s="1039" t="s">
        <v>1578</v>
      </c>
      <c r="AZ23" s="1039" t="s">
        <v>1579</v>
      </c>
      <c r="BB23" s="1039" t="s">
        <v>1580</v>
      </c>
      <c r="BC23" s="1039" t="s">
        <v>1285</v>
      </c>
      <c r="BE23" s="1039">
        <v>2021</v>
      </c>
      <c r="BH23" s="990" t="s">
        <v>1505</v>
      </c>
      <c r="BJ23" s="990" t="s">
        <v>1460</v>
      </c>
      <c r="BL23" s="990" t="s">
        <v>1460</v>
      </c>
      <c r="BQ23" s="1199">
        <v>4190068</v>
      </c>
      <c r="BR23" s="990" t="s">
        <v>1581</v>
      </c>
      <c r="BS23" s="1347"/>
      <c r="BT23" s="1199">
        <v>4189675</v>
      </c>
      <c r="BU23" s="990" t="s">
        <v>1582</v>
      </c>
      <c r="BV23" s="992"/>
      <c r="BW23" s="992"/>
      <c r="CC23" s="1199">
        <v>5110778</v>
      </c>
      <c r="CD23" s="990" t="s">
        <v>1583</v>
      </c>
    </row>
    <row r="24" spans="1:82" ht="21" customHeight="1">
      <c r="A24" s="996" t="s">
        <v>1584</v>
      </c>
      <c r="B24" s="997">
        <v>2022</v>
      </c>
      <c r="AW24" s="1039" t="s">
        <v>1585</v>
      </c>
      <c r="AX24" s="1039" t="s">
        <v>1585</v>
      </c>
      <c r="AZ24" s="1039" t="s">
        <v>1586</v>
      </c>
      <c r="BB24" s="1039" t="s">
        <v>1587</v>
      </c>
      <c r="BC24" s="1039" t="s">
        <v>1588</v>
      </c>
      <c r="BE24" s="1039">
        <v>2022</v>
      </c>
      <c r="BH24" s="990" t="s">
        <v>1514</v>
      </c>
      <c r="BJ24" s="990" t="s">
        <v>1474</v>
      </c>
      <c r="BL24" s="990" t="s">
        <v>1474</v>
      </c>
      <c r="BQ24" s="1199">
        <v>4190069</v>
      </c>
      <c r="BR24" s="990" t="s">
        <v>1589</v>
      </c>
      <c r="BS24" s="1347"/>
      <c r="BT24" s="1199">
        <v>4189676</v>
      </c>
      <c r="BU24" s="990" t="s">
        <v>1590</v>
      </c>
      <c r="BV24" s="992"/>
      <c r="BW24" s="992"/>
      <c r="CC24" s="1199">
        <v>25575374</v>
      </c>
      <c r="CD24" s="990" t="s">
        <v>1591</v>
      </c>
    </row>
    <row r="25" spans="1:82" ht="11.25" customHeight="1">
      <c r="A25" s="996" t="s">
        <v>1592</v>
      </c>
      <c r="B25" s="997">
        <v>2023</v>
      </c>
      <c r="AW25" s="1039" t="s">
        <v>1593</v>
      </c>
      <c r="AX25" s="1039" t="s">
        <v>1593</v>
      </c>
      <c r="AZ25" s="1039" t="s">
        <v>977</v>
      </c>
      <c r="BB25" s="1039" t="s">
        <v>1594</v>
      </c>
      <c r="BC25" s="1039" t="s">
        <v>1588</v>
      </c>
      <c r="BE25" s="1039">
        <v>2023</v>
      </c>
      <c r="BH25" s="990" t="s">
        <v>1520</v>
      </c>
      <c r="BJ25" s="990" t="s">
        <v>1545</v>
      </c>
      <c r="BL25" s="990" t="s">
        <v>1545</v>
      </c>
      <c r="BQ25" s="1199">
        <v>4190070</v>
      </c>
      <c r="BR25" s="990" t="s">
        <v>1595</v>
      </c>
      <c r="BS25" s="1347"/>
      <c r="BT25" s="1199">
        <v>4189677</v>
      </c>
      <c r="BU25" s="990" t="s">
        <v>1596</v>
      </c>
      <c r="BV25" s="992"/>
      <c r="BW25" s="992"/>
    </row>
    <row r="26" spans="1:82" ht="11.25" customHeight="1">
      <c r="A26" s="996" t="s">
        <v>1597</v>
      </c>
      <c r="B26" s="997">
        <v>2024</v>
      </c>
      <c r="J26" s="1648" t="s">
        <v>1598</v>
      </c>
      <c r="AX26" s="1039" t="s">
        <v>1599</v>
      </c>
      <c r="AZ26" s="1039" t="s">
        <v>1467</v>
      </c>
      <c r="BB26" s="1039" t="s">
        <v>1600</v>
      </c>
      <c r="BC26" s="1039" t="s">
        <v>1588</v>
      </c>
      <c r="BE26" s="1039">
        <v>2024</v>
      </c>
      <c r="BH26" s="990" t="s">
        <v>1531</v>
      </c>
      <c r="BJ26" s="990" t="s">
        <v>1484</v>
      </c>
      <c r="BL26" s="990" t="s">
        <v>1484</v>
      </c>
      <c r="BQ26" s="1199">
        <v>4190071</v>
      </c>
      <c r="BR26" s="990" t="s">
        <v>1601</v>
      </c>
      <c r="BS26" s="1347"/>
      <c r="BV26" s="992"/>
      <c r="BW26" s="992"/>
    </row>
    <row r="27" spans="1:82" ht="11.25" customHeight="1">
      <c r="A27" s="996" t="s">
        <v>1602</v>
      </c>
      <c r="B27" s="997">
        <v>2025</v>
      </c>
      <c r="J27" s="113" t="s">
        <v>680</v>
      </c>
      <c r="AX27" s="1039" t="s">
        <v>1603</v>
      </c>
      <c r="BB27" s="1039" t="s">
        <v>1604</v>
      </c>
      <c r="BC27" s="1039" t="s">
        <v>1588</v>
      </c>
      <c r="BE27" s="1039">
        <v>2025</v>
      </c>
      <c r="BH27" s="992" t="s">
        <v>22</v>
      </c>
      <c r="BJ27" s="990" t="s">
        <v>1490</v>
      </c>
      <c r="BL27" s="990" t="s">
        <v>1490</v>
      </c>
      <c r="BN27" s="992" t="s">
        <v>22</v>
      </c>
      <c r="BQ27" s="1199">
        <v>4190072</v>
      </c>
      <c r="BR27" s="990" t="s">
        <v>1605</v>
      </c>
      <c r="BS27" s="1347"/>
      <c r="BV27" s="992"/>
      <c r="BW27" s="992"/>
    </row>
    <row r="28" spans="1:82" ht="11.25" customHeight="1">
      <c r="A28" s="996" t="s">
        <v>1606</v>
      </c>
      <c r="D28" s="1021"/>
      <c r="E28" s="1022"/>
      <c r="F28" s="1022"/>
      <c r="H28" s="1023" t="s">
        <v>1607</v>
      </c>
      <c r="AX28" s="1039" t="s">
        <v>1608</v>
      </c>
      <c r="AZ28" s="989" t="s">
        <v>1609</v>
      </c>
      <c r="BB28" s="1039" t="s">
        <v>1610</v>
      </c>
      <c r="BC28" s="1039" t="s">
        <v>1611</v>
      </c>
      <c r="BE28" s="1039">
        <v>2026</v>
      </c>
      <c r="BH28" s="992" t="s">
        <v>22</v>
      </c>
      <c r="BJ28" s="990" t="s">
        <v>1497</v>
      </c>
      <c r="BL28" s="990" t="s">
        <v>1497</v>
      </c>
      <c r="BN28" s="992" t="s">
        <v>22</v>
      </c>
      <c r="BQ28" s="1199">
        <v>4190073</v>
      </c>
      <c r="BR28" s="990" t="s">
        <v>1612</v>
      </c>
      <c r="BS28" s="1347"/>
      <c r="BV28" s="992"/>
      <c r="BW28" s="992"/>
    </row>
    <row r="29" spans="1:82" ht="11.25" customHeight="1">
      <c r="A29" s="996" t="s">
        <v>1613</v>
      </c>
      <c r="D29" s="1024" t="s">
        <v>1614</v>
      </c>
      <c r="E29" s="1025" t="str">
        <f>IF(TEMPLATE_GROUP="","",INDEX(StartDateList,MATCH(TEMPLATE_GROUP,CodeTemplateList,0),1))</f>
        <v>01.01.2024</v>
      </c>
      <c r="F29" s="1025" t="str">
        <f>IF(TEMPLATE_GROUP="","",INDEX(EndDateList,MATCH(TEMPLATE_GROUP,CodeTemplateList,0),1))</f>
        <v>31.12.2024</v>
      </c>
      <c r="H29" s="1026" t="s">
        <v>1615</v>
      </c>
      <c r="AX29" s="1039" t="s">
        <v>1616</v>
      </c>
      <c r="AZ29" s="1039" t="s">
        <v>1269</v>
      </c>
      <c r="BB29" s="1039" t="s">
        <v>1467</v>
      </c>
      <c r="BC29" s="1012"/>
      <c r="BE29" s="1039">
        <v>2027</v>
      </c>
      <c r="BJ29" s="990" t="s">
        <v>1505</v>
      </c>
      <c r="BL29" s="990" t="s">
        <v>1505</v>
      </c>
    </row>
    <row r="30" spans="1:82" ht="11.25" customHeight="1">
      <c r="A30" s="996" t="s">
        <v>1617</v>
      </c>
      <c r="D30" s="1027"/>
      <c r="E30" s="1028"/>
      <c r="F30" s="1028"/>
      <c r="AX30" s="1039" t="s">
        <v>1618</v>
      </c>
      <c r="AZ30" s="1039" t="s">
        <v>1296</v>
      </c>
      <c r="BE30" s="1039">
        <v>2028</v>
      </c>
      <c r="BJ30" s="990" t="s">
        <v>1619</v>
      </c>
      <c r="BL30" s="990" t="s">
        <v>1619</v>
      </c>
    </row>
    <row r="31" spans="1:82" ht="12.75" customHeight="1">
      <c r="A31" s="996" t="s">
        <v>1620</v>
      </c>
      <c r="D31" s="1021"/>
      <c r="E31" s="1022"/>
      <c r="F31" s="1022"/>
      <c r="H31" s="1029"/>
      <c r="AX31" s="1039" t="s">
        <v>1621</v>
      </c>
      <c r="AZ31" s="1039" t="s">
        <v>1622</v>
      </c>
      <c r="BE31" s="1039">
        <v>2029</v>
      </c>
      <c r="BJ31" s="990" t="s">
        <v>1623</v>
      </c>
      <c r="BL31" s="990" t="s">
        <v>1623</v>
      </c>
    </row>
    <row r="32" spans="1:82" ht="11.25" customHeight="1">
      <c r="A32" s="996" t="s">
        <v>1624</v>
      </c>
      <c r="D32" s="1024" t="s">
        <v>1625</v>
      </c>
      <c r="E32" s="1025" t="str">
        <f>IF(TEMPLATE_GROUP="","",INDEX(StartDateList,MATCH(TEMPLATE_GROUP,CodeTemplateList,0),1))</f>
        <v>01.01.2024</v>
      </c>
      <c r="F32" s="1025" t="str">
        <f>IF(TEMPLATE_GROUP="","",INDEX(EndDateList,MATCH(TEMPLATE_GROUP,CodeTemplateList,0),1))</f>
        <v>31.12.2024</v>
      </c>
      <c r="H32" s="1030" t="s">
        <v>1626</v>
      </c>
      <c r="O32" s="996" t="s">
        <v>1266</v>
      </c>
      <c r="AX32" s="1039" t="s">
        <v>1627</v>
      </c>
      <c r="AZ32" s="1039" t="s">
        <v>1363</v>
      </c>
      <c r="BE32" s="1039">
        <v>2030</v>
      </c>
      <c r="BJ32" s="990" t="s">
        <v>1514</v>
      </c>
      <c r="BL32" s="990" t="s">
        <v>1514</v>
      </c>
    </row>
    <row r="33" spans="1:66" ht="11.25" customHeight="1">
      <c r="A33" s="996" t="s">
        <v>1628</v>
      </c>
      <c r="O33" s="996" t="s">
        <v>1294</v>
      </c>
      <c r="AX33" s="1039" t="s">
        <v>1629</v>
      </c>
      <c r="AZ33" s="1039" t="s">
        <v>1268</v>
      </c>
      <c r="BE33" s="1039">
        <v>2031</v>
      </c>
      <c r="BJ33" s="990" t="s">
        <v>1520</v>
      </c>
      <c r="BL33" s="990" t="s">
        <v>1520</v>
      </c>
    </row>
    <row r="34" spans="1:66" ht="11.25" customHeight="1">
      <c r="A34" s="996" t="s">
        <v>1630</v>
      </c>
      <c r="O34" s="996" t="s">
        <v>1328</v>
      </c>
      <c r="AX34" s="1039" t="s">
        <v>1631</v>
      </c>
      <c r="BE34" s="1039">
        <v>2032</v>
      </c>
      <c r="BJ34" s="990" t="s">
        <v>1531</v>
      </c>
      <c r="BL34" s="990" t="s">
        <v>1531</v>
      </c>
    </row>
    <row r="35" spans="1:66" ht="11.25" customHeight="1">
      <c r="A35" s="996" t="s">
        <v>1632</v>
      </c>
      <c r="O35" s="996" t="s">
        <v>1361</v>
      </c>
      <c r="AX35" s="1039" t="s">
        <v>1633</v>
      </c>
      <c r="AZ35" s="989" t="s">
        <v>1634</v>
      </c>
      <c r="BE35" s="1039">
        <v>2033</v>
      </c>
      <c r="BL35" s="990" t="s">
        <v>1635</v>
      </c>
    </row>
    <row r="36" spans="1:66" ht="11.25" customHeight="1">
      <c r="A36" s="1785" t="s">
        <v>1636</v>
      </c>
      <c r="D36" s="1031" t="s">
        <v>1637</v>
      </c>
      <c r="E36" s="1032" t="s">
        <v>799</v>
      </c>
      <c r="F36" s="1033" t="str">
        <f>INDEX(E37:E41,MATCH(TEMPLATE_SPHERE,F37:F41,0))</f>
        <v>теплоснабжения</v>
      </c>
      <c r="G36" s="1033" t="str">
        <f>INDEX(G37:G41,MATCH(TEMPLATE_SPHERE,F37:F41,0))</f>
        <v>теплоснабжение</v>
      </c>
      <c r="O36" s="996" t="s">
        <v>1386</v>
      </c>
      <c r="AX36" s="1039" t="s">
        <v>1638</v>
      </c>
      <c r="AZ36" s="1039" t="s">
        <v>1268</v>
      </c>
      <c r="BE36" s="1039">
        <v>2034</v>
      </c>
      <c r="BL36" s="990" t="s">
        <v>1639</v>
      </c>
    </row>
    <row r="37" spans="1:66" ht="11.25" customHeight="1">
      <c r="A37" s="996" t="s">
        <v>1640</v>
      </c>
      <c r="E37" s="343" t="s">
        <v>1641</v>
      </c>
      <c r="F37" s="1034" t="s">
        <v>799</v>
      </c>
      <c r="G37" s="343" t="s">
        <v>1642</v>
      </c>
      <c r="O37" s="996" t="s">
        <v>1405</v>
      </c>
      <c r="AX37" s="1039" t="s">
        <v>1643</v>
      </c>
      <c r="AZ37" s="1039" t="s">
        <v>1295</v>
      </c>
      <c r="BE37" s="1039">
        <v>2035</v>
      </c>
    </row>
    <row r="38" spans="1:66" ht="11.25" customHeight="1">
      <c r="A38" s="996" t="s">
        <v>1644</v>
      </c>
      <c r="E38" s="343" t="s">
        <v>1645</v>
      </c>
      <c r="F38" s="1035" t="s">
        <v>845</v>
      </c>
      <c r="G38" s="343" t="s">
        <v>1646</v>
      </c>
      <c r="O38" s="996" t="s">
        <v>1421</v>
      </c>
      <c r="AX38" s="1039" t="s">
        <v>1647</v>
      </c>
      <c r="AZ38" s="1039" t="s">
        <v>1329</v>
      </c>
      <c r="BE38" s="1039">
        <v>2036</v>
      </c>
      <c r="BH38" s="989" t="s">
        <v>1648</v>
      </c>
      <c r="BJ38" s="989" t="s">
        <v>1649</v>
      </c>
      <c r="BL38" s="989" t="s">
        <v>1650</v>
      </c>
      <c r="BN38" s="989" t="s">
        <v>1651</v>
      </c>
    </row>
    <row r="39" spans="1:66" ht="11.25" customHeight="1">
      <c r="A39" s="996" t="s">
        <v>16</v>
      </c>
      <c r="E39" s="343" t="s">
        <v>1652</v>
      </c>
      <c r="F39" s="1035" t="s">
        <v>898</v>
      </c>
      <c r="G39" s="343" t="s">
        <v>1653</v>
      </c>
      <c r="O39" s="996" t="s">
        <v>1437</v>
      </c>
      <c r="AX39" s="1039" t="s">
        <v>1654</v>
      </c>
      <c r="AZ39" s="1039" t="s">
        <v>1362</v>
      </c>
      <c r="BE39" s="1039">
        <v>2037</v>
      </c>
      <c r="BH39" s="990" t="s">
        <v>1655</v>
      </c>
      <c r="BJ39" s="1135" t="s">
        <v>1655</v>
      </c>
      <c r="BL39" s="1135" t="s">
        <v>1655</v>
      </c>
      <c r="BN39" s="990" t="s">
        <v>1656</v>
      </c>
    </row>
    <row r="40" spans="1:66" ht="11.25" customHeight="1">
      <c r="A40" s="996" t="s">
        <v>1657</v>
      </c>
      <c r="E40" s="343" t="s">
        <v>1658</v>
      </c>
      <c r="F40" s="1035" t="s">
        <v>885</v>
      </c>
      <c r="G40" s="343" t="s">
        <v>1659</v>
      </c>
      <c r="O40" s="996" t="s">
        <v>1452</v>
      </c>
      <c r="AX40" s="1039" t="s">
        <v>1660</v>
      </c>
      <c r="BE40" s="1039">
        <v>2038</v>
      </c>
      <c r="BH40" s="990" t="s">
        <v>1661</v>
      </c>
      <c r="BJ40" s="1135" t="s">
        <v>1078</v>
      </c>
      <c r="BL40" s="1135" t="s">
        <v>1078</v>
      </c>
      <c r="BN40" s="990" t="s">
        <v>1112</v>
      </c>
    </row>
    <row r="41" spans="1:66" ht="11.25" customHeight="1">
      <c r="A41" s="996" t="s">
        <v>1662</v>
      </c>
      <c r="E41" s="343" t="s">
        <v>1663</v>
      </c>
      <c r="F41" s="1035" t="s">
        <v>1664</v>
      </c>
      <c r="G41" s="343" t="s">
        <v>1663</v>
      </c>
      <c r="O41" s="996" t="s">
        <v>1467</v>
      </c>
      <c r="AX41" s="1039" t="s">
        <v>1665</v>
      </c>
      <c r="AZ41" s="989" t="s">
        <v>1666</v>
      </c>
      <c r="BE41" s="1039">
        <v>2039</v>
      </c>
      <c r="BH41" s="990" t="s">
        <v>1667</v>
      </c>
      <c r="BJ41" s="1135" t="s">
        <v>1074</v>
      </c>
      <c r="BL41" s="1135" t="s">
        <v>1074</v>
      </c>
      <c r="BN41" s="990" t="s">
        <v>1099</v>
      </c>
    </row>
    <row r="42" spans="1:66" ht="11.25" customHeight="1">
      <c r="A42" s="996" t="s">
        <v>1668</v>
      </c>
      <c r="AX42" s="1039" t="s">
        <v>1669</v>
      </c>
      <c r="AZ42" s="1039" t="s">
        <v>1266</v>
      </c>
      <c r="BE42" s="1039">
        <v>2040</v>
      </c>
      <c r="BH42" s="990" t="s">
        <v>1096</v>
      </c>
      <c r="BJ42" s="1135" t="s">
        <v>1076</v>
      </c>
      <c r="BL42" s="1135" t="s">
        <v>1076</v>
      </c>
      <c r="BN42" s="990" t="s">
        <v>1670</v>
      </c>
    </row>
    <row r="43" spans="1:66" ht="11.25" customHeight="1">
      <c r="A43" s="996" t="s">
        <v>1671</v>
      </c>
      <c r="AX43" s="1039" t="s">
        <v>1672</v>
      </c>
      <c r="AZ43" s="1039" t="s">
        <v>1294</v>
      </c>
      <c r="BE43" s="1039">
        <v>2041</v>
      </c>
      <c r="BH43" s="990" t="s">
        <v>1673</v>
      </c>
      <c r="BJ43" s="1135" t="s">
        <v>1667</v>
      </c>
      <c r="BL43" s="1135" t="s">
        <v>1667</v>
      </c>
      <c r="BN43" s="990" t="s">
        <v>1674</v>
      </c>
    </row>
    <row r="44" spans="1:66" ht="11.25" customHeight="1">
      <c r="A44" s="996" t="s">
        <v>1675</v>
      </c>
      <c r="G44" s="1015">
        <f ca="1">YEAR(TODAY())</f>
        <v>2024</v>
      </c>
      <c r="I44" s="729" t="s">
        <v>1676</v>
      </c>
      <c r="J44" s="1011" t="s">
        <v>1677</v>
      </c>
      <c r="K44" s="1011" t="s">
        <v>1678</v>
      </c>
      <c r="AX44" s="1039" t="s">
        <v>1679</v>
      </c>
      <c r="AZ44" s="1039" t="s">
        <v>1328</v>
      </c>
      <c r="BE44" s="1039">
        <v>2042</v>
      </c>
      <c r="BH44" s="990" t="s">
        <v>1680</v>
      </c>
      <c r="BJ44" s="1135" t="s">
        <v>1096</v>
      </c>
      <c r="BL44" s="1135" t="s">
        <v>1096</v>
      </c>
      <c r="BN44" s="990" t="s">
        <v>1681</v>
      </c>
    </row>
    <row r="45" spans="1:66" ht="11.25" customHeight="1">
      <c r="A45" s="996" t="s">
        <v>1682</v>
      </c>
      <c r="D45" s="1031" t="s">
        <v>1683</v>
      </c>
      <c r="E45" s="1032" t="s">
        <v>1070</v>
      </c>
      <c r="F45" s="727" t="s">
        <v>1684</v>
      </c>
      <c r="G45" s="726" t="s">
        <v>1685</v>
      </c>
      <c r="H45" s="729" t="s">
        <v>1686</v>
      </c>
      <c r="I45" s="1658" t="b">
        <f>INDEX(PeriodIsEmptyList,MATCH(TEMPLATE_GROUP,CodeTemplateList,0),1)</f>
        <v>0</v>
      </c>
      <c r="J45" s="1661" t="str">
        <f>INDEX(NameTemplatesInTitleList,MATCH(TEMPLATE_GROUP,CodeTemplateList,0),1)</f>
        <v>Информация об инвестиционных программах регулируемой организации в области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9" t="s">
        <v>1687</v>
      </c>
      <c r="AZ45" s="1039" t="s">
        <v>1361</v>
      </c>
      <c r="BE45" s="1039">
        <v>2043</v>
      </c>
      <c r="BH45" s="990" t="s">
        <v>1688</v>
      </c>
      <c r="BJ45" s="1135" t="s">
        <v>1090</v>
      </c>
      <c r="BL45" s="1135" t="s">
        <v>1090</v>
      </c>
      <c r="BN45" s="990" t="s">
        <v>1689</v>
      </c>
    </row>
    <row r="46" spans="1:66" ht="11.25" customHeight="1">
      <c r="A46" s="996" t="s">
        <v>1690</v>
      </c>
      <c r="E46" s="343" t="s">
        <v>27</v>
      </c>
      <c r="F46" s="1034" t="s">
        <v>1691</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1692</v>
      </c>
      <c r="AZ46" s="1039" t="s">
        <v>1386</v>
      </c>
      <c r="BE46" s="1039">
        <v>2044</v>
      </c>
      <c r="BH46" s="990" t="s">
        <v>1099</v>
      </c>
      <c r="BJ46" s="1135" t="s">
        <v>1080</v>
      </c>
      <c r="BL46" s="1135" t="s">
        <v>1080</v>
      </c>
      <c r="BN46" s="990" t="s">
        <v>1693</v>
      </c>
    </row>
    <row r="47" spans="1:66" ht="11.25" customHeight="1">
      <c r="A47" s="996" t="s">
        <v>1694</v>
      </c>
      <c r="E47" s="343" t="s">
        <v>33</v>
      </c>
      <c r="F47" s="1035" t="s">
        <v>1695</v>
      </c>
      <c r="G47" s="1036" t="str">
        <f>IFERROR(IF(f_year="","01.01."&amp;CURRENT_YEAR,IF(LEN(f_quart)=0,"01.01."&amp;f_year,IF(f_quart="I квартал","01.01."&amp;f_year,IF(f_quart="II квартал","01.04."&amp;f_year,(IF(f_quart="III квартал","01.07."&amp;f_year,"01.10."&amp;f_year)))))),"01.01."&amp;CURRENT_YEAR)</f>
        <v>01.01.2024</v>
      </c>
      <c r="H47" s="1036" t="str">
        <f>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1696</v>
      </c>
      <c r="AZ47" s="1039" t="s">
        <v>1405</v>
      </c>
      <c r="BE47" s="1039">
        <v>2045</v>
      </c>
      <c r="BH47" s="990" t="s">
        <v>1670</v>
      </c>
      <c r="BJ47" s="1135" t="s">
        <v>1082</v>
      </c>
      <c r="BL47" s="1135" t="s">
        <v>1082</v>
      </c>
      <c r="BN47" s="990" t="s">
        <v>1697</v>
      </c>
    </row>
    <row r="48" spans="1:66" ht="11.25" customHeight="1">
      <c r="A48" s="996" t="s">
        <v>1698</v>
      </c>
      <c r="E48" s="343" t="s">
        <v>1699</v>
      </c>
      <c r="F48" s="1035" t="s">
        <v>1700</v>
      </c>
      <c r="G48" s="1036" t="str">
        <f>IFERROR(IF(f_year="","01.01."&amp;CURRENT_YEAR,"01.01."&amp;f_year),"01.01."&amp;CURRENT_YEAR)</f>
        <v>01.01.2024</v>
      </c>
      <c r="H48" s="1036" t="str">
        <f>IFERROR(IF(f_year="","31.12."&amp;CURRENT_YEAR,"31.12."&amp;f_year),"31.12."&amp;CURRENT_YEAR)</f>
        <v>31.12.2024</v>
      </c>
      <c r="I48" s="1659" t="b">
        <f>IF(f_year="",TRUE,FALSE)</f>
        <v>0</v>
      </c>
      <c r="J48" s="1662" t="s">
        <v>1701</v>
      </c>
      <c r="K48" s="1663"/>
      <c r="AX48" s="1039" t="s">
        <v>1702</v>
      </c>
      <c r="AZ48" s="1039" t="s">
        <v>1421</v>
      </c>
      <c r="BE48" s="1039">
        <v>2046</v>
      </c>
      <c r="BH48" s="990" t="s">
        <v>1674</v>
      </c>
      <c r="BJ48" s="1135" t="s">
        <v>1084</v>
      </c>
      <c r="BL48" s="1135" t="s">
        <v>1084</v>
      </c>
      <c r="BN48" s="990" t="s">
        <v>1703</v>
      </c>
    </row>
    <row r="49" spans="1:64" ht="11.25" customHeight="1">
      <c r="A49" s="996" t="s">
        <v>1704</v>
      </c>
      <c r="E49" s="343" t="s">
        <v>1705</v>
      </c>
      <c r="F49" s="1035" t="s">
        <v>1706</v>
      </c>
      <c r="G49" s="1036" t="str">
        <f>IFERROR(IF(f_year="","01.01."&amp;CURRENT_YEAR,"01.01."&amp;f_year),"01.01."&amp;CURRENT_YEAR)</f>
        <v>01.01.2024</v>
      </c>
      <c r="H49" s="1036"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1707</v>
      </c>
      <c r="AZ49" s="1039" t="s">
        <v>1437</v>
      </c>
      <c r="BE49" s="1039">
        <v>2047</v>
      </c>
      <c r="BH49" s="990" t="s">
        <v>1100</v>
      </c>
      <c r="BJ49" s="1135" t="s">
        <v>1086</v>
      </c>
      <c r="BL49" s="1135" t="s">
        <v>1086</v>
      </c>
    </row>
    <row r="50" spans="1:64" ht="11.25" customHeight="1">
      <c r="A50" s="996" t="s">
        <v>1708</v>
      </c>
      <c r="E50" s="343" t="s">
        <v>1709</v>
      </c>
      <c r="F50" s="1035" t="s">
        <v>1070</v>
      </c>
      <c r="G50" s="1036" t="str">
        <f>IFERROR(IF(f_year="","01.01."&amp;CURRENT_YEAR,"01.01."&amp;f_year),"01.01."&amp;CURRENT_YEAR)</f>
        <v>01.01.2024</v>
      </c>
      <c r="H50" s="1036"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1710</v>
      </c>
      <c r="AZ50" s="1039" t="s">
        <v>1452</v>
      </c>
      <c r="BE50" s="1039">
        <v>2048</v>
      </c>
      <c r="BH50" s="990" t="s">
        <v>1681</v>
      </c>
      <c r="BJ50" s="1135" t="s">
        <v>1088</v>
      </c>
      <c r="BL50" s="1135" t="s">
        <v>1088</v>
      </c>
    </row>
    <row r="51" spans="1:64" ht="11.25" customHeight="1">
      <c r="A51" s="996" t="s">
        <v>1711</v>
      </c>
      <c r="E51" s="343" t="s">
        <v>1712</v>
      </c>
      <c r="F51" s="1035" t="s">
        <v>1713</v>
      </c>
      <c r="G51" s="1036" t="str">
        <f ca="1">IFERROR(IF(TITLE_PERIOD_START="","01.01."&amp;CURRENT_YEAR,"01.01."&amp;YEAR(TITLE_PERIOD_START)),"01.01."&amp;CURRENT_YEAR)</f>
        <v>01.01.2024</v>
      </c>
      <c r="H51" s="1036"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1714</v>
      </c>
      <c r="AZ51" s="1039" t="s">
        <v>1467</v>
      </c>
      <c r="BE51" s="1039">
        <v>2049</v>
      </c>
      <c r="BH51" s="990" t="s">
        <v>1689</v>
      </c>
      <c r="BJ51" s="1135" t="s">
        <v>1715</v>
      </c>
      <c r="BL51" s="1135" t="s">
        <v>1715</v>
      </c>
    </row>
    <row r="52" spans="1:64" ht="11.25" customHeight="1">
      <c r="A52" s="996" t="s">
        <v>1716</v>
      </c>
      <c r="E52" s="343" t="s">
        <v>1717</v>
      </c>
      <c r="F52" s="1035" t="s">
        <v>1718</v>
      </c>
      <c r="G52" s="1036" t="str">
        <f ca="1">IFERROR(IF(TITLE_PERIOD_START="","01.01."&amp;CURRENT_YEAR,"01.01."&amp;YEAR(TITLE_PERIOD_START)),"01.01."&amp;CURRENT_YEAR)</f>
        <v>01.01.2024</v>
      </c>
      <c r="H52" s="1036"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1719</v>
      </c>
      <c r="AZ52" s="1039" t="s">
        <v>1268</v>
      </c>
      <c r="BE52" s="1039">
        <v>2050</v>
      </c>
      <c r="BH52" s="990" t="s">
        <v>1693</v>
      </c>
      <c r="BJ52" s="1135" t="s">
        <v>1099</v>
      </c>
      <c r="BL52" s="1135" t="s">
        <v>1099</v>
      </c>
    </row>
    <row r="53" spans="1:64" ht="11.25" customHeight="1">
      <c r="A53" s="996" t="s">
        <v>1720</v>
      </c>
      <c r="E53" s="343" t="s">
        <v>1721</v>
      </c>
      <c r="F53" s="1035" t="s">
        <v>1721</v>
      </c>
      <c r="G53" s="1036" t="str">
        <f>IFERROR(IF(f_year="","01.01."&amp;CURRENT_YEAR,"01.01."&amp;f_year),"01.01."&amp;CURRENT_YEAR)</f>
        <v>01.01.2024</v>
      </c>
      <c r="H53" s="1036" t="str">
        <f>IFERROR(IF(f_year="","31.12."&amp;CURRENT_YEAR,"31.12."&amp;f_year),"31.12."&amp;CURRENT_YEAR)</f>
        <v>31.12.2024</v>
      </c>
      <c r="I53" s="1659" t="b">
        <f>IF(AND(f_year="",TITLE_DATE_FIL=""),TRUE,FALSE)</f>
        <v>0</v>
      </c>
      <c r="J53" s="1662" t="s">
        <v>1722</v>
      </c>
      <c r="K53" s="1663"/>
      <c r="AX53" s="1039" t="s">
        <v>1723</v>
      </c>
      <c r="BE53" s="1039">
        <v>2051</v>
      </c>
      <c r="BH53" s="990" t="s">
        <v>1697</v>
      </c>
      <c r="BJ53" s="1135" t="s">
        <v>1670</v>
      </c>
      <c r="BL53" s="1135" t="s">
        <v>1670</v>
      </c>
    </row>
    <row r="54" spans="1:64" ht="11.25" customHeight="1">
      <c r="A54" s="996" t="s">
        <v>1724</v>
      </c>
      <c r="AX54" s="1039" t="s">
        <v>1725</v>
      </c>
      <c r="AZ54" s="989" t="s">
        <v>1726</v>
      </c>
      <c r="BE54" s="1039">
        <v>2052</v>
      </c>
      <c r="BH54" s="990" t="s">
        <v>1703</v>
      </c>
      <c r="BJ54" s="1135" t="s">
        <v>1674</v>
      </c>
      <c r="BL54" s="1135" t="s">
        <v>1674</v>
      </c>
    </row>
    <row r="55" spans="1:64" ht="11.25" customHeight="1">
      <c r="A55" s="996" t="s">
        <v>1727</v>
      </c>
      <c r="AX55" s="1039" t="s">
        <v>1728</v>
      </c>
      <c r="AZ55" s="1039" t="s">
        <v>1270</v>
      </c>
      <c r="BE55" s="1039">
        <v>2053</v>
      </c>
      <c r="BH55" s="992" t="s">
        <v>22</v>
      </c>
      <c r="BJ55" s="1135" t="s">
        <v>1100</v>
      </c>
      <c r="BL55" s="1135" t="s">
        <v>1100</v>
      </c>
    </row>
    <row r="56" spans="1:64" ht="11.25" customHeight="1">
      <c r="A56" s="996" t="s">
        <v>1729</v>
      </c>
      <c r="D56" s="1038" t="s">
        <v>1730</v>
      </c>
      <c r="E56" s="1016" t="s">
        <v>104</v>
      </c>
      <c r="F56" s="996" t="s">
        <v>1731</v>
      </c>
      <c r="AX56" s="1039" t="s">
        <v>1732</v>
      </c>
      <c r="AZ56" s="1039" t="s">
        <v>1297</v>
      </c>
      <c r="BE56" s="1039">
        <v>2054</v>
      </c>
      <c r="BH56" s="992" t="s">
        <v>22</v>
      </c>
      <c r="BJ56" s="1135" t="s">
        <v>1681</v>
      </c>
      <c r="BL56" s="1135" t="s">
        <v>1681</v>
      </c>
    </row>
    <row r="57" spans="1:64" ht="11.25" customHeight="1">
      <c r="A57" s="996" t="s">
        <v>1733</v>
      </c>
      <c r="D57" s="1038" t="s">
        <v>1734</v>
      </c>
      <c r="E57" s="1016" t="s">
        <v>104</v>
      </c>
      <c r="F57" s="996" t="s">
        <v>1731</v>
      </c>
      <c r="AX57" s="1039" t="s">
        <v>1735</v>
      </c>
      <c r="AZ57" s="1039" t="s">
        <v>1331</v>
      </c>
      <c r="BE57" s="1039">
        <v>2055</v>
      </c>
      <c r="BJ57" s="1135" t="s">
        <v>1689</v>
      </c>
      <c r="BL57" s="1135" t="s">
        <v>1689</v>
      </c>
    </row>
    <row r="58" spans="1:64" ht="11.25" customHeight="1">
      <c r="A58" s="996" t="s">
        <v>1736</v>
      </c>
      <c r="D58" s="1038" t="s">
        <v>1737</v>
      </c>
      <c r="E58" s="1016" t="s">
        <v>1738</v>
      </c>
      <c r="F58" s="996" t="s">
        <v>1731</v>
      </c>
      <c r="AX58" s="1039" t="s">
        <v>1739</v>
      </c>
      <c r="BE58" s="1039">
        <v>2056</v>
      </c>
      <c r="BJ58" s="1135" t="s">
        <v>1693</v>
      </c>
      <c r="BL58" s="1135" t="s">
        <v>1693</v>
      </c>
    </row>
    <row r="59" spans="1:64" ht="11.25" customHeight="1">
      <c r="A59" s="996" t="s">
        <v>1740</v>
      </c>
      <c r="D59" s="1038" t="s">
        <v>124</v>
      </c>
      <c r="E59" s="1016" t="s">
        <v>1627</v>
      </c>
      <c r="F59" s="996" t="s">
        <v>1741</v>
      </c>
      <c r="AX59" s="1039" t="s">
        <v>1742</v>
      </c>
      <c r="AZ59" s="989" t="s">
        <v>1743</v>
      </c>
      <c r="BE59" s="1039">
        <v>2057</v>
      </c>
      <c r="BJ59" s="1135" t="s">
        <v>1697</v>
      </c>
      <c r="BL59" s="1135" t="s">
        <v>1697</v>
      </c>
    </row>
    <row r="60" spans="1:64" ht="11.25" customHeight="1">
      <c r="A60" s="996" t="s">
        <v>1744</v>
      </c>
      <c r="D60" s="1038" t="s">
        <v>1745</v>
      </c>
      <c r="E60" s="1016" t="s">
        <v>1627</v>
      </c>
      <c r="F60" s="996" t="s">
        <v>1741</v>
      </c>
      <c r="AX60" s="1039" t="s">
        <v>1746</v>
      </c>
      <c r="AZ60" s="1039" t="s">
        <v>1271</v>
      </c>
      <c r="BE60" s="1039">
        <v>2058</v>
      </c>
      <c r="BJ60" s="1135" t="s">
        <v>1703</v>
      </c>
      <c r="BL60" s="1135" t="s">
        <v>1703</v>
      </c>
    </row>
    <row r="61" spans="1:64" ht="11.25" customHeight="1">
      <c r="A61" s="996" t="s">
        <v>1747</v>
      </c>
      <c r="D61" s="1038" t="s">
        <v>1748</v>
      </c>
      <c r="E61" s="1016" t="s">
        <v>1627</v>
      </c>
      <c r="F61" s="996" t="s">
        <v>1741</v>
      </c>
      <c r="AX61" s="1039" t="s">
        <v>1749</v>
      </c>
      <c r="AZ61" s="1039" t="s">
        <v>1298</v>
      </c>
      <c r="BE61" s="1039">
        <v>2059</v>
      </c>
      <c r="BL61" s="1135" t="s">
        <v>1092</v>
      </c>
    </row>
    <row r="62" spans="1:64" ht="11.25" customHeight="1">
      <c r="A62" s="996" t="s">
        <v>1750</v>
      </c>
      <c r="D62" s="1038" t="s">
        <v>123</v>
      </c>
      <c r="E62" s="1016">
        <v>30</v>
      </c>
      <c r="F62" s="996" t="s">
        <v>1741</v>
      </c>
      <c r="AZ62" s="1039" t="s">
        <v>1332</v>
      </c>
      <c r="BE62" s="1039">
        <v>2060</v>
      </c>
      <c r="BL62" s="1135" t="s">
        <v>1094</v>
      </c>
    </row>
    <row r="63" spans="1:64" ht="11.25" customHeight="1">
      <c r="A63" s="996" t="s">
        <v>1751</v>
      </c>
      <c r="D63" s="1038" t="s">
        <v>1752</v>
      </c>
      <c r="E63" s="1016">
        <v>30</v>
      </c>
      <c r="F63" s="996" t="s">
        <v>1741</v>
      </c>
      <c r="AZ63" s="1039" t="s">
        <v>1364</v>
      </c>
      <c r="BE63" s="1039">
        <v>2061</v>
      </c>
    </row>
    <row r="64" spans="1:64" ht="11.25" customHeight="1">
      <c r="A64" s="996" t="s">
        <v>1753</v>
      </c>
      <c r="D64" s="1038" t="s">
        <v>1754</v>
      </c>
      <c r="E64" s="1016">
        <v>30</v>
      </c>
      <c r="F64" s="996" t="s">
        <v>1741</v>
      </c>
      <c r="AZ64" s="1039" t="s">
        <v>1387</v>
      </c>
      <c r="BE64" s="1039">
        <v>2062</v>
      </c>
    </row>
    <row r="65" spans="1:66" ht="11.25" customHeight="1">
      <c r="A65" s="996" t="s">
        <v>1755</v>
      </c>
      <c r="D65" s="996"/>
      <c r="BE65" s="1039">
        <v>2063</v>
      </c>
    </row>
    <row r="66" spans="1:66" ht="11.25" customHeight="1">
      <c r="A66" s="996" t="s">
        <v>1756</v>
      </c>
      <c r="AZ66" s="989" t="s">
        <v>1757</v>
      </c>
      <c r="BE66" s="1039">
        <v>2064</v>
      </c>
    </row>
    <row r="67" spans="1:66" ht="11.25" customHeight="1">
      <c r="A67" s="996" t="s">
        <v>1758</v>
      </c>
      <c r="AZ67" s="1039" t="s">
        <v>1272</v>
      </c>
      <c r="BE67" s="1039">
        <v>2065</v>
      </c>
    </row>
    <row r="68" spans="1:66" ht="11.25" customHeight="1">
      <c r="A68" s="996" t="s">
        <v>1759</v>
      </c>
      <c r="AZ68" s="1039" t="s">
        <v>1299</v>
      </c>
      <c r="BE68" s="1039">
        <v>2066</v>
      </c>
      <c r="BH68" s="989" t="s">
        <v>1760</v>
      </c>
      <c r="BJ68" s="989" t="s">
        <v>1761</v>
      </c>
      <c r="BL68" s="989" t="s">
        <v>1762</v>
      </c>
      <c r="BN68" s="989" t="s">
        <v>1763</v>
      </c>
    </row>
    <row r="69" spans="1:66" ht="11.25" customHeight="1">
      <c r="A69" s="996" t="s">
        <v>1764</v>
      </c>
      <c r="AZ69" s="1039" t="s">
        <v>1333</v>
      </c>
      <c r="BE69" s="1039">
        <v>2067</v>
      </c>
      <c r="BH69" s="990" t="s">
        <v>1765</v>
      </c>
      <c r="BI69" s="1037" t="s">
        <v>102</v>
      </c>
      <c r="BJ69" s="990" t="s">
        <v>1766</v>
      </c>
      <c r="BK69" s="1037" t="s">
        <v>102</v>
      </c>
      <c r="BL69" s="990" t="s">
        <v>1767</v>
      </c>
      <c r="BM69" s="992" t="s">
        <v>102</v>
      </c>
      <c r="BN69" s="990" t="s">
        <v>1768</v>
      </c>
    </row>
    <row r="70" spans="1:66" ht="11.25" customHeight="1">
      <c r="A70" s="996" t="s">
        <v>1769</v>
      </c>
      <c r="AZ70" s="1039" t="s">
        <v>1365</v>
      </c>
      <c r="BE70" s="1039">
        <v>2068</v>
      </c>
      <c r="BH70" s="990" t="s">
        <v>1770</v>
      </c>
      <c r="BJ70" s="990" t="s">
        <v>1771</v>
      </c>
      <c r="BL70" s="990" t="s">
        <v>1772</v>
      </c>
      <c r="BN70" s="990" t="s">
        <v>1773</v>
      </c>
    </row>
    <row r="71" spans="1:66" ht="11.25" customHeight="1">
      <c r="A71" s="996" t="s">
        <v>1774</v>
      </c>
      <c r="AZ71" s="1039" t="s">
        <v>1367</v>
      </c>
      <c r="BE71" s="1039">
        <v>2069</v>
      </c>
      <c r="BH71" s="990" t="s">
        <v>1019</v>
      </c>
      <c r="BI71" s="1037" t="s">
        <v>86</v>
      </c>
      <c r="BJ71" s="990" t="s">
        <v>1775</v>
      </c>
      <c r="BK71" s="1037" t="s">
        <v>86</v>
      </c>
      <c r="BL71" s="990" t="s">
        <v>1776</v>
      </c>
      <c r="BM71" s="992" t="s">
        <v>86</v>
      </c>
      <c r="BN71" s="990" t="s">
        <v>1777</v>
      </c>
    </row>
    <row r="72" spans="1:66" ht="11.25" customHeight="1">
      <c r="A72" s="996" t="s">
        <v>1778</v>
      </c>
      <c r="AZ72" s="1039" t="s">
        <v>19</v>
      </c>
      <c r="BE72" s="1039">
        <v>2070</v>
      </c>
      <c r="BH72" s="990" t="s">
        <v>1779</v>
      </c>
      <c r="BJ72" s="990" t="s">
        <v>1779</v>
      </c>
      <c r="BL72" s="990" t="s">
        <v>1779</v>
      </c>
      <c r="BN72" s="990" t="s">
        <v>1780</v>
      </c>
    </row>
    <row r="73" spans="1:66" ht="11.25" customHeight="1">
      <c r="A73" s="996" t="s">
        <v>1781</v>
      </c>
      <c r="BH73" s="990" t="s">
        <v>1782</v>
      </c>
      <c r="BI73" s="1037" t="s">
        <v>104</v>
      </c>
      <c r="BJ73" s="990" t="s">
        <v>1783</v>
      </c>
      <c r="BK73" s="1037" t="s">
        <v>104</v>
      </c>
      <c r="BL73" s="990" t="s">
        <v>1784</v>
      </c>
      <c r="BM73" s="992" t="s">
        <v>104</v>
      </c>
      <c r="BN73" s="990" t="s">
        <v>1785</v>
      </c>
    </row>
    <row r="74" spans="1:66" ht="11.25" customHeight="1">
      <c r="A74" s="996" t="s">
        <v>1786</v>
      </c>
      <c r="BH74" s="990" t="s">
        <v>1787</v>
      </c>
      <c r="BJ74" s="990" t="s">
        <v>1788</v>
      </c>
      <c r="BL74" s="990" t="s">
        <v>1789</v>
      </c>
      <c r="BN74" s="990" t="s">
        <v>1790</v>
      </c>
    </row>
    <row r="75" spans="1:66" ht="11.25" customHeight="1">
      <c r="A75" s="996" t="s">
        <v>1791</v>
      </c>
      <c r="AZ75" s="989" t="s">
        <v>1792</v>
      </c>
      <c r="BH75" s="990" t="s">
        <v>1793</v>
      </c>
      <c r="BJ75" s="990" t="s">
        <v>1793</v>
      </c>
      <c r="BL75" s="990" t="s">
        <v>1793</v>
      </c>
    </row>
    <row r="76" spans="1:66" ht="11.25" customHeight="1">
      <c r="A76" s="996" t="s">
        <v>1794</v>
      </c>
      <c r="AZ76" s="1039" t="s">
        <v>1281</v>
      </c>
      <c r="BH76" s="990" t="s">
        <v>1795</v>
      </c>
      <c r="BJ76" s="990" t="s">
        <v>1796</v>
      </c>
      <c r="BL76" s="990" t="s">
        <v>1797</v>
      </c>
    </row>
    <row r="77" spans="1:66" ht="11.25" customHeight="1">
      <c r="A77" s="996" t="s">
        <v>1798</v>
      </c>
      <c r="AZ77" s="1039" t="s">
        <v>1309</v>
      </c>
    </row>
    <row r="78" spans="1:66" ht="11.25" customHeight="1">
      <c r="A78" s="996" t="s">
        <v>1799</v>
      </c>
      <c r="AZ78" s="1039" t="s">
        <v>1340</v>
      </c>
    </row>
    <row r="79" spans="1:66" ht="11.25" customHeight="1">
      <c r="A79" s="996" t="s">
        <v>1800</v>
      </c>
      <c r="AZ79" s="1039" t="s">
        <v>1371</v>
      </c>
      <c r="BH79" s="989" t="s">
        <v>1801</v>
      </c>
      <c r="BJ79" s="989" t="s">
        <v>1802</v>
      </c>
      <c r="BL79" s="989" t="s">
        <v>1803</v>
      </c>
    </row>
    <row r="80" spans="1:66" ht="11.25" customHeight="1">
      <c r="A80" s="996" t="s">
        <v>1804</v>
      </c>
      <c r="AZ80" s="1039" t="s">
        <v>1392</v>
      </c>
      <c r="BH80" s="990" t="s">
        <v>1805</v>
      </c>
      <c r="BJ80" s="990" t="s">
        <v>1806</v>
      </c>
      <c r="BL80" s="990" t="s">
        <v>1807</v>
      </c>
    </row>
    <row r="81" spans="1:66" ht="11.25" customHeight="1">
      <c r="A81" s="996" t="s">
        <v>1808</v>
      </c>
      <c r="AZ81" s="1039" t="s">
        <v>1409</v>
      </c>
      <c r="BH81" s="990" t="s">
        <v>1809</v>
      </c>
      <c r="BJ81" s="990" t="s">
        <v>1810</v>
      </c>
      <c r="BL81" s="990" t="s">
        <v>1811</v>
      </c>
    </row>
    <row r="82" spans="1:66" ht="11.25" customHeight="1">
      <c r="A82" s="996" t="s">
        <v>1812</v>
      </c>
      <c r="AZ82" s="1039" t="s">
        <v>1423</v>
      </c>
      <c r="BH82" s="990" t="s">
        <v>1813</v>
      </c>
      <c r="BJ82" s="990" t="s">
        <v>1814</v>
      </c>
      <c r="BL82" s="990" t="s">
        <v>1815</v>
      </c>
    </row>
    <row r="83" spans="1:66" ht="11.25" customHeight="1">
      <c r="A83" s="996" t="s">
        <v>1816</v>
      </c>
      <c r="BH83" s="990" t="s">
        <v>1817</v>
      </c>
      <c r="BJ83" s="990" t="s">
        <v>1818</v>
      </c>
      <c r="BL83" s="990" t="s">
        <v>1819</v>
      </c>
    </row>
    <row r="84" spans="1:66" ht="11.25" customHeight="1">
      <c r="A84" s="996" t="s">
        <v>1820</v>
      </c>
      <c r="AZ84" s="989" t="s">
        <v>1821</v>
      </c>
    </row>
    <row r="85" spans="1:66" ht="11.25" customHeight="1">
      <c r="A85" s="1785" t="s">
        <v>1822</v>
      </c>
      <c r="AZ85" s="1039" t="s">
        <v>1823</v>
      </c>
    </row>
    <row r="86" spans="1:66" ht="11.25" customHeight="1">
      <c r="A86" s="996" t="s">
        <v>1824</v>
      </c>
      <c r="AZ86" s="1039" t="s">
        <v>1825</v>
      </c>
      <c r="BH86" s="989" t="s">
        <v>1018</v>
      </c>
      <c r="BJ86" s="989" t="s">
        <v>1826</v>
      </c>
      <c r="BL86" s="989" t="s">
        <v>1827</v>
      </c>
    </row>
    <row r="87" spans="1:66" ht="11.25" customHeight="1">
      <c r="A87" s="996" t="s">
        <v>1828</v>
      </c>
      <c r="AZ87" s="1039" t="s">
        <v>1829</v>
      </c>
      <c r="BH87" s="990" t="s">
        <v>1020</v>
      </c>
      <c r="BJ87" s="990" t="s">
        <v>1830</v>
      </c>
      <c r="BL87" s="990" t="s">
        <v>1831</v>
      </c>
    </row>
    <row r="88" spans="1:66" ht="11.25" customHeight="1">
      <c r="A88" s="996" t="s">
        <v>1832</v>
      </c>
      <c r="AZ88" s="1524"/>
      <c r="BH88" s="990" t="s">
        <v>1035</v>
      </c>
      <c r="BJ88" s="990" t="s">
        <v>1833</v>
      </c>
      <c r="BL88" s="990" t="s">
        <v>1834</v>
      </c>
    </row>
    <row r="89" spans="1:66" ht="11.25" customHeight="1">
      <c r="A89" s="996" t="s">
        <v>1835</v>
      </c>
      <c r="AZ89" s="989" t="s">
        <v>1836</v>
      </c>
    </row>
    <row r="90" spans="1:66" ht="11.25" customHeight="1">
      <c r="A90" s="996" t="s">
        <v>1837</v>
      </c>
      <c r="AZ90" s="1039" t="s">
        <v>1070</v>
      </c>
    </row>
    <row r="91" spans="1:66" ht="11.25" customHeight="1">
      <c r="A91" s="996" t="s">
        <v>1838</v>
      </c>
      <c r="AZ91" s="1039" t="s">
        <v>1106</v>
      </c>
      <c r="BH91" s="989" t="s">
        <v>1839</v>
      </c>
      <c r="BJ91" s="989" t="s">
        <v>1840</v>
      </c>
      <c r="BL91" s="989" t="s">
        <v>1841</v>
      </c>
    </row>
    <row r="92" spans="1:66" ht="11.25" customHeight="1">
      <c r="AZ92" s="1039" t="s">
        <v>1842</v>
      </c>
      <c r="BH92" s="990" t="s">
        <v>1843</v>
      </c>
      <c r="BJ92" s="990" t="s">
        <v>1844</v>
      </c>
      <c r="BL92" s="990" t="s">
        <v>1845</v>
      </c>
    </row>
    <row r="93" spans="1:66" ht="11.25" customHeight="1">
      <c r="AZ93" s="1039" t="s">
        <v>1846</v>
      </c>
      <c r="BH93" s="990" t="s">
        <v>1847</v>
      </c>
      <c r="BJ93" s="990" t="s">
        <v>1848</v>
      </c>
      <c r="BL93" s="990" t="s">
        <v>1849</v>
      </c>
    </row>
    <row r="94" spans="1:66" ht="11.25" customHeight="1">
      <c r="AZ94" s="1039" t="s">
        <v>1850</v>
      </c>
    </row>
    <row r="96" spans="1:66" ht="11.25" customHeight="1">
      <c r="AZ96" s="989" t="s">
        <v>1851</v>
      </c>
      <c r="BH96" s="989" t="s">
        <v>1852</v>
      </c>
      <c r="BJ96" s="989" t="s">
        <v>1853</v>
      </c>
      <c r="BL96" s="989" t="s">
        <v>1854</v>
      </c>
      <c r="BN96" s="989" t="s">
        <v>1855</v>
      </c>
    </row>
    <row r="97" spans="52:66" ht="11.25" customHeight="1">
      <c r="AZ97" s="1816" t="s">
        <v>1856</v>
      </c>
      <c r="BA97" s="1817" t="s">
        <v>1857</v>
      </c>
      <c r="BH97" s="990" t="s">
        <v>1858</v>
      </c>
      <c r="BJ97" s="990" t="s">
        <v>1859</v>
      </c>
      <c r="BL97" s="990" t="s">
        <v>1860</v>
      </c>
      <c r="BN97" s="990" t="s">
        <v>1861</v>
      </c>
    </row>
    <row r="98" spans="52:66" ht="11.25" customHeight="1">
      <c r="AZ98" s="1816" t="s">
        <v>1862</v>
      </c>
      <c r="BA98" s="1817" t="s">
        <v>1863</v>
      </c>
      <c r="BH98" s="990" t="s">
        <v>1864</v>
      </c>
      <c r="BJ98" s="990" t="s">
        <v>1865</v>
      </c>
      <c r="BL98" s="990" t="s">
        <v>1866</v>
      </c>
      <c r="BN98" s="990" t="s">
        <v>1867</v>
      </c>
    </row>
    <row r="99" spans="52:66" ht="22.5" customHeight="1">
      <c r="AZ99" s="1816" t="s">
        <v>1868</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1869</v>
      </c>
      <c r="BJ99" s="990" t="s">
        <v>1870</v>
      </c>
      <c r="BL99" s="990" t="s">
        <v>1871</v>
      </c>
      <c r="BN99" s="990" t="s">
        <v>1872</v>
      </c>
    </row>
    <row r="100" spans="52:66" ht="22.5" customHeight="1">
      <c r="AZ100" s="1816" t="s">
        <v>1873</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1467</v>
      </c>
      <c r="BL100" s="990" t="s">
        <v>1467</v>
      </c>
      <c r="BN100" s="990" t="s">
        <v>1874</v>
      </c>
    </row>
    <row r="101" spans="52:66" ht="22.5" customHeight="1">
      <c r="AZ101" s="1816" t="s">
        <v>1875</v>
      </c>
      <c r="BA101" s="1817" t="s">
        <v>1876</v>
      </c>
      <c r="BN101" s="990" t="s">
        <v>1877</v>
      </c>
    </row>
    <row r="102" spans="52:66" ht="22.5" customHeight="1">
      <c r="AZ102" s="1816" t="s">
        <v>1878</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1879</v>
      </c>
    </row>
    <row r="103" spans="52:66" ht="11.25" customHeight="1">
      <c r="AZ103" s="1816" t="s">
        <v>1880</v>
      </c>
      <c r="BA103" s="1817" t="s">
        <v>1881</v>
      </c>
      <c r="BN103" s="990" t="s">
        <v>1882</v>
      </c>
    </row>
    <row r="104" spans="52:66" ht="11.25" customHeight="1">
      <c r="BN104" s="990" t="s">
        <v>1883</v>
      </c>
    </row>
    <row r="105" spans="52:66" ht="11.25" customHeight="1">
      <c r="AZ105" s="1610" t="s">
        <v>1884</v>
      </c>
    </row>
    <row r="106" spans="52:66" ht="11.25" customHeight="1">
      <c r="AZ106" s="1039" t="s">
        <v>1885</v>
      </c>
    </row>
    <row r="107" spans="52:66" ht="11.25" customHeight="1">
      <c r="AZ107" s="1039" t="s">
        <v>1886</v>
      </c>
      <c r="BH107" s="989" t="s">
        <v>1887</v>
      </c>
      <c r="BJ107" s="989" t="s">
        <v>1888</v>
      </c>
      <c r="BL107" s="989" t="s">
        <v>1889</v>
      </c>
      <c r="BN107" s="989" t="s">
        <v>1890</v>
      </c>
    </row>
    <row r="108" spans="52:66" ht="11.25" customHeight="1">
      <c r="AZ108" s="1039" t="s">
        <v>562</v>
      </c>
      <c r="BH108" s="990" t="s">
        <v>1891</v>
      </c>
      <c r="BJ108" s="990" t="s">
        <v>1892</v>
      </c>
      <c r="BL108" s="990" t="s">
        <v>1550</v>
      </c>
      <c r="BN108" s="990" t="s">
        <v>1893</v>
      </c>
    </row>
    <row r="109" spans="52:66" ht="11.25" customHeight="1">
      <c r="BH109" s="990" t="s">
        <v>1894</v>
      </c>
    </row>
    <row r="110" spans="52:66" ht="11.25" customHeight="1">
      <c r="AZ110" s="1610" t="s">
        <v>1895</v>
      </c>
      <c r="BH110" s="990" t="s">
        <v>1894</v>
      </c>
    </row>
    <row r="111" spans="52:66" ht="11.25" customHeight="1">
      <c r="AZ111" s="1816" t="s">
        <v>1856</v>
      </c>
      <c r="BA111" s="1817" t="s">
        <v>1857</v>
      </c>
    </row>
    <row r="112" spans="52:66" ht="11.25" customHeight="1">
      <c r="AZ112" s="1816" t="s">
        <v>1862</v>
      </c>
      <c r="BA112" s="1817" t="s">
        <v>1863</v>
      </c>
    </row>
    <row r="113" spans="52:60" ht="22.5" customHeight="1">
      <c r="AZ113" s="1816" t="s">
        <v>1868</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1873</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1896</v>
      </c>
    </row>
    <row r="115" spans="52:60" ht="22.5" customHeight="1">
      <c r="AZ115" s="1816" t="s">
        <v>1878</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1268</v>
      </c>
    </row>
    <row r="116" spans="52:60" ht="11.25" customHeight="1">
      <c r="AZ116" s="1816" t="s">
        <v>1880</v>
      </c>
      <c r="BA116" s="1817" t="s">
        <v>1881</v>
      </c>
      <c r="BH116" s="990" t="s">
        <v>1295</v>
      </c>
    </row>
    <row r="117" spans="52:60" ht="11.25" customHeight="1">
      <c r="BH117" s="990" t="s">
        <v>1329</v>
      </c>
    </row>
    <row r="118" spans="52:60" ht="11.25" customHeight="1">
      <c r="BH118" s="990" t="s">
        <v>1362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425" hidden="1" customWidth="1"/>
    <col min="3" max="3" width="3" style="2428" customWidth="1"/>
    <col min="4" max="4" width="6" style="2429" customWidth="1"/>
    <col min="5" max="5" width="52" style="2428" customWidth="1"/>
    <col min="6" max="6" width="48" style="2428" customWidth="1"/>
    <col min="7" max="7" width="93" style="2428" customWidth="1"/>
    <col min="8" max="8" width="8" style="2428" customWidth="1"/>
    <col min="9" max="9" width="64" style="2428" customWidth="1"/>
    <col min="10" max="10" width="9.140625" style="2428" hidden="1"/>
  </cols>
  <sheetData>
    <row r="1" spans="1:10" ht="11.25" hidden="1" customHeight="1">
      <c r="A1" s="437" t="s">
        <v>290</v>
      </c>
      <c r="J1" s="391" t="s">
        <v>14</v>
      </c>
    </row>
    <row r="2" spans="1:10" ht="22.5" hidden="1" customHeight="1">
      <c r="A2" s="438"/>
      <c r="B2" s="438"/>
      <c r="C2" s="1647" t="s">
        <v>680</v>
      </c>
      <c r="D2" s="1438"/>
      <c r="E2" s="1444"/>
      <c r="F2" s="1467"/>
      <c r="H2" s="411"/>
      <c r="J2" s="391">
        <v>0</v>
      </c>
    </row>
    <row r="3" spans="1:10" ht="11.25" hidden="1" customHeight="1">
      <c r="J3" s="391">
        <v>0</v>
      </c>
    </row>
    <row r="4" spans="1:10" ht="11.45" customHeight="1">
      <c r="A4" s="1468"/>
      <c r="B4" s="1468"/>
      <c r="J4" s="391">
        <v>11</v>
      </c>
    </row>
    <row r="5" spans="1:10" ht="27.4" customHeight="1">
      <c r="D5" s="250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08"/>
      <c r="F5" s="2509"/>
      <c r="I5" s="651"/>
      <c r="J5" s="391">
        <v>26</v>
      </c>
    </row>
    <row r="6" spans="1:10" ht="18" customHeight="1">
      <c r="D6" s="2595" t="str">
        <f>IF(region_name=0,"Не определено",region_name)</f>
        <v>Мурманская область</v>
      </c>
      <c r="E6" s="2595"/>
      <c r="F6" s="2595"/>
      <c r="I6" s="651"/>
      <c r="J6" s="391">
        <v>17</v>
      </c>
    </row>
    <row r="7" spans="1:10" s="2424" customFormat="1" ht="11.45" customHeight="1">
      <c r="A7" s="437"/>
      <c r="B7" s="437"/>
      <c r="D7" s="650"/>
      <c r="E7" s="650"/>
      <c r="F7" s="688"/>
      <c r="G7" s="650"/>
      <c r="J7" s="413">
        <v>11</v>
      </c>
    </row>
    <row r="8" spans="1:10" ht="11.25" hidden="1" customHeight="1">
      <c r="A8" s="438"/>
      <c r="B8" s="438"/>
      <c r="C8" s="393"/>
      <c r="D8" s="399"/>
      <c r="E8" s="2601"/>
      <c r="F8" s="2601"/>
      <c r="J8" s="391">
        <v>0</v>
      </c>
    </row>
    <row r="9" spans="1:10" ht="11.45" customHeight="1">
      <c r="A9" s="438"/>
      <c r="B9" s="438"/>
      <c r="C9" s="393"/>
      <c r="D9" s="2598" t="s">
        <v>291</v>
      </c>
      <c r="E9" s="2599"/>
      <c r="F9" s="2599"/>
      <c r="G9" s="2602" t="s">
        <v>292</v>
      </c>
      <c r="J9" s="391">
        <v>11</v>
      </c>
    </row>
    <row r="10" spans="1:10" ht="11.45" customHeight="1">
      <c r="A10" s="438"/>
      <c r="B10" s="438"/>
      <c r="C10" s="393"/>
      <c r="D10" s="1392" t="s">
        <v>84</v>
      </c>
      <c r="E10" s="1394" t="s">
        <v>293</v>
      </c>
      <c r="F10" s="1394" t="s">
        <v>294</v>
      </c>
      <c r="G10" s="2603"/>
      <c r="J10" s="391">
        <v>11</v>
      </c>
    </row>
    <row r="11" spans="1:10" ht="1.1499999999999999" customHeight="1">
      <c r="A11" s="438"/>
      <c r="B11" s="438"/>
      <c r="C11" s="393"/>
      <c r="D11" s="400"/>
      <c r="E11" s="400"/>
      <c r="F11" s="400"/>
      <c r="G11" s="400"/>
      <c r="J11" s="391">
        <v>1</v>
      </c>
    </row>
    <row r="12" spans="1:10" ht="24" customHeight="1">
      <c r="A12" s="438"/>
      <c r="B12" s="438"/>
      <c r="C12" s="393"/>
      <c r="D12" s="1438">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ПАО "ТГК-1" (филиал "Кольский")</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1">
        <v>23</v>
      </c>
    </row>
    <row r="13" spans="1:10" ht="19.899999999999999" customHeight="1">
      <c r="A13" s="438"/>
      <c r="B13" s="438"/>
      <c r="C13" s="393"/>
      <c r="D13" s="1438">
        <v>2</v>
      </c>
      <c r="E13" s="1445" t="s">
        <v>1897</v>
      </c>
      <c r="F13" s="1439" t="s">
        <v>297</v>
      </c>
      <c r="G13" s="410"/>
      <c r="H13" s="1451"/>
      <c r="J13" s="391">
        <v>19</v>
      </c>
    </row>
    <row r="14" spans="1:10" ht="19.899999999999999" customHeight="1">
      <c r="A14" s="438"/>
      <c r="B14" s="438"/>
      <c r="C14" s="393"/>
      <c r="D14" s="1441" t="s">
        <v>700</v>
      </c>
      <c r="E14" s="1442" t="s">
        <v>1898</v>
      </c>
      <c r="F14" s="1444"/>
      <c r="G14" s="1443" t="s">
        <v>1899</v>
      </c>
      <c r="H14" s="1451"/>
      <c r="J14" s="391">
        <v>19</v>
      </c>
    </row>
    <row r="15" spans="1:10" ht="19.899999999999999" customHeight="1">
      <c r="A15" s="438"/>
      <c r="B15" s="438"/>
      <c r="C15" s="393"/>
      <c r="D15" s="1441" t="s">
        <v>298</v>
      </c>
      <c r="E15" s="1442" t="s">
        <v>1900</v>
      </c>
      <c r="F15" s="1444"/>
      <c r="G15" s="1443" t="s">
        <v>1901</v>
      </c>
      <c r="H15" s="1451"/>
      <c r="J15" s="391">
        <v>19</v>
      </c>
    </row>
    <row r="16" spans="1:10" ht="24" customHeight="1">
      <c r="A16" s="438"/>
      <c r="B16" s="438"/>
      <c r="C16" s="393"/>
      <c r="D16" s="1441" t="s">
        <v>301</v>
      </c>
      <c r="E16" s="1440" t="s">
        <v>1902</v>
      </c>
      <c r="F16" s="1449"/>
      <c r="G16" s="410" t="s">
        <v>1903</v>
      </c>
      <c r="H16" s="1451"/>
      <c r="J16" s="391">
        <v>23</v>
      </c>
    </row>
    <row r="17" spans="1:10" ht="48.2" customHeight="1">
      <c r="A17" s="438"/>
      <c r="B17" s="438"/>
      <c r="C17" s="393"/>
      <c r="D17" s="1438">
        <v>3</v>
      </c>
      <c r="E17" s="1445" t="s">
        <v>1904</v>
      </c>
      <c r="F17" s="1444"/>
      <c r="G17" s="410" t="s">
        <v>1905</v>
      </c>
      <c r="H17" s="1451"/>
      <c r="J17" s="391">
        <v>46</v>
      </c>
    </row>
    <row r="18" spans="1:10" ht="48.2" customHeight="1">
      <c r="A18" s="1393">
        <v>1</v>
      </c>
      <c r="B18" s="438"/>
      <c r="C18" s="1395"/>
      <c r="D18" s="1438" t="s">
        <v>87</v>
      </c>
      <c r="E18" s="1445" t="s">
        <v>1906</v>
      </c>
      <c r="F18" s="1444"/>
      <c r="G18" s="410" t="s">
        <v>1905</v>
      </c>
      <c r="H18" s="1451"/>
      <c r="I18" s="778"/>
      <c r="J18" s="391">
        <v>46</v>
      </c>
    </row>
    <row r="19" spans="1:10" ht="23.25" customHeight="1">
      <c r="A19" s="438"/>
      <c r="B19" s="438"/>
      <c r="C19" s="393"/>
      <c r="D19" s="1438" t="s">
        <v>104</v>
      </c>
      <c r="E19" s="1445" t="s">
        <v>1907</v>
      </c>
      <c r="F19" s="1439" t="s">
        <v>297</v>
      </c>
      <c r="G19" s="2852" t="s">
        <v>1908</v>
      </c>
      <c r="H19" s="411"/>
      <c r="J19" s="391">
        <v>22</v>
      </c>
    </row>
    <row r="20" spans="1:10" s="2462" customFormat="1" ht="5.25" hidden="1" customHeight="1">
      <c r="A20" s="438"/>
      <c r="B20" s="438"/>
      <c r="C20" s="1447"/>
      <c r="D20" s="1446" t="s">
        <v>1169</v>
      </c>
      <c r="E20" s="937"/>
      <c r="F20" s="936"/>
      <c r="G20" s="2853"/>
      <c r="J20" s="1448">
        <v>0</v>
      </c>
    </row>
    <row r="21" spans="1:10" ht="15.75" customHeight="1">
      <c r="A21" s="438"/>
      <c r="B21" s="438"/>
      <c r="C21" s="393"/>
      <c r="D21" s="403"/>
      <c r="E21" s="351" t="s">
        <v>330</v>
      </c>
      <c r="F21" s="405"/>
      <c r="G21" s="2854"/>
      <c r="H21" s="1451"/>
      <c r="J21" s="391">
        <v>15</v>
      </c>
    </row>
    <row r="22" spans="1:10" s="2425" customFormat="1" ht="26.25" customHeight="1">
      <c r="A22" s="438"/>
      <c r="B22" s="438"/>
      <c r="C22" s="438"/>
      <c r="D22" s="1438" t="s">
        <v>88</v>
      </c>
      <c r="E22" s="410" t="s">
        <v>1909</v>
      </c>
      <c r="F22" s="1444"/>
      <c r="G22" s="410" t="s">
        <v>1910</v>
      </c>
      <c r="H22" s="1450"/>
      <c r="J22" s="437">
        <v>25</v>
      </c>
    </row>
    <row r="23" spans="1:10" s="2425" customFormat="1" ht="19.899999999999999" customHeight="1">
      <c r="A23" s="438"/>
      <c r="B23" s="438"/>
      <c r="C23" s="438"/>
      <c r="D23" s="1438" t="s">
        <v>89</v>
      </c>
      <c r="E23" s="1445" t="s">
        <v>1911</v>
      </c>
      <c r="F23" s="1449"/>
      <c r="G23" s="410" t="s">
        <v>1912</v>
      </c>
      <c r="H23" s="1450"/>
      <c r="J23" s="437">
        <v>19</v>
      </c>
    </row>
    <row r="24" spans="1:10" s="2425" customFormat="1" ht="144" hidden="1" customHeight="1">
      <c r="A24" s="438"/>
      <c r="B24" s="438"/>
      <c r="C24" s="438"/>
      <c r="D24" s="1438" t="s">
        <v>105</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7">
        <v>0</v>
      </c>
    </row>
    <row r="25" spans="1:10" ht="11.25" hidden="1" customHeight="1">
      <c r="A25" s="437" t="s">
        <v>78</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400" hidden="1"/>
    <col min="2" max="2" width="9.140625" style="2406" hidden="1"/>
    <col min="3" max="3" width="3.7109375" style="2400" hidden="1" customWidth="1"/>
    <col min="4" max="4" width="3" style="2412" customWidth="1"/>
    <col min="5" max="5" width="6" style="2400" customWidth="1"/>
    <col min="6" max="6" width="46" style="2400" customWidth="1"/>
    <col min="7" max="8" width="16" style="2400" customWidth="1"/>
    <col min="9" max="9" width="35" style="2400" customWidth="1"/>
    <col min="10" max="10" width="89" style="2400" customWidth="1"/>
    <col min="11" max="11" width="3" style="2413" customWidth="1"/>
    <col min="12" max="14" width="8" style="2413" customWidth="1"/>
    <col min="15" max="15" width="25" style="2413" customWidth="1"/>
    <col min="16" max="16" width="14" style="2413" customWidth="1"/>
    <col min="17" max="20" width="8" style="2414" customWidth="1"/>
    <col min="21" max="254" width="8" style="2400" customWidth="1"/>
    <col min="255" max="255" width="9.140625" style="2400" hidden="1"/>
  </cols>
  <sheetData>
    <row r="1" spans="1:255" ht="22.5" hidden="1" customHeight="1">
      <c r="F1" s="1549" t="s">
        <v>1913</v>
      </c>
      <c r="G1" s="1549" t="s">
        <v>47</v>
      </c>
      <c r="H1" s="1549" t="s">
        <v>49</v>
      </c>
      <c r="IU1" s="1073" t="s">
        <v>14</v>
      </c>
    </row>
    <row r="2" spans="1:255" s="2410" customFormat="1" ht="22.5" hidden="1" customHeight="1">
      <c r="A2" s="761"/>
      <c r="B2" s="1078">
        <v>1</v>
      </c>
      <c r="C2" s="1078"/>
      <c r="D2" s="1840" t="s">
        <v>680</v>
      </c>
      <c r="E2" s="1402"/>
      <c r="F2" s="1409"/>
      <c r="G2" s="1409"/>
      <c r="H2" s="1409"/>
      <c r="I2" s="1896"/>
      <c r="J2" s="1897"/>
      <c r="K2" s="1453"/>
      <c r="L2" s="447"/>
      <c r="M2" s="447"/>
      <c r="N2" s="436" t="str">
        <f t="array" ref="N2">IF(ISERROR(MATCH(MID(O2,1,250),MID(note_ter,1,250),0)),"n","y")</f>
        <v>n</v>
      </c>
      <c r="O2" s="447"/>
      <c r="P2" s="436" t="str">
        <f>G2&amp;"("&amp;J2&amp;")"</f>
        <v>()</v>
      </c>
      <c r="Q2" s="1078"/>
      <c r="R2" s="1078"/>
      <c r="S2" s="356"/>
      <c r="T2" s="1078"/>
      <c r="U2" s="1078"/>
      <c r="V2" s="1078"/>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407" customFormat="1" ht="4.1500000000000004" customHeight="1">
      <c r="A3" s="432"/>
      <c r="D3" s="430"/>
      <c r="F3" s="184" t="s">
        <v>79</v>
      </c>
      <c r="G3" s="430" t="s">
        <v>80</v>
      </c>
      <c r="H3" s="430"/>
      <c r="I3" s="430"/>
      <c r="J3" s="164" t="s">
        <v>81</v>
      </c>
      <c r="K3" s="184" t="s">
        <v>79</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409" customFormat="1" ht="14.65" customHeight="1">
      <c r="A4" s="1073"/>
      <c r="B4" s="1078"/>
      <c r="C4" s="1073"/>
      <c r="D4" s="1413"/>
      <c r="E4" s="445"/>
      <c r="F4" s="1560"/>
      <c r="G4" s="445"/>
      <c r="H4" s="445"/>
      <c r="I4" s="445"/>
      <c r="J4" s="103"/>
      <c r="K4" s="184"/>
      <c r="L4" s="436"/>
      <c r="M4" s="436"/>
      <c r="N4" s="436"/>
      <c r="O4" s="163"/>
      <c r="P4" s="436"/>
      <c r="Q4" s="162"/>
      <c r="R4" s="162"/>
      <c r="S4" s="162"/>
      <c r="T4" s="162"/>
      <c r="IU4" s="443">
        <v>14</v>
      </c>
    </row>
    <row r="5" spans="1:255" s="2409" customFormat="1" ht="27.4" customHeight="1">
      <c r="A5" s="1073"/>
      <c r="B5" s="1078"/>
      <c r="C5" s="1073"/>
      <c r="D5" s="1413"/>
      <c r="E5" s="250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00"/>
      <c r="G5" s="2500"/>
      <c r="H5" s="2500"/>
      <c r="I5" s="2500"/>
      <c r="J5" s="2500"/>
      <c r="K5" s="184"/>
      <c r="L5" s="436"/>
      <c r="M5" s="436"/>
      <c r="N5" s="436"/>
      <c r="O5" s="163"/>
      <c r="P5" s="436"/>
      <c r="Q5" s="162"/>
      <c r="R5" s="162"/>
      <c r="S5" s="162"/>
      <c r="T5" s="162"/>
      <c r="IU5" s="443">
        <v>26</v>
      </c>
    </row>
    <row r="6" spans="1:255" s="2409" customFormat="1" ht="14.65" customHeight="1">
      <c r="A6" s="1073"/>
      <c r="B6" s="1078"/>
      <c r="C6" s="1073"/>
      <c r="D6" s="1413"/>
      <c r="E6" s="445"/>
      <c r="F6" s="104"/>
      <c r="G6" s="104"/>
      <c r="H6" s="104"/>
      <c r="I6" s="104"/>
      <c r="J6" s="105"/>
      <c r="K6" s="436"/>
      <c r="L6" s="436"/>
      <c r="M6" s="436"/>
      <c r="N6" s="436"/>
      <c r="O6" s="163"/>
      <c r="P6" s="436"/>
      <c r="Q6" s="162"/>
      <c r="R6" s="162"/>
      <c r="S6" s="162"/>
      <c r="T6" s="162"/>
      <c r="IU6" s="443">
        <v>14</v>
      </c>
    </row>
    <row r="7" spans="1:255" s="2409" customFormat="1" ht="14.65" customHeight="1">
      <c r="A7" s="1073"/>
      <c r="B7" s="1078"/>
      <c r="C7" s="1073"/>
      <c r="D7" s="1413"/>
      <c r="E7" s="2496" t="s">
        <v>291</v>
      </c>
      <c r="F7" s="2501"/>
      <c r="G7" s="2501"/>
      <c r="H7" s="2501"/>
      <c r="I7" s="2501"/>
      <c r="J7" s="2855" t="s">
        <v>292</v>
      </c>
      <c r="K7" s="436"/>
      <c r="L7" s="436"/>
      <c r="M7" s="436"/>
      <c r="N7" s="436"/>
      <c r="O7" s="163"/>
      <c r="P7" s="436"/>
      <c r="Q7" s="162"/>
      <c r="R7" s="162"/>
      <c r="S7" s="162"/>
      <c r="T7" s="162"/>
      <c r="IU7" s="443">
        <v>14</v>
      </c>
    </row>
    <row r="8" spans="1:255" s="2409" customFormat="1" ht="21" customHeight="1">
      <c r="A8" s="1073"/>
      <c r="B8" s="1078"/>
      <c r="C8" s="1073"/>
      <c r="D8" s="1413"/>
      <c r="E8" s="1466" t="s">
        <v>84</v>
      </c>
      <c r="F8" s="1458" t="s">
        <v>1913</v>
      </c>
      <c r="G8" s="1458" t="s">
        <v>47</v>
      </c>
      <c r="H8" s="1458" t="s">
        <v>49</v>
      </c>
      <c r="I8" s="1458" t="s">
        <v>1914</v>
      </c>
      <c r="J8" s="2856"/>
      <c r="K8" s="436"/>
      <c r="L8" s="436"/>
      <c r="M8" s="436"/>
      <c r="N8" s="436"/>
      <c r="O8" s="163"/>
      <c r="P8" s="436"/>
      <c r="Q8" s="162"/>
      <c r="R8" s="162"/>
      <c r="S8" s="162"/>
      <c r="T8" s="162"/>
      <c r="IU8" s="443">
        <v>20</v>
      </c>
    </row>
    <row r="9" spans="1:255" s="2410" customFormat="1" ht="23.25" customHeight="1">
      <c r="A9" s="1549"/>
      <c r="B9" s="1078">
        <v>1</v>
      </c>
      <c r="C9" s="1078"/>
      <c r="D9" s="731"/>
      <c r="E9" s="1402">
        <v>1</v>
      </c>
      <c r="F9" s="1465"/>
      <c r="G9" s="1409"/>
      <c r="H9" s="1409"/>
      <c r="I9" s="1456"/>
      <c r="J9" s="255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6"/>
      <c r="T9" s="1078"/>
      <c r="U9" s="1078"/>
      <c r="V9" s="1078"/>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410" customFormat="1" ht="15.75" customHeight="1">
      <c r="A10" s="1549"/>
      <c r="B10" s="1078"/>
      <c r="C10" s="348"/>
      <c r="D10" s="731"/>
      <c r="E10" s="1459"/>
      <c r="F10" s="1418" t="s">
        <v>1915</v>
      </c>
      <c r="G10" s="1460"/>
      <c r="H10" s="1460"/>
      <c r="I10" s="1814"/>
      <c r="J10" s="2560"/>
      <c r="K10" s="1454"/>
      <c r="L10" s="447"/>
      <c r="M10" s="447"/>
      <c r="N10" s="447"/>
      <c r="O10" s="436"/>
      <c r="P10" s="447"/>
      <c r="Q10" s="1078"/>
      <c r="R10" s="1078"/>
      <c r="S10" s="356"/>
      <c r="T10" s="1078"/>
      <c r="U10" s="1078"/>
      <c r="V10" s="1078"/>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409" customFormat="1" ht="21.95" customHeight="1">
      <c r="A11" s="1073"/>
      <c r="B11" s="1078"/>
      <c r="C11" s="1073"/>
      <c r="D11" s="387"/>
      <c r="E11" s="117"/>
      <c r="F11" s="117"/>
      <c r="G11" s="117"/>
      <c r="H11" s="117"/>
      <c r="I11" s="117"/>
      <c r="J11" s="117"/>
      <c r="K11" s="436"/>
      <c r="L11" s="436"/>
      <c r="M11" s="436"/>
      <c r="N11" s="436"/>
      <c r="O11" s="163"/>
      <c r="P11" s="436"/>
      <c r="Q11" s="162"/>
      <c r="R11" s="162"/>
      <c r="S11" s="162"/>
      <c r="T11" s="162"/>
      <c r="IU11" s="443">
        <v>21</v>
      </c>
    </row>
    <row r="12" spans="1:255" s="2409" customFormat="1" ht="14.65" customHeight="1">
      <c r="A12" s="1073"/>
      <c r="B12" s="1078"/>
      <c r="C12" s="1073"/>
      <c r="D12" s="387"/>
      <c r="E12" s="1073"/>
      <c r="F12" s="1073"/>
      <c r="G12" s="1073"/>
      <c r="H12" s="1073"/>
      <c r="I12" s="1073"/>
      <c r="J12" s="1073"/>
      <c r="K12" s="436"/>
      <c r="L12" s="436"/>
      <c r="M12" s="436"/>
      <c r="N12" s="436"/>
      <c r="O12" s="163"/>
      <c r="P12" s="436"/>
      <c r="Q12" s="162"/>
      <c r="R12" s="162"/>
      <c r="S12" s="162"/>
      <c r="T12" s="162"/>
      <c r="IU12" s="443">
        <v>14</v>
      </c>
    </row>
    <row r="13" spans="1:255" s="2409" customFormat="1" ht="1.1499999999999999" customHeight="1">
      <c r="A13" s="1073"/>
      <c r="B13" s="1078"/>
      <c r="C13" s="1073"/>
      <c r="D13" s="387"/>
      <c r="E13" s="1073"/>
      <c r="F13" s="1073"/>
      <c r="G13" s="1073"/>
      <c r="H13" s="1073"/>
      <c r="I13" s="1073"/>
      <c r="J13" s="1073"/>
      <c r="K13" s="436"/>
      <c r="L13" s="436"/>
      <c r="M13" s="436"/>
      <c r="N13" s="436"/>
      <c r="O13" s="163"/>
      <c r="P13" s="436"/>
      <c r="Q13" s="162"/>
      <c r="R13" s="162"/>
      <c r="S13" s="162"/>
      <c r="T13" s="162"/>
      <c r="IU13" s="443">
        <v>1</v>
      </c>
    </row>
    <row r="14" spans="1:255" s="2411" customFormat="1" ht="10.5" customHeight="1">
      <c r="B14" s="764"/>
      <c r="D14" s="119"/>
      <c r="K14" s="436"/>
      <c r="L14" s="436"/>
      <c r="M14" s="436"/>
      <c r="N14" s="436"/>
      <c r="O14" s="163"/>
      <c r="P14" s="436"/>
      <c r="Q14" s="162"/>
      <c r="R14" s="162"/>
      <c r="S14" s="162"/>
      <c r="T14" s="162"/>
      <c r="IU14" s="118">
        <v>10</v>
      </c>
    </row>
    <row r="15" spans="1:255" s="2411" customFormat="1" ht="10.5" customHeight="1">
      <c r="B15" s="764"/>
      <c r="D15" s="119"/>
      <c r="K15" s="436"/>
      <c r="L15" s="436"/>
      <c r="M15" s="436"/>
      <c r="N15" s="436"/>
      <c r="O15" s="163"/>
      <c r="P15" s="436"/>
      <c r="Q15" s="162"/>
      <c r="R15" s="162"/>
      <c r="S15" s="162"/>
      <c r="T15" s="162"/>
      <c r="IU15" s="118">
        <v>10</v>
      </c>
    </row>
    <row r="16" spans="1:255" ht="14.65" customHeight="1">
      <c r="IU16" s="1073">
        <v>14</v>
      </c>
    </row>
    <row r="17" spans="1:255" ht="14.65" customHeight="1">
      <c r="IU17" s="1073">
        <v>14</v>
      </c>
    </row>
    <row r="18" spans="1:255" ht="14.65" customHeight="1">
      <c r="IU18" s="1073">
        <v>14</v>
      </c>
    </row>
    <row r="19" spans="1:255" ht="14.65" customHeight="1">
      <c r="G19" s="309"/>
      <c r="H19" s="309"/>
      <c r="I19" s="309"/>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78</v>
      </c>
      <c r="B24" s="1078">
        <v>0</v>
      </c>
      <c r="C24" s="1073">
        <v>0</v>
      </c>
      <c r="D24" s="387">
        <v>3</v>
      </c>
      <c r="E24" s="1073">
        <v>6</v>
      </c>
      <c r="F24" s="1073">
        <v>46</v>
      </c>
      <c r="G24" s="1073">
        <v>16</v>
      </c>
      <c r="H24" s="1073">
        <v>16</v>
      </c>
      <c r="I24" s="1073">
        <v>35</v>
      </c>
      <c r="J24" s="1073">
        <v>89</v>
      </c>
      <c r="K24" s="436">
        <v>3</v>
      </c>
      <c r="L24" s="436">
        <v>8</v>
      </c>
      <c r="M24" s="436">
        <v>8</v>
      </c>
      <c r="N24" s="436">
        <v>8</v>
      </c>
      <c r="O24" s="163">
        <v>25</v>
      </c>
      <c r="P24" s="436">
        <v>14</v>
      </c>
      <c r="Q24" s="162">
        <v>8</v>
      </c>
      <c r="R24" s="162">
        <v>8</v>
      </c>
      <c r="S24" s="162">
        <v>8</v>
      </c>
      <c r="T24" s="162">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00" hidden="1"/>
    <col min="2" max="2" width="9.140625" style="2406" hidden="1"/>
    <col min="3" max="3" width="3.7109375" style="2400" hidden="1" customWidth="1"/>
    <col min="4" max="4" width="3" style="2412" customWidth="1"/>
    <col min="5" max="5" width="6" style="2400" customWidth="1"/>
    <col min="6" max="6" width="27" style="2400" customWidth="1"/>
    <col min="7" max="7" width="16" style="2400" customWidth="1"/>
    <col min="8" max="8" width="12" style="2400" customWidth="1"/>
    <col min="9" max="9" width="32" style="2400" customWidth="1"/>
    <col min="10" max="11" width="41" style="2400" customWidth="1"/>
    <col min="12" max="12" width="89" style="2400" customWidth="1"/>
    <col min="13" max="13" width="3" style="2413" customWidth="1"/>
    <col min="14" max="16" width="8" style="2413" customWidth="1"/>
    <col min="17" max="17" width="25" style="2413" customWidth="1"/>
    <col min="18" max="18" width="14" style="2413" customWidth="1"/>
    <col min="19" max="22" width="8" style="2414" customWidth="1"/>
    <col min="23" max="256" width="8" style="2400" customWidth="1"/>
    <col min="257" max="257" width="9.140625" style="2400" hidden="1"/>
  </cols>
  <sheetData>
    <row r="1" spans="1:257" ht="22.5" hidden="1" customHeight="1">
      <c r="IW1" s="1073" t="s">
        <v>14</v>
      </c>
    </row>
    <row r="2" spans="1:257" s="2410" customFormat="1" ht="22.5" hidden="1" customHeight="1">
      <c r="A2" s="761"/>
      <c r="B2" s="1078">
        <v>1</v>
      </c>
      <c r="C2" s="1078"/>
      <c r="D2" s="1840" t="s">
        <v>680</v>
      </c>
      <c r="E2" s="1804"/>
      <c r="F2" s="1807" t="str">
        <f>IF(ROIV_INFO_NAME="","",ROIV_INFO_NAME)</f>
        <v>ПАО "ТГК-1" (филиал "Кольский")</v>
      </c>
      <c r="G2" s="1832" t="s">
        <v>22</v>
      </c>
      <c r="H2" s="1831"/>
      <c r="I2" s="1456"/>
      <c r="J2" s="748"/>
      <c r="K2" s="748"/>
      <c r="L2" s="165"/>
      <c r="M2" s="1453" t="e">
        <f ca="1">MERGEVALUE(F2)</f>
        <v>#NAME?</v>
      </c>
      <c r="N2" s="447"/>
      <c r="O2" s="447"/>
      <c r="P2" s="436" t="str">
        <f t="array" ref="P2">IF(ISERROR(MATCH(MID(Q2,1,250),MID(note_ter,1,250),0)),"n","y")</f>
        <v>n</v>
      </c>
      <c r="Q2" s="447"/>
      <c r="R2" s="436" t="str">
        <f>G2&amp;"("&amp;L2&amp;")"</f>
        <v>()</v>
      </c>
      <c r="S2" s="1078"/>
      <c r="T2" s="1078"/>
      <c r="U2" s="356"/>
      <c r="V2" s="1078"/>
      <c r="W2" s="1078"/>
      <c r="X2" s="1078"/>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407" customFormat="1" ht="5.25" hidden="1" customHeight="1">
      <c r="A3" s="432"/>
      <c r="D3" s="430"/>
      <c r="F3" s="184" t="s">
        <v>79</v>
      </c>
      <c r="G3" s="1652" t="s">
        <v>80</v>
      </c>
      <c r="H3" s="430"/>
      <c r="I3" s="430"/>
      <c r="J3" s="430"/>
      <c r="K3" s="430"/>
      <c r="L3" s="164" t="s">
        <v>81</v>
      </c>
      <c r="M3" s="184" t="s">
        <v>79</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409" customFormat="1" ht="14.65" customHeight="1">
      <c r="A4" s="1073"/>
      <c r="B4" s="1078"/>
      <c r="C4" s="1073"/>
      <c r="D4" s="1413"/>
      <c r="E4" s="445"/>
      <c r="F4" s="445"/>
      <c r="G4" s="445"/>
      <c r="H4" s="445"/>
      <c r="I4" s="445"/>
      <c r="J4" s="445"/>
      <c r="K4" s="445"/>
      <c r="L4" s="103"/>
      <c r="M4" s="184"/>
      <c r="N4" s="436"/>
      <c r="O4" s="436"/>
      <c r="P4" s="436"/>
      <c r="Q4" s="163"/>
      <c r="R4" s="436"/>
      <c r="S4" s="162"/>
      <c r="T4" s="162"/>
      <c r="U4" s="162"/>
      <c r="V4" s="162"/>
      <c r="IW4" s="443">
        <v>14</v>
      </c>
    </row>
    <row r="5" spans="1:257" s="2409" customFormat="1" ht="27.4" customHeight="1">
      <c r="A5" s="1073"/>
      <c r="B5" s="1078"/>
      <c r="C5" s="1073"/>
      <c r="D5" s="1413"/>
      <c r="E5" s="25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00"/>
      <c r="G5" s="2500"/>
      <c r="H5" s="2500"/>
      <c r="I5" s="2500"/>
      <c r="J5" s="2500"/>
      <c r="K5" s="2500"/>
      <c r="L5" s="524"/>
      <c r="M5" s="184"/>
      <c r="N5" s="436"/>
      <c r="O5" s="436"/>
      <c r="P5" s="436"/>
      <c r="Q5" s="163"/>
      <c r="R5" s="436"/>
      <c r="S5" s="162"/>
      <c r="T5" s="162"/>
      <c r="U5" s="162"/>
      <c r="V5" s="162"/>
      <c r="IW5" s="443">
        <v>26</v>
      </c>
    </row>
    <row r="6" spans="1:257" s="2409" customFormat="1" ht="14.65" customHeight="1">
      <c r="A6" s="1073"/>
      <c r="B6" s="1078"/>
      <c r="C6" s="1073"/>
      <c r="D6" s="1413"/>
      <c r="E6" s="445"/>
      <c r="F6" s="104"/>
      <c r="G6" s="104"/>
      <c r="H6" s="104"/>
      <c r="I6" s="104"/>
      <c r="J6" s="104"/>
      <c r="K6" s="104"/>
      <c r="L6" s="105"/>
      <c r="M6" s="436"/>
      <c r="N6" s="436"/>
      <c r="O6" s="436"/>
      <c r="P6" s="436"/>
      <c r="Q6" s="163"/>
      <c r="R6" s="436"/>
      <c r="S6" s="162"/>
      <c r="T6" s="162"/>
      <c r="U6" s="162"/>
      <c r="V6" s="162"/>
      <c r="IW6" s="443">
        <v>14</v>
      </c>
    </row>
    <row r="7" spans="1:257" s="2409" customFormat="1" ht="14.65" customHeight="1">
      <c r="A7" s="1073"/>
      <c r="B7" s="1078"/>
      <c r="C7" s="1073"/>
      <c r="D7" s="1413"/>
      <c r="E7" s="2496" t="s">
        <v>291</v>
      </c>
      <c r="F7" s="2501"/>
      <c r="G7" s="2501"/>
      <c r="H7" s="2501"/>
      <c r="I7" s="2501"/>
      <c r="J7" s="2501"/>
      <c r="K7" s="2501"/>
      <c r="L7" s="2855" t="s">
        <v>292</v>
      </c>
      <c r="M7" s="436"/>
      <c r="N7" s="436"/>
      <c r="O7" s="436"/>
      <c r="P7" s="436"/>
      <c r="Q7" s="163"/>
      <c r="R7" s="436"/>
      <c r="S7" s="162"/>
      <c r="T7" s="162"/>
      <c r="U7" s="162"/>
      <c r="V7" s="162"/>
      <c r="IW7" s="443">
        <v>14</v>
      </c>
    </row>
    <row r="8" spans="1:257" s="2409" customFormat="1" ht="67.150000000000006" customHeight="1">
      <c r="A8" s="1073"/>
      <c r="B8" s="1078"/>
      <c r="C8" s="1073"/>
      <c r="D8" s="1413"/>
      <c r="E8" s="2859" t="s">
        <v>84</v>
      </c>
      <c r="F8" s="285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6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62"/>
      <c r="I8" s="2863"/>
      <c r="J8" s="285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5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57"/>
      <c r="M8" s="436"/>
      <c r="N8" s="436"/>
      <c r="O8" s="436"/>
      <c r="P8" s="436"/>
      <c r="Q8" s="163"/>
      <c r="R8" s="436"/>
      <c r="S8" s="162"/>
      <c r="T8" s="162"/>
      <c r="U8" s="162"/>
      <c r="V8" s="162"/>
      <c r="IW8" s="443">
        <v>64</v>
      </c>
    </row>
    <row r="9" spans="1:257" s="2409" customFormat="1" ht="29.25" customHeight="1">
      <c r="A9" s="1073"/>
      <c r="B9" s="1078"/>
      <c r="C9" s="1073"/>
      <c r="D9" s="1413"/>
      <c r="E9" s="2860"/>
      <c r="F9" s="2860"/>
      <c r="G9" s="1455" t="s">
        <v>1916</v>
      </c>
      <c r="H9" s="1455" t="s">
        <v>1917</v>
      </c>
      <c r="I9" s="1455" t="s">
        <v>1918</v>
      </c>
      <c r="J9" s="2860"/>
      <c r="K9" s="2860"/>
      <c r="L9" s="2856"/>
      <c r="M9" s="436"/>
      <c r="N9" s="436"/>
      <c r="O9" s="436"/>
      <c r="P9" s="436"/>
      <c r="Q9" s="163"/>
      <c r="R9" s="436"/>
      <c r="S9" s="162"/>
      <c r="T9" s="162"/>
      <c r="U9" s="162"/>
      <c r="V9" s="162"/>
      <c r="IW9" s="443">
        <v>28</v>
      </c>
    </row>
    <row r="10" spans="1:257" s="2410" customFormat="1" ht="23.25" customHeight="1">
      <c r="A10" s="2499"/>
      <c r="B10" s="1078">
        <v>1</v>
      </c>
      <c r="C10" s="1078"/>
      <c r="D10" s="730"/>
      <c r="E10" s="728">
        <v>1</v>
      </c>
      <c r="F10" s="1457" t="str">
        <f>IF(ROIV_INFO_NAME="","",ROIV_INFO_NAME)</f>
        <v>ПАО "ТГК-1" (филиал "Кольский")</v>
      </c>
      <c r="G10" s="1649" t="s">
        <v>22</v>
      </c>
      <c r="H10" s="1831"/>
      <c r="I10" s="1452"/>
      <c r="J10" s="748"/>
      <c r="K10" s="748"/>
      <c r="L10" s="284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6"/>
      <c r="V10" s="1078"/>
      <c r="W10" s="1078"/>
      <c r="X10" s="1078"/>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410" customFormat="1" ht="15.75" customHeight="1">
      <c r="A11" s="2499"/>
      <c r="B11" s="1078"/>
      <c r="C11" s="348"/>
      <c r="D11" s="731"/>
      <c r="E11" s="357"/>
      <c r="F11" s="352" t="s">
        <v>1919</v>
      </c>
      <c r="G11" s="124"/>
      <c r="H11" s="124"/>
      <c r="I11" s="124"/>
      <c r="J11" s="124"/>
      <c r="K11" s="360"/>
      <c r="L11" s="2858"/>
      <c r="M11" s="1454"/>
      <c r="N11" s="447"/>
      <c r="O11" s="447"/>
      <c r="P11" s="447"/>
      <c r="Q11" s="436"/>
      <c r="R11" s="447"/>
      <c r="S11" s="1078"/>
      <c r="T11" s="1078"/>
      <c r="U11" s="356"/>
      <c r="V11" s="1078"/>
      <c r="W11" s="1078"/>
      <c r="X11" s="1078"/>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409" customFormat="1" ht="21.95" customHeight="1">
      <c r="A12" s="1073"/>
      <c r="B12" s="1078"/>
      <c r="C12" s="1073"/>
      <c r="D12" s="387"/>
      <c r="E12" s="117"/>
      <c r="F12" s="117"/>
      <c r="G12" s="117"/>
      <c r="H12" s="117"/>
      <c r="I12" s="117"/>
      <c r="J12" s="117"/>
      <c r="K12" s="117"/>
      <c r="L12" s="117"/>
      <c r="M12" s="436"/>
      <c r="N12" s="436"/>
      <c r="O12" s="436"/>
      <c r="P12" s="436"/>
      <c r="Q12" s="163"/>
      <c r="R12" s="436"/>
      <c r="S12" s="162"/>
      <c r="T12" s="162"/>
      <c r="U12" s="162"/>
      <c r="V12" s="162"/>
      <c r="IW12" s="443">
        <v>21</v>
      </c>
    </row>
    <row r="13" spans="1:257" s="2409" customFormat="1" ht="14.65" customHeight="1">
      <c r="A13" s="1073"/>
      <c r="B13" s="1078"/>
      <c r="C13" s="1073"/>
      <c r="D13" s="387"/>
      <c r="E13" s="1073"/>
      <c r="F13" s="1073"/>
      <c r="G13" s="1073"/>
      <c r="H13" s="1073"/>
      <c r="I13" s="1073"/>
      <c r="J13" s="1073"/>
      <c r="K13" s="1073"/>
      <c r="L13" s="1073"/>
      <c r="M13" s="436"/>
      <c r="N13" s="436"/>
      <c r="O13" s="436"/>
      <c r="P13" s="436"/>
      <c r="Q13" s="163"/>
      <c r="R13" s="436"/>
      <c r="S13" s="162"/>
      <c r="T13" s="162"/>
      <c r="U13" s="162"/>
      <c r="V13" s="162"/>
      <c r="IW13" s="443">
        <v>14</v>
      </c>
    </row>
    <row r="14" spans="1:257" s="2409" customFormat="1" ht="1.1499999999999999" customHeight="1">
      <c r="A14" s="1073"/>
      <c r="B14" s="1078"/>
      <c r="C14" s="1073"/>
      <c r="D14" s="387"/>
      <c r="E14" s="1073"/>
      <c r="F14" s="1073"/>
      <c r="G14" s="1073"/>
      <c r="H14" s="1073"/>
      <c r="I14" s="1073"/>
      <c r="J14" s="1073"/>
      <c r="K14" s="1073"/>
      <c r="L14" s="1073"/>
      <c r="M14" s="436"/>
      <c r="N14" s="436"/>
      <c r="O14" s="436"/>
      <c r="P14" s="436"/>
      <c r="Q14" s="163"/>
      <c r="R14" s="436"/>
      <c r="S14" s="162"/>
      <c r="T14" s="162"/>
      <c r="U14" s="162"/>
      <c r="V14" s="162"/>
      <c r="IW14" s="443">
        <v>1</v>
      </c>
    </row>
    <row r="15" spans="1:257" ht="22.5" hidden="1" customHeight="1">
      <c r="A15" s="1073" t="s">
        <v>78</v>
      </c>
      <c r="B15" s="1078">
        <v>0</v>
      </c>
      <c r="C15" s="1073">
        <v>0</v>
      </c>
      <c r="D15" s="387">
        <v>3</v>
      </c>
      <c r="E15" s="1073">
        <v>6</v>
      </c>
      <c r="F15" s="1073">
        <v>27</v>
      </c>
      <c r="G15" s="1073">
        <v>16</v>
      </c>
      <c r="H15" s="1073">
        <v>12</v>
      </c>
      <c r="I15" s="1073">
        <v>32</v>
      </c>
      <c r="J15" s="1073">
        <v>41</v>
      </c>
      <c r="K15" s="1073">
        <v>41</v>
      </c>
      <c r="L15" s="1073">
        <v>89</v>
      </c>
      <c r="M15" s="436">
        <v>3</v>
      </c>
      <c r="N15" s="436">
        <v>8</v>
      </c>
      <c r="O15" s="436">
        <v>8</v>
      </c>
      <c r="P15" s="436">
        <v>8</v>
      </c>
      <c r="Q15" s="163">
        <v>25</v>
      </c>
      <c r="R15" s="436">
        <v>14</v>
      </c>
      <c r="S15" s="162">
        <v>8</v>
      </c>
      <c r="T15" s="162">
        <v>8</v>
      </c>
      <c r="U15" s="162">
        <v>8</v>
      </c>
      <c r="V15" s="162">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00" hidden="1"/>
    <col min="2" max="2" width="9.140625" style="2406" hidden="1"/>
    <col min="3" max="3" width="3.7109375" style="2400" hidden="1" customWidth="1"/>
    <col min="4" max="4" width="3" style="2412" customWidth="1"/>
    <col min="5" max="5" width="6" style="2400" customWidth="1"/>
    <col min="6" max="6" width="27" style="2400" customWidth="1"/>
    <col min="7" max="7" width="16" style="2400" customWidth="1"/>
    <col min="8" max="8" width="12" style="2400" customWidth="1"/>
    <col min="9" max="9" width="32" style="2400" customWidth="1"/>
    <col min="10" max="11" width="41" style="2400" customWidth="1"/>
    <col min="12" max="12" width="89" style="2400" customWidth="1"/>
    <col min="13" max="13" width="3" style="2413" customWidth="1"/>
    <col min="14" max="16" width="8" style="2413" customWidth="1"/>
    <col min="17" max="17" width="25" style="2413" customWidth="1"/>
    <col min="18" max="18" width="14" style="2413" customWidth="1"/>
    <col min="19" max="22" width="8" style="2414" customWidth="1"/>
    <col min="23" max="256" width="8" style="2400" customWidth="1"/>
    <col min="257" max="257" width="9.140625" style="2400" hidden="1"/>
  </cols>
  <sheetData>
    <row r="1" spans="1:257" ht="22.5" hidden="1" customHeight="1">
      <c r="IW1" s="1549" t="s">
        <v>14</v>
      </c>
    </row>
    <row r="2" spans="1:257" s="2410" customFormat="1" ht="22.5" hidden="1" customHeight="1">
      <c r="A2" s="761"/>
      <c r="B2" s="1284">
        <v>1</v>
      </c>
      <c r="C2" s="1284"/>
      <c r="D2" s="1840" t="s">
        <v>680</v>
      </c>
      <c r="E2" s="1819"/>
      <c r="F2" s="1821" t="str">
        <f>IF(ROIV_INFO_NAME="","",ROIV_INFO_NAME)</f>
        <v>ПАО "ТГК-1" (филиал "Кольский")</v>
      </c>
      <c r="G2" s="1649" t="s">
        <v>22</v>
      </c>
      <c r="H2" s="1831"/>
      <c r="I2" s="1456"/>
      <c r="J2" s="748"/>
      <c r="K2" s="748"/>
      <c r="L2" s="165"/>
      <c r="M2" s="1453" t="e">
        <f ca="1">MERGEVALUE(F2)</f>
        <v>#NAME?</v>
      </c>
      <c r="N2" s="1554"/>
      <c r="O2" s="1554"/>
      <c r="P2" s="1542" t="str">
        <f t="array" ref="P2">IF(ISERROR(MATCH(MID(Q2,1,250),MID(note_ter,1,250),0)),"n","y")</f>
        <v>n</v>
      </c>
      <c r="Q2" s="1554"/>
      <c r="R2" s="1542" t="str">
        <f>G2&amp;"("&amp;L2&amp;")"</f>
        <v>()</v>
      </c>
      <c r="S2" s="1284"/>
      <c r="T2" s="1284"/>
      <c r="U2" s="356"/>
      <c r="V2" s="1284"/>
      <c r="W2" s="1284"/>
      <c r="X2" s="1284"/>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407" customFormat="1" ht="5.25" hidden="1" customHeight="1">
      <c r="A3" s="1559"/>
      <c r="D3" s="1808"/>
      <c r="F3" s="185" t="s">
        <v>79</v>
      </c>
      <c r="G3" s="1652" t="s">
        <v>80</v>
      </c>
      <c r="H3" s="1808"/>
      <c r="I3" s="1808"/>
      <c r="J3" s="1808"/>
      <c r="K3" s="1808"/>
      <c r="L3" s="164" t="s">
        <v>81</v>
      </c>
      <c r="M3" s="185" t="s">
        <v>79</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4">
        <v>0</v>
      </c>
    </row>
    <row r="4" spans="1:257" s="2409" customFormat="1" ht="14.65" customHeight="1">
      <c r="A4" s="1549"/>
      <c r="B4" s="1284"/>
      <c r="C4" s="1549"/>
      <c r="D4" s="1433"/>
      <c r="E4" s="1553"/>
      <c r="F4" s="1553"/>
      <c r="G4" s="1553"/>
      <c r="H4" s="1553"/>
      <c r="I4" s="1553"/>
      <c r="J4" s="1553"/>
      <c r="K4" s="1553"/>
      <c r="L4" s="1810"/>
      <c r="M4" s="185"/>
      <c r="N4" s="1542"/>
      <c r="O4" s="1542"/>
      <c r="P4" s="1542"/>
      <c r="Q4" s="1542"/>
      <c r="R4" s="1542"/>
      <c r="S4" s="162"/>
      <c r="T4" s="162"/>
      <c r="U4" s="162"/>
      <c r="V4" s="162"/>
      <c r="IW4" s="1527">
        <v>14</v>
      </c>
    </row>
    <row r="5" spans="1:257" s="2409" customFormat="1" ht="27.4" customHeight="1">
      <c r="A5" s="1549"/>
      <c r="B5" s="1284"/>
      <c r="C5" s="1549"/>
      <c r="D5" s="1433"/>
      <c r="E5" s="25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00"/>
      <c r="G5" s="2500"/>
      <c r="H5" s="2500"/>
      <c r="I5" s="2500"/>
      <c r="J5" s="2500"/>
      <c r="K5" s="2500"/>
      <c r="L5" s="1553"/>
      <c r="M5" s="185"/>
      <c r="N5" s="1542"/>
      <c r="O5" s="1542"/>
      <c r="P5" s="1542"/>
      <c r="Q5" s="1542"/>
      <c r="R5" s="1542"/>
      <c r="S5" s="162"/>
      <c r="T5" s="162"/>
      <c r="U5" s="162"/>
      <c r="V5" s="162"/>
      <c r="IW5" s="1527">
        <v>26</v>
      </c>
    </row>
    <row r="6" spans="1:257" s="2409" customFormat="1" ht="14.65" customHeight="1">
      <c r="A6" s="1549"/>
      <c r="B6" s="1284"/>
      <c r="C6" s="1549"/>
      <c r="D6" s="1433"/>
      <c r="E6" s="1553"/>
      <c r="F6" s="552"/>
      <c r="G6" s="552"/>
      <c r="H6" s="552"/>
      <c r="I6" s="552"/>
      <c r="J6" s="552"/>
      <c r="K6" s="552"/>
      <c r="L6" s="1170"/>
      <c r="M6" s="1542"/>
      <c r="N6" s="1542"/>
      <c r="O6" s="1542"/>
      <c r="P6" s="1542"/>
      <c r="Q6" s="1542"/>
      <c r="R6" s="1542"/>
      <c r="S6" s="162"/>
      <c r="T6" s="162"/>
      <c r="U6" s="162"/>
      <c r="V6" s="162"/>
      <c r="IW6" s="1527">
        <v>14</v>
      </c>
    </row>
    <row r="7" spans="1:257" s="2409" customFormat="1" ht="14.65" customHeight="1">
      <c r="A7" s="1549"/>
      <c r="B7" s="1284"/>
      <c r="C7" s="1549"/>
      <c r="D7" s="1433"/>
      <c r="E7" s="2496" t="s">
        <v>291</v>
      </c>
      <c r="F7" s="2501"/>
      <c r="G7" s="2501"/>
      <c r="H7" s="2501"/>
      <c r="I7" s="2501"/>
      <c r="J7" s="2501"/>
      <c r="K7" s="2501"/>
      <c r="L7" s="2855" t="s">
        <v>292</v>
      </c>
      <c r="M7" s="1542"/>
      <c r="N7" s="1542"/>
      <c r="O7" s="1542"/>
      <c r="P7" s="1542"/>
      <c r="Q7" s="1542"/>
      <c r="R7" s="1542"/>
      <c r="S7" s="162"/>
      <c r="T7" s="162"/>
      <c r="U7" s="162"/>
      <c r="V7" s="162"/>
      <c r="IW7" s="1527">
        <v>14</v>
      </c>
    </row>
    <row r="8" spans="1:257" s="2409" customFormat="1" ht="67.150000000000006" customHeight="1">
      <c r="A8" s="1549"/>
      <c r="B8" s="1284"/>
      <c r="C8" s="1549"/>
      <c r="D8" s="1433"/>
      <c r="E8" s="2859" t="s">
        <v>84</v>
      </c>
      <c r="F8" s="2859" t="s">
        <v>1920</v>
      </c>
      <c r="G8" s="2861" t="s">
        <v>1921</v>
      </c>
      <c r="H8" s="2862"/>
      <c r="I8" s="2863"/>
      <c r="J8" s="2859" t="s">
        <v>1922</v>
      </c>
      <c r="K8" s="285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57"/>
      <c r="M8" s="1542"/>
      <c r="N8" s="1542"/>
      <c r="O8" s="1542"/>
      <c r="P8" s="1542"/>
      <c r="Q8" s="1542"/>
      <c r="R8" s="1542"/>
      <c r="S8" s="162"/>
      <c r="T8" s="162"/>
      <c r="U8" s="162"/>
      <c r="V8" s="162"/>
      <c r="IW8" s="1527">
        <v>64</v>
      </c>
    </row>
    <row r="9" spans="1:257" s="2409" customFormat="1" ht="29.25" customHeight="1">
      <c r="A9" s="1549"/>
      <c r="B9" s="1284"/>
      <c r="C9" s="1549"/>
      <c r="D9" s="1433"/>
      <c r="E9" s="2860"/>
      <c r="F9" s="2860"/>
      <c r="G9" s="1809" t="s">
        <v>1916</v>
      </c>
      <c r="H9" s="1809" t="s">
        <v>1917</v>
      </c>
      <c r="I9" s="1809" t="s">
        <v>1918</v>
      </c>
      <c r="J9" s="2860"/>
      <c r="K9" s="2860"/>
      <c r="L9" s="2856"/>
      <c r="M9" s="1542"/>
      <c r="N9" s="1542"/>
      <c r="O9" s="1542"/>
      <c r="P9" s="1542"/>
      <c r="Q9" s="1542"/>
      <c r="R9" s="1542"/>
      <c r="S9" s="162"/>
      <c r="T9" s="162"/>
      <c r="U9" s="162"/>
      <c r="V9" s="162"/>
      <c r="IW9" s="1527">
        <v>28</v>
      </c>
    </row>
    <row r="10" spans="1:257" s="2410" customFormat="1" ht="1.1499999999999999" customHeight="1">
      <c r="A10" s="2499"/>
      <c r="B10" s="1284">
        <v>1</v>
      </c>
      <c r="C10" s="1284"/>
      <c r="D10" s="730"/>
      <c r="E10" s="725">
        <v>0</v>
      </c>
      <c r="F10" s="1806" t="str">
        <f>IF(ROIV_INFO_NAME="","",ROIV_INFO_NAME)</f>
        <v>ПАО "ТГК-1" (филиал "Кольский")</v>
      </c>
      <c r="G10" s="1650" t="s">
        <v>22</v>
      </c>
      <c r="H10" s="1818"/>
      <c r="I10" s="1818"/>
      <c r="J10" s="455"/>
      <c r="K10" s="455"/>
      <c r="L10" s="284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6"/>
      <c r="V10" s="1284"/>
      <c r="W10" s="1284"/>
      <c r="X10" s="1284"/>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410" customFormat="1" ht="15.75" customHeight="1">
      <c r="A11" s="2499"/>
      <c r="B11" s="1284"/>
      <c r="C11" s="348"/>
      <c r="D11" s="731"/>
      <c r="E11" s="357"/>
      <c r="F11" s="587" t="s">
        <v>1919</v>
      </c>
      <c r="G11" s="124"/>
      <c r="H11" s="124"/>
      <c r="I11" s="124"/>
      <c r="J11" s="124"/>
      <c r="K11" s="360"/>
      <c r="L11" s="2858"/>
      <c r="M11" s="1454"/>
      <c r="N11" s="1554"/>
      <c r="O11" s="1554"/>
      <c r="P11" s="1554"/>
      <c r="Q11" s="1542"/>
      <c r="R11" s="1554"/>
      <c r="S11" s="1284"/>
      <c r="T11" s="1284"/>
      <c r="U11" s="356"/>
      <c r="V11" s="1284"/>
      <c r="W11" s="1284"/>
      <c r="X11" s="1284"/>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409" customFormat="1" ht="21.95" customHeight="1">
      <c r="A12" s="1549"/>
      <c r="B12" s="1284"/>
      <c r="C12" s="1549"/>
      <c r="D12" s="1551"/>
      <c r="E12" s="117"/>
      <c r="F12" s="117"/>
      <c r="G12" s="117"/>
      <c r="H12" s="117"/>
      <c r="I12" s="117"/>
      <c r="J12" s="117"/>
      <c r="K12" s="117"/>
      <c r="L12" s="117"/>
      <c r="M12" s="1542"/>
      <c r="N12" s="1542"/>
      <c r="O12" s="1542"/>
      <c r="P12" s="1542"/>
      <c r="Q12" s="1542"/>
      <c r="R12" s="1542"/>
      <c r="S12" s="162"/>
      <c r="T12" s="162"/>
      <c r="U12" s="162"/>
      <c r="V12" s="162"/>
      <c r="IW12" s="1527">
        <v>21</v>
      </c>
    </row>
    <row r="13" spans="1:257" s="2409"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2"/>
      <c r="T13" s="162"/>
      <c r="U13" s="162"/>
      <c r="V13" s="162"/>
      <c r="IW13" s="1527">
        <v>14</v>
      </c>
    </row>
    <row r="14" spans="1:257" s="2409"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2"/>
      <c r="T14" s="162"/>
      <c r="U14" s="162"/>
      <c r="V14" s="162"/>
      <c r="IW14" s="1527">
        <v>1</v>
      </c>
    </row>
    <row r="15" spans="1:257" ht="22.5" hidden="1" customHeight="1">
      <c r="A15" s="1549" t="s">
        <v>78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2">
        <v>8</v>
      </c>
      <c r="T15" s="162">
        <v>8</v>
      </c>
      <c r="U15" s="162">
        <v>8</v>
      </c>
      <c r="V15" s="162">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400" hidden="1"/>
    <col min="2" max="2" width="9.140625" style="2406" hidden="1"/>
    <col min="3" max="3" width="3.7109375" style="2400" hidden="1" customWidth="1"/>
    <col min="4" max="4" width="3" style="2412" customWidth="1"/>
    <col min="5" max="5" width="6" style="2400" customWidth="1"/>
    <col min="6" max="6" width="27" style="2400" customWidth="1"/>
    <col min="7" max="7" width="29" style="2400" customWidth="1"/>
    <col min="8" max="8" width="25" style="2400" customWidth="1"/>
    <col min="9" max="9" width="5" style="2400" customWidth="1"/>
    <col min="10" max="10" width="6" style="2400" customWidth="1"/>
    <col min="11" max="11" width="41" style="2400" customWidth="1"/>
    <col min="12" max="12" width="42" style="2400" customWidth="1"/>
    <col min="13" max="13" width="41" style="2400" customWidth="1"/>
    <col min="14" max="14" width="89" style="2400" customWidth="1"/>
    <col min="15" max="15" width="3" style="2413" customWidth="1"/>
    <col min="16" max="16" width="8" style="2413" customWidth="1"/>
    <col min="17" max="17" width="9.140625" style="2400" hidden="1"/>
  </cols>
  <sheetData>
    <row r="1" spans="1:17" ht="22.5" hidden="1" customHeight="1">
      <c r="Q1" s="1073" t="s">
        <v>14</v>
      </c>
    </row>
    <row r="2" spans="1:17" s="2410" customFormat="1" ht="22.5" hidden="1" customHeight="1">
      <c r="A2" s="432"/>
      <c r="B2" s="1078">
        <v>1</v>
      </c>
      <c r="C2" s="1078"/>
      <c r="D2" s="1840" t="s">
        <v>680</v>
      </c>
      <c r="E2" s="2514">
        <v>1</v>
      </c>
      <c r="F2" s="2681" t="str">
        <f>IF(region_name="","",region_name)</f>
        <v>Мурманская область</v>
      </c>
      <c r="G2" s="2872"/>
      <c r="H2" s="2873"/>
      <c r="I2" s="410"/>
      <c r="J2" s="1825">
        <v>1</v>
      </c>
      <c r="K2" s="1827"/>
      <c r="L2" s="1827"/>
      <c r="M2" s="1827"/>
      <c r="N2" s="428"/>
      <c r="O2" s="1453"/>
      <c r="P2" s="447"/>
      <c r="Q2" s="359">
        <v>0</v>
      </c>
    </row>
    <row r="3" spans="1:17" s="2410" customFormat="1" ht="22.5" hidden="1" customHeight="1">
      <c r="A3" s="761"/>
      <c r="B3" s="1078"/>
      <c r="C3" s="1078"/>
      <c r="D3" s="731"/>
      <c r="E3" s="2514"/>
      <c r="F3" s="2681"/>
      <c r="G3" s="2872"/>
      <c r="H3" s="2800"/>
      <c r="I3" s="357"/>
      <c r="J3" s="1418"/>
      <c r="K3" s="1418" t="s">
        <v>1923</v>
      </c>
      <c r="L3" s="1461"/>
      <c r="M3" s="1835"/>
      <c r="N3" s="1828"/>
      <c r="O3" s="1453"/>
      <c r="P3" s="447"/>
      <c r="Q3" s="359">
        <v>0</v>
      </c>
    </row>
    <row r="4" spans="1:17" s="2407" customFormat="1" ht="5.25" hidden="1" customHeight="1">
      <c r="A4" s="432"/>
      <c r="D4" s="430"/>
      <c r="F4" s="184" t="s">
        <v>79</v>
      </c>
      <c r="G4" s="430" t="s">
        <v>80</v>
      </c>
      <c r="H4" s="430"/>
      <c r="I4" s="1838"/>
      <c r="J4" s="1462"/>
      <c r="K4" s="1826"/>
      <c r="L4" s="1826"/>
      <c r="M4" s="1826"/>
      <c r="N4" s="1822"/>
      <c r="O4" s="184" t="s">
        <v>79</v>
      </c>
      <c r="P4" s="184"/>
      <c r="Q4" s="447">
        <v>0</v>
      </c>
    </row>
    <row r="5" spans="1:17" s="2410" customFormat="1" ht="22.5" hidden="1" customHeight="1">
      <c r="A5" s="1559"/>
      <c r="B5" s="1284">
        <v>1</v>
      </c>
      <c r="C5" s="1284"/>
      <c r="D5" s="731"/>
      <c r="E5" s="1828"/>
      <c r="F5" s="1828"/>
      <c r="G5" s="1828"/>
      <c r="H5" s="1839"/>
      <c r="I5" s="1841" t="s">
        <v>680</v>
      </c>
      <c r="J5" s="1837">
        <v>1</v>
      </c>
      <c r="K5" s="1827"/>
      <c r="L5" s="1827"/>
      <c r="M5" s="1827"/>
      <c r="N5" s="428"/>
      <c r="O5" s="1453"/>
      <c r="P5" s="1554"/>
      <c r="Q5" s="560">
        <v>0</v>
      </c>
    </row>
    <row r="6" spans="1:17" s="2409" customFormat="1" ht="14.65" customHeight="1">
      <c r="A6" s="1073"/>
      <c r="B6" s="1078"/>
      <c r="C6" s="1073"/>
      <c r="D6" s="1413"/>
      <c r="E6" s="445"/>
      <c r="F6" s="445"/>
      <c r="G6" s="445"/>
      <c r="H6" s="445"/>
      <c r="I6" s="445"/>
      <c r="J6" s="445"/>
      <c r="K6" s="445"/>
      <c r="L6" s="445"/>
      <c r="M6" s="445"/>
      <c r="N6" s="1553"/>
      <c r="O6" s="184"/>
      <c r="P6" s="436"/>
      <c r="Q6" s="443">
        <v>14</v>
      </c>
    </row>
    <row r="7" spans="1:17" s="2409" customFormat="1" ht="27.4" customHeight="1">
      <c r="A7" s="1073"/>
      <c r="B7" s="1078"/>
      <c r="C7" s="1073"/>
      <c r="D7" s="1413"/>
      <c r="E7" s="286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66"/>
      <c r="G7" s="2866"/>
      <c r="H7" s="2866"/>
      <c r="I7" s="2866"/>
      <c r="J7" s="2866"/>
      <c r="K7" s="2866"/>
      <c r="L7" s="2866"/>
      <c r="M7" s="2866"/>
      <c r="N7" s="1170"/>
      <c r="O7" s="184"/>
      <c r="P7" s="436"/>
      <c r="Q7" s="443">
        <v>26</v>
      </c>
    </row>
    <row r="8" spans="1:17" s="2409" customFormat="1" ht="14.65" customHeight="1">
      <c r="A8" s="1073"/>
      <c r="B8" s="1078"/>
      <c r="C8" s="1073"/>
      <c r="D8" s="1413"/>
      <c r="E8" s="445"/>
      <c r="F8" s="104"/>
      <c r="G8" s="104"/>
      <c r="H8" s="104"/>
      <c r="I8" s="104"/>
      <c r="J8" s="104"/>
      <c r="K8" s="104"/>
      <c r="L8" s="104"/>
      <c r="M8" s="104"/>
      <c r="N8" s="552"/>
      <c r="O8" s="436"/>
      <c r="P8" s="436"/>
      <c r="Q8" s="443">
        <v>14</v>
      </c>
    </row>
    <row r="9" spans="1:17" s="2463" customFormat="1" ht="14.25" hidden="1" customHeight="1">
      <c r="A9" s="1386"/>
      <c r="B9" s="1396"/>
      <c r="C9" s="1386"/>
      <c r="D9" s="1413"/>
      <c r="E9" s="1829"/>
      <c r="F9" s="1829"/>
      <c r="G9" s="1829"/>
      <c r="H9" s="1829"/>
      <c r="I9" s="2869"/>
      <c r="J9" s="2869"/>
      <c r="K9" s="2869"/>
      <c r="L9" s="1829"/>
      <c r="M9" s="1830"/>
      <c r="O9" s="1463"/>
      <c r="P9" s="1463"/>
      <c r="Q9" s="1464">
        <v>0</v>
      </c>
    </row>
    <row r="10" spans="1:17" s="2409" customFormat="1" ht="14.65" customHeight="1">
      <c r="A10" s="1073"/>
      <c r="B10" s="1078"/>
      <c r="C10" s="1073"/>
      <c r="D10" s="1413"/>
      <c r="E10" s="2514" t="s">
        <v>291</v>
      </c>
      <c r="F10" s="2514"/>
      <c r="G10" s="2514"/>
      <c r="H10" s="2514"/>
      <c r="I10" s="2514"/>
      <c r="J10" s="2514"/>
      <c r="K10" s="2514"/>
      <c r="L10" s="2514"/>
      <c r="M10" s="2496"/>
      <c r="N10" s="2859" t="s">
        <v>292</v>
      </c>
      <c r="O10" s="436"/>
      <c r="P10" s="436"/>
      <c r="Q10" s="443">
        <v>14</v>
      </c>
    </row>
    <row r="11" spans="1:17" s="2409" customFormat="1" ht="44.25" customHeight="1">
      <c r="A11" s="1549"/>
      <c r="B11" s="1284"/>
      <c r="C11" s="1549"/>
      <c r="D11" s="1433"/>
      <c r="E11" s="2868" t="s">
        <v>84</v>
      </c>
      <c r="F11" s="2868" t="s">
        <v>295</v>
      </c>
      <c r="G11" s="2868" t="s">
        <v>1924</v>
      </c>
      <c r="H11" s="2868"/>
      <c r="I11" s="2868" t="s">
        <v>1925</v>
      </c>
      <c r="J11" s="2868"/>
      <c r="K11" s="2868"/>
      <c r="L11" s="2868" t="s">
        <v>1926</v>
      </c>
      <c r="M11" s="2861" t="s">
        <v>1927</v>
      </c>
      <c r="N11" s="2867"/>
      <c r="O11" s="1542"/>
      <c r="P11" s="1542"/>
      <c r="Q11" s="1527">
        <v>42</v>
      </c>
    </row>
    <row r="12" spans="1:17" s="2409" customFormat="1" ht="29.25" customHeight="1">
      <c r="A12" s="1073"/>
      <c r="B12" s="1078"/>
      <c r="C12" s="1073"/>
      <c r="D12" s="1413"/>
      <c r="E12" s="2859"/>
      <c r="F12" s="2868"/>
      <c r="G12" s="1824" t="s">
        <v>1928</v>
      </c>
      <c r="H12" s="1824" t="s">
        <v>299</v>
      </c>
      <c r="I12" s="2868"/>
      <c r="J12" s="2868"/>
      <c r="K12" s="2868"/>
      <c r="L12" s="2868"/>
      <c r="M12" s="2861"/>
      <c r="N12" s="2860"/>
      <c r="O12" s="436"/>
      <c r="P12" s="436"/>
      <c r="Q12" s="443">
        <v>28</v>
      </c>
    </row>
    <row r="13" spans="1:17" s="2410" customFormat="1" ht="23.25" customHeight="1">
      <c r="A13" s="2499">
        <v>26379339</v>
      </c>
      <c r="B13" s="1078">
        <v>1</v>
      </c>
      <c r="C13" s="1078"/>
      <c r="D13" s="731"/>
      <c r="E13" s="2514">
        <v>1</v>
      </c>
      <c r="F13" s="2874" t="str">
        <f>IF(region_name="","",region_name)</f>
        <v>Мурманская область</v>
      </c>
      <c r="G13" s="2875"/>
      <c r="H13" s="2870"/>
      <c r="I13" s="410"/>
      <c r="J13" s="1820">
        <v>1</v>
      </c>
      <c r="K13" s="1833"/>
      <c r="L13" s="1834"/>
      <c r="M13" s="1834"/>
      <c r="N13" s="2864" t="s">
        <v>1929</v>
      </c>
      <c r="O13" s="1453"/>
      <c r="P13" s="447"/>
      <c r="Q13" s="359">
        <v>22</v>
      </c>
    </row>
    <row r="14" spans="1:17" s="2410" customFormat="1" ht="23.25" customHeight="1">
      <c r="A14" s="2499"/>
      <c r="B14" s="1078"/>
      <c r="C14" s="1078"/>
      <c r="D14" s="731"/>
      <c r="E14" s="2514"/>
      <c r="F14" s="2874"/>
      <c r="G14" s="2875"/>
      <c r="H14" s="2871"/>
      <c r="I14" s="357"/>
      <c r="J14" s="1418"/>
      <c r="K14" s="1418" t="s">
        <v>1923</v>
      </c>
      <c r="L14" s="1461"/>
      <c r="M14" s="1461"/>
      <c r="N14" s="2865"/>
      <c r="O14" s="1453"/>
      <c r="P14" s="447"/>
      <c r="Q14" s="359">
        <v>22</v>
      </c>
    </row>
    <row r="15" spans="1:17" s="2410" customFormat="1" ht="23.25" customHeight="1">
      <c r="A15" s="2499"/>
      <c r="B15" s="1078"/>
      <c r="C15" s="348"/>
      <c r="D15" s="731"/>
      <c r="E15" s="357"/>
      <c r="F15" s="1418" t="s">
        <v>1915</v>
      </c>
      <c r="G15" s="1460"/>
      <c r="H15" s="1460"/>
      <c r="I15" s="124"/>
      <c r="J15" s="124"/>
      <c r="K15" s="124"/>
      <c r="L15" s="124"/>
      <c r="M15" s="124"/>
      <c r="N15" s="2865"/>
      <c r="O15" s="1454"/>
      <c r="P15" s="447"/>
      <c r="Q15" s="359">
        <v>22</v>
      </c>
    </row>
    <row r="16" spans="1:17" s="2409" customFormat="1" ht="21.95" customHeight="1">
      <c r="A16" s="1073"/>
      <c r="B16" s="1078"/>
      <c r="C16" s="1073"/>
      <c r="D16" s="387"/>
      <c r="E16" s="117"/>
      <c r="F16" s="117"/>
      <c r="G16" s="117"/>
      <c r="H16" s="117"/>
      <c r="I16" s="117"/>
      <c r="J16" s="117"/>
      <c r="K16" s="117"/>
      <c r="L16" s="117"/>
      <c r="M16" s="445"/>
      <c r="N16" s="1553"/>
      <c r="O16" s="436"/>
      <c r="P16" s="436"/>
      <c r="Q16" s="443">
        <v>21</v>
      </c>
    </row>
    <row r="17" spans="1:17" s="2409" customFormat="1" ht="14.65" customHeight="1">
      <c r="A17" s="1073"/>
      <c r="B17" s="1078"/>
      <c r="C17" s="1073"/>
      <c r="D17" s="387"/>
      <c r="E17" s="1073"/>
      <c r="F17" s="1073"/>
      <c r="G17" s="1073"/>
      <c r="H17" s="1073"/>
      <c r="I17" s="1073"/>
      <c r="J17" s="1073"/>
      <c r="K17" s="1073"/>
      <c r="L17" s="1073"/>
      <c r="M17" s="1073"/>
      <c r="N17" s="1549"/>
      <c r="O17" s="436"/>
      <c r="P17" s="436"/>
      <c r="Q17" s="443">
        <v>14</v>
      </c>
    </row>
    <row r="18" spans="1:17" s="2409" customFormat="1" ht="1.1499999999999999" customHeight="1">
      <c r="A18" s="1073"/>
      <c r="B18" s="1078"/>
      <c r="C18" s="1073"/>
      <c r="D18" s="387"/>
      <c r="E18" s="1073"/>
      <c r="F18" s="1073"/>
      <c r="G18" s="1073"/>
      <c r="H18" s="1073"/>
      <c r="I18" s="1073"/>
      <c r="J18" s="1073"/>
      <c r="K18" s="1073"/>
      <c r="L18" s="1073"/>
      <c r="M18" s="1073"/>
      <c r="N18" s="1549"/>
      <c r="O18" s="436"/>
      <c r="P18" s="436"/>
      <c r="Q18" s="443">
        <v>1</v>
      </c>
    </row>
    <row r="19" spans="1:17" ht="22.5" hidden="1" customHeight="1">
      <c r="A19" s="1073" t="s">
        <v>78</v>
      </c>
      <c r="B19" s="1078">
        <v>0</v>
      </c>
      <c r="C19" s="1073">
        <v>0</v>
      </c>
      <c r="D19" s="387">
        <v>3</v>
      </c>
      <c r="E19" s="1073">
        <v>6</v>
      </c>
      <c r="F19" s="1073">
        <v>27</v>
      </c>
      <c r="G19" s="1073">
        <v>29</v>
      </c>
      <c r="H19" s="1073">
        <v>25</v>
      </c>
      <c r="I19" s="1073">
        <v>5</v>
      </c>
      <c r="J19" s="1073">
        <v>6</v>
      </c>
      <c r="K19" s="1073">
        <v>41</v>
      </c>
      <c r="L19" s="1073">
        <v>42</v>
      </c>
      <c r="M19" s="1073">
        <v>41</v>
      </c>
      <c r="N19" s="1549">
        <v>89</v>
      </c>
      <c r="O19" s="436">
        <v>3</v>
      </c>
      <c r="P19" s="436">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423" hidden="1"/>
    <col min="2" max="2" width="9.140625" style="2455" hidden="1"/>
    <col min="3" max="3" width="3" style="2464" customWidth="1"/>
    <col min="4" max="4" width="6" style="2455" customWidth="1"/>
    <col min="5" max="5" width="22" style="2455" customWidth="1"/>
    <col min="6" max="6" width="15" style="2455" customWidth="1"/>
    <col min="7" max="7" width="14" style="2455" customWidth="1"/>
    <col min="8" max="8" width="47" style="2455" customWidth="1"/>
    <col min="9" max="9" width="115" style="2455" customWidth="1"/>
    <col min="10" max="10" width="3" style="2455" customWidth="1"/>
    <col min="11" max="12" width="8" style="2455" customWidth="1"/>
    <col min="13" max="13" width="9.140625" style="245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400" customFormat="1" ht="31.5" customHeight="1">
      <c r="A5" s="55"/>
      <c r="C5" s="30"/>
      <c r="D5" s="2500" t="s">
        <v>1930</v>
      </c>
      <c r="E5" s="2500"/>
      <c r="F5" s="2500"/>
      <c r="G5" s="2500"/>
      <c r="H5" s="2500"/>
      <c r="I5" s="202"/>
      <c r="M5" s="23">
        <v>30</v>
      </c>
    </row>
    <row r="6" spans="1:13" ht="3" hidden="1" customHeight="1">
      <c r="D6" s="62"/>
      <c r="E6" s="62"/>
      <c r="F6" s="62"/>
      <c r="G6" s="62"/>
      <c r="H6" s="62"/>
      <c r="I6" s="62"/>
      <c r="M6" s="61">
        <v>0</v>
      </c>
    </row>
    <row r="7" spans="1:13" s="2423" customFormat="1" ht="14.65" customHeight="1">
      <c r="B7" s="59"/>
      <c r="C7" s="60"/>
      <c r="D7" s="63"/>
      <c r="E7" s="63"/>
      <c r="F7" s="63"/>
      <c r="G7" s="63"/>
      <c r="H7" s="688"/>
      <c r="I7" s="63"/>
      <c r="J7" s="64"/>
      <c r="M7" s="58">
        <v>14</v>
      </c>
    </row>
    <row r="8" spans="1:13" ht="14.65" customHeight="1">
      <c r="D8" s="2603" t="s">
        <v>291</v>
      </c>
      <c r="E8" s="2603"/>
      <c r="F8" s="2603"/>
      <c r="G8" s="2603"/>
      <c r="H8" s="2603"/>
      <c r="I8" s="2603" t="s">
        <v>292</v>
      </c>
      <c r="M8" s="61">
        <v>14</v>
      </c>
    </row>
    <row r="9" spans="1:13" ht="29.25" customHeight="1">
      <c r="D9" s="2603" t="s">
        <v>84</v>
      </c>
      <c r="E9" s="2603" t="s">
        <v>1931</v>
      </c>
      <c r="F9" s="2603"/>
      <c r="G9" s="2603"/>
      <c r="H9" s="2603"/>
      <c r="I9" s="2603"/>
      <c r="M9" s="61">
        <v>28</v>
      </c>
    </row>
    <row r="10" spans="1:13" ht="24" customHeight="1">
      <c r="D10" s="2603"/>
      <c r="E10" s="67" t="s">
        <v>1932</v>
      </c>
      <c r="F10" s="67" t="s">
        <v>1933</v>
      </c>
      <c r="G10" s="67" t="s">
        <v>1934</v>
      </c>
      <c r="H10" s="67" t="s">
        <v>381</v>
      </c>
      <c r="I10" s="2603"/>
      <c r="M10" s="61">
        <v>23</v>
      </c>
    </row>
    <row r="11" spans="1:13" ht="12" hidden="1" customHeight="1">
      <c r="D11" s="27" t="s">
        <v>102</v>
      </c>
      <c r="E11" s="27" t="s">
        <v>87</v>
      </c>
      <c r="F11" s="27" t="s">
        <v>104</v>
      </c>
      <c r="G11" s="27" t="s">
        <v>88</v>
      </c>
      <c r="H11" s="27" t="s">
        <v>89</v>
      </c>
      <c r="I11" s="27" t="s">
        <v>105</v>
      </c>
      <c r="M11" s="61">
        <v>0</v>
      </c>
    </row>
    <row r="12" spans="1:13" s="2455" customFormat="1" ht="26.25" customHeight="1">
      <c r="A12" s="83" t="s">
        <v>86</v>
      </c>
      <c r="B12" s="65" t="s">
        <v>22</v>
      </c>
      <c r="C12" s="66"/>
      <c r="D12" s="68" t="s">
        <v>102</v>
      </c>
      <c r="E12" s="317"/>
      <c r="F12" s="317"/>
      <c r="G12" s="1651" t="s">
        <v>22</v>
      </c>
      <c r="H12" s="318"/>
      <c r="I12" s="2558" t="s">
        <v>1935</v>
      </c>
      <c r="K12" s="209"/>
      <c r="L12" s="210"/>
      <c r="M12" s="57">
        <v>25</v>
      </c>
    </row>
    <row r="13" spans="1:13" ht="15.75" customHeight="1">
      <c r="A13" s="61"/>
      <c r="B13" s="61"/>
      <c r="C13" s="61"/>
      <c r="D13" s="49"/>
      <c r="E13" s="70" t="s">
        <v>459</v>
      </c>
      <c r="F13" s="69"/>
      <c r="G13" s="69"/>
      <c r="H13" s="151"/>
      <c r="I13" s="2560"/>
      <c r="M13" s="61">
        <v>15</v>
      </c>
    </row>
    <row r="14" spans="1:13" ht="3" customHeight="1">
      <c r="A14" s="61"/>
      <c r="B14" s="61"/>
      <c r="C14" s="61"/>
      <c r="M14" s="61">
        <v>3</v>
      </c>
    </row>
    <row r="15" spans="1:13" ht="29.25" customHeight="1">
      <c r="E15" s="2876" t="s">
        <v>1936</v>
      </c>
      <c r="F15" s="2876"/>
      <c r="G15" s="2876"/>
      <c r="H15" s="2876"/>
      <c r="M15" s="61">
        <v>28</v>
      </c>
    </row>
    <row r="16" spans="1:13" ht="14.25" hidden="1" customHeight="1">
      <c r="A16" s="58" t="s">
        <v>78</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3" sqref="E13"/>
    </sheetView>
  </sheetViews>
  <sheetFormatPr defaultColWidth="9.140625" defaultRowHeight="14.25" customHeight="1"/>
  <cols>
    <col min="1" max="2" width="9.140625" style="2465" hidden="1"/>
    <col min="3" max="3" width="3" style="2466" customWidth="1"/>
    <col min="4" max="4" width="6" style="2465" customWidth="1"/>
    <col min="5" max="5" width="94" style="2465" customWidth="1"/>
    <col min="6" max="9" width="8" style="2465" customWidth="1"/>
    <col min="10" max="10" width="9.140625" style="2465"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877" t="s">
        <v>1937</v>
      </c>
      <c r="E7" s="2878"/>
      <c r="F7" s="204"/>
      <c r="J7" s="9">
        <v>22</v>
      </c>
    </row>
    <row r="8" spans="1:10" ht="3" customHeight="1">
      <c r="C8" s="32"/>
      <c r="D8" s="10"/>
      <c r="E8" s="10"/>
      <c r="J8" s="9">
        <v>3</v>
      </c>
    </row>
    <row r="9" spans="1:10" ht="16.899999999999999" customHeight="1">
      <c r="C9" s="32"/>
      <c r="D9" s="45" t="s">
        <v>84</v>
      </c>
      <c r="E9" s="197" t="s">
        <v>1938</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t="s">
        <v>1939</v>
      </c>
      <c r="J12" s="9">
        <v>15</v>
      </c>
    </row>
    <row r="13" spans="1:10" ht="12.75" customHeight="1">
      <c r="C13" s="32"/>
      <c r="D13" s="199"/>
      <c r="E13" s="200" t="s">
        <v>1940</v>
      </c>
      <c r="J13" s="9">
        <v>12</v>
      </c>
    </row>
    <row r="14" spans="1:10" ht="3" customHeight="1">
      <c r="J14" s="9">
        <v>3</v>
      </c>
    </row>
    <row r="15" spans="1:10" ht="23.25" customHeight="1">
      <c r="C15" s="76"/>
      <c r="D15" s="2876" t="s">
        <v>1941</v>
      </c>
      <c r="E15" s="2876"/>
      <c r="F15" s="77"/>
      <c r="G15" s="77"/>
      <c r="H15" s="77"/>
      <c r="I15" s="77"/>
      <c r="J15" s="9">
        <v>22</v>
      </c>
    </row>
    <row r="16" spans="1:10" ht="14.25" hidden="1" customHeight="1">
      <c r="A16" s="9" t="s">
        <v>78</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465" hidden="1"/>
    <col min="3" max="3" width="3" style="2466" customWidth="1"/>
    <col min="4" max="4" width="6" style="2465" customWidth="1"/>
    <col min="5" max="5" width="94" style="2465" customWidth="1"/>
    <col min="6" max="12" width="8" style="2465" customWidth="1"/>
    <col min="13" max="13" width="9.140625" style="2465"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500" t="s">
        <v>1942</v>
      </c>
      <c r="E7" s="2500"/>
      <c r="F7" s="204"/>
      <c r="M7" s="9">
        <v>22</v>
      </c>
    </row>
    <row r="8" spans="1:13" ht="3" customHeight="1">
      <c r="C8" s="32"/>
      <c r="D8" s="10"/>
      <c r="E8" s="10"/>
      <c r="M8" s="9">
        <v>3</v>
      </c>
    </row>
    <row r="9" spans="1:13" ht="16.899999999999999" customHeight="1">
      <c r="C9" s="32"/>
      <c r="D9" s="45" t="s">
        <v>84</v>
      </c>
      <c r="E9" s="48" t="s">
        <v>278</v>
      </c>
      <c r="M9" s="9">
        <v>16</v>
      </c>
    </row>
    <row r="10" spans="1:13" ht="12.75" customHeight="1">
      <c r="C10" s="32"/>
      <c r="D10" s="27" t="s">
        <v>102</v>
      </c>
      <c r="E10" s="27" t="s">
        <v>103</v>
      </c>
      <c r="M10" s="9">
        <v>12</v>
      </c>
    </row>
    <row r="11" spans="1:13" ht="15" hidden="1" customHeight="1">
      <c r="C11" s="32"/>
      <c r="D11" s="53">
        <v>0</v>
      </c>
      <c r="E11" s="87"/>
      <c r="M11" s="9">
        <v>0</v>
      </c>
    </row>
    <row r="12" spans="1:13" ht="14.65" customHeight="1">
      <c r="C12" s="32"/>
      <c r="D12" s="49"/>
      <c r="E12" s="47" t="s">
        <v>1940</v>
      </c>
      <c r="M12" s="9">
        <v>14</v>
      </c>
    </row>
    <row r="13" spans="1:13" ht="14.25" hidden="1" customHeight="1">
      <c r="A13" s="9" t="s">
        <v>78</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410" hidden="1"/>
    <col min="3" max="4" width="3" style="2410" customWidth="1"/>
    <col min="5" max="6" width="15" style="2410" customWidth="1"/>
    <col min="7" max="7" width="11.5703125" style="2410" customWidth="1"/>
    <col min="8" max="9" width="3" style="2410" customWidth="1"/>
    <col min="10" max="10" width="12" style="2410" customWidth="1"/>
    <col min="11" max="11" width="0.28515625" style="2410" customWidth="1"/>
    <col min="12" max="13" width="10" style="2410" customWidth="1"/>
    <col min="14" max="15" width="3" style="2410" customWidth="1"/>
    <col min="16" max="16" width="19" style="2410" customWidth="1"/>
    <col min="17" max="17" width="0.28515625" style="2410" customWidth="1"/>
    <col min="18" max="19" width="10" style="2410" customWidth="1"/>
    <col min="20" max="21" width="3" style="2410" customWidth="1"/>
    <col min="22" max="22" width="25" style="2410" customWidth="1"/>
    <col min="23" max="23" width="0.28515625" style="2410" customWidth="1"/>
    <col min="24" max="25" width="10" style="2410" customWidth="1"/>
    <col min="26" max="27" width="3" style="2410" customWidth="1"/>
    <col min="28" max="28" width="16" style="2410" customWidth="1"/>
    <col min="29" max="29" width="0.28515625" style="2410" customWidth="1"/>
    <col min="30" max="31" width="10" style="2410" customWidth="1"/>
    <col min="32" max="33" width="3" style="2410" customWidth="1"/>
    <col min="34" max="34" width="8" style="2410" customWidth="1"/>
    <col min="35" max="35" width="21" style="2410" customWidth="1"/>
    <col min="36" max="36" width="8" style="2410" customWidth="1"/>
    <col min="37" max="37" width="8" style="2423" customWidth="1"/>
    <col min="38" max="64" width="8" style="2410" customWidth="1"/>
    <col min="65" max="65" width="9.140625" style="2410" hidden="1"/>
  </cols>
  <sheetData>
    <row r="1" spans="1:65" s="2420"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421" customFormat="1" ht="11.25" hidden="1" customHeight="1">
      <c r="L2" s="1471" t="s">
        <v>270</v>
      </c>
      <c r="M2" s="1471" t="s">
        <v>271</v>
      </c>
      <c r="R2" s="1471" t="s">
        <v>272</v>
      </c>
      <c r="S2" s="1471" t="s">
        <v>271</v>
      </c>
      <c r="X2" s="1471" t="s">
        <v>270</v>
      </c>
      <c r="Y2" s="1471" t="s">
        <v>271</v>
      </c>
      <c r="AD2" s="1471" t="s">
        <v>270</v>
      </c>
      <c r="AE2" s="1471" t="s">
        <v>271</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422" customFormat="1" ht="11.45" customHeight="1">
      <c r="AJ3" s="1492"/>
      <c r="AK3" s="243"/>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409" customFormat="1" ht="34.5" customHeight="1">
      <c r="A4" s="1074"/>
      <c r="B4" s="1073"/>
      <c r="C4" s="1433"/>
      <c r="D4" s="2572" t="s">
        <v>273</v>
      </c>
      <c r="E4" s="2572"/>
      <c r="F4" s="2572"/>
      <c r="G4" s="2572"/>
      <c r="H4" s="2572"/>
      <c r="I4" s="2572"/>
      <c r="J4" s="2572"/>
      <c r="K4" s="635"/>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3">
        <v>33</v>
      </c>
    </row>
    <row r="5" spans="1:65" s="2409" customFormat="1" ht="14.65" customHeight="1">
      <c r="A5" s="1550"/>
      <c r="B5" s="1549"/>
      <c r="C5" s="1433"/>
      <c r="D5" s="2595" t="str">
        <f>IF(org=0,"Не определено",org)</f>
        <v>ПАО "ТГК-1" (филиал "Кольский")</v>
      </c>
      <c r="E5" s="2595"/>
      <c r="F5" s="2595"/>
      <c r="G5" s="2595"/>
      <c r="H5" s="2595"/>
      <c r="I5" s="2595"/>
      <c r="J5" s="2595"/>
      <c r="K5" s="635"/>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409" customFormat="1" ht="14.65" customHeight="1">
      <c r="A6" s="1074"/>
      <c r="B6" s="1073"/>
      <c r="C6" s="1433"/>
      <c r="D6" s="635"/>
      <c r="E6" s="635"/>
      <c r="F6" s="635"/>
      <c r="G6" s="635"/>
      <c r="H6" s="635"/>
      <c r="I6" s="635"/>
      <c r="J6" s="635"/>
      <c r="K6" s="635"/>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3">
        <v>14</v>
      </c>
    </row>
    <row r="7" spans="1:65" s="2420"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514" t="s">
        <v>84</v>
      </c>
      <c r="E8" s="2514" t="s">
        <v>98</v>
      </c>
      <c r="F8" s="2574" t="s">
        <v>115</v>
      </c>
      <c r="G8" s="2575"/>
      <c r="H8" s="2574" t="s">
        <v>84</v>
      </c>
      <c r="I8" s="2575"/>
      <c r="J8" s="2514" t="s">
        <v>116</v>
      </c>
      <c r="K8" s="1474"/>
      <c r="L8" s="2573" t="s">
        <v>274</v>
      </c>
      <c r="M8" s="2573"/>
      <c r="N8" s="2573"/>
      <c r="O8" s="2573"/>
      <c r="P8" s="2573"/>
      <c r="Q8" s="1475"/>
      <c r="R8" s="2496" t="s">
        <v>275</v>
      </c>
      <c r="S8" s="2501"/>
      <c r="T8" s="2501"/>
      <c r="U8" s="2501"/>
      <c r="V8" s="2501"/>
      <c r="W8" s="1475"/>
      <c r="X8" s="2514" t="s">
        <v>276</v>
      </c>
      <c r="Y8" s="2514"/>
      <c r="Z8" s="2514"/>
      <c r="AA8" s="2514"/>
      <c r="AB8" s="2514"/>
      <c r="AC8" s="1476"/>
      <c r="AD8" s="2514" t="s">
        <v>277</v>
      </c>
      <c r="AE8" s="2514"/>
      <c r="AF8" s="2514"/>
      <c r="AG8" s="2514"/>
      <c r="AH8" s="2496"/>
      <c r="AI8" s="2514" t="s">
        <v>278</v>
      </c>
      <c r="AJ8" s="1492"/>
      <c r="BM8" s="230">
        <v>32</v>
      </c>
    </row>
    <row r="9" spans="1:65" ht="23.25" customHeight="1">
      <c r="D9" s="2514"/>
      <c r="E9" s="2514"/>
      <c r="F9" s="2573" t="s">
        <v>85</v>
      </c>
      <c r="G9" s="2573" t="s">
        <v>121</v>
      </c>
      <c r="H9" s="2576"/>
      <c r="I9" s="2577"/>
      <c r="J9" s="2496"/>
      <c r="K9" s="1477"/>
      <c r="L9" s="2514" t="s">
        <v>279</v>
      </c>
      <c r="M9" s="2496"/>
      <c r="N9" s="2574" t="s">
        <v>84</v>
      </c>
      <c r="O9" s="2575"/>
      <c r="P9" s="2514" t="s">
        <v>122</v>
      </c>
      <c r="Q9" s="1474"/>
      <c r="R9" s="2514" t="s">
        <v>279</v>
      </c>
      <c r="S9" s="2496"/>
      <c r="T9" s="2574" t="s">
        <v>84</v>
      </c>
      <c r="U9" s="2575"/>
      <c r="V9" s="2514" t="s">
        <v>122</v>
      </c>
      <c r="W9" s="1474"/>
      <c r="X9" s="2514" t="s">
        <v>279</v>
      </c>
      <c r="Y9" s="2496"/>
      <c r="Z9" s="2574" t="s">
        <v>84</v>
      </c>
      <c r="AA9" s="2575"/>
      <c r="AB9" s="2514" t="s">
        <v>280</v>
      </c>
      <c r="AC9" s="1474"/>
      <c r="AD9" s="2514" t="s">
        <v>279</v>
      </c>
      <c r="AE9" s="2496"/>
      <c r="AF9" s="2574" t="s">
        <v>84</v>
      </c>
      <c r="AG9" s="2575"/>
      <c r="AH9" s="2496" t="s">
        <v>280</v>
      </c>
      <c r="AI9" s="2514"/>
      <c r="AJ9" s="1492"/>
      <c r="BM9" s="230">
        <v>22</v>
      </c>
    </row>
    <row r="10" spans="1:65" ht="24" customHeight="1">
      <c r="D10" s="2573"/>
      <c r="E10" s="2573"/>
      <c r="F10" s="2578"/>
      <c r="G10" s="2578"/>
      <c r="H10" s="2579"/>
      <c r="I10" s="2580"/>
      <c r="J10" s="2574"/>
      <c r="K10" s="1477"/>
      <c r="L10" s="1496" t="s">
        <v>281</v>
      </c>
      <c r="M10" s="1491" t="s">
        <v>282</v>
      </c>
      <c r="N10" s="2576"/>
      <c r="O10" s="2577"/>
      <c r="P10" s="2573"/>
      <c r="Q10" s="1474"/>
      <c r="R10" s="1496" t="s">
        <v>281</v>
      </c>
      <c r="S10" s="1491" t="s">
        <v>282</v>
      </c>
      <c r="T10" s="2576"/>
      <c r="U10" s="2577"/>
      <c r="V10" s="2573"/>
      <c r="W10" s="1474"/>
      <c r="X10" s="1496" t="s">
        <v>281</v>
      </c>
      <c r="Y10" s="1491" t="s">
        <v>282</v>
      </c>
      <c r="Z10" s="2576"/>
      <c r="AA10" s="2577"/>
      <c r="AB10" s="2573"/>
      <c r="AC10" s="1474"/>
      <c r="AD10" s="1496" t="s">
        <v>281</v>
      </c>
      <c r="AE10" s="1491" t="s">
        <v>282</v>
      </c>
      <c r="AF10" s="2576"/>
      <c r="AG10" s="2577"/>
      <c r="AH10" s="2574"/>
      <c r="AI10" s="2573"/>
      <c r="AJ10" s="1492"/>
      <c r="AK10" s="191" t="s">
        <v>283</v>
      </c>
      <c r="AL10" s="191" t="s">
        <v>123</v>
      </c>
      <c r="BM10" s="230">
        <v>23</v>
      </c>
    </row>
    <row r="11" spans="1:65" ht="15" customHeight="1">
      <c r="D11" s="2581" t="s">
        <v>102</v>
      </c>
      <c r="E11" s="2583" t="s">
        <v>284</v>
      </c>
      <c r="F11" s="2583" t="s">
        <v>285</v>
      </c>
      <c r="G11" s="2586" t="s">
        <v>19</v>
      </c>
      <c r="H11" s="1517"/>
      <c r="I11" s="2588"/>
      <c r="J11" s="2542"/>
      <c r="K11" s="1432"/>
      <c r="L11" s="2534"/>
      <c r="M11" s="2534"/>
      <c r="N11" s="1502"/>
      <c r="O11" s="2534"/>
      <c r="P11" s="2542"/>
      <c r="Q11" s="1503"/>
      <c r="R11" s="2534"/>
      <c r="S11" s="2534"/>
      <c r="T11" s="1504"/>
      <c r="U11" s="2534"/>
      <c r="V11" s="2542"/>
      <c r="W11" s="1505"/>
      <c r="X11" s="2534"/>
      <c r="Y11" s="2534"/>
      <c r="Z11" s="1502"/>
      <c r="AA11" s="2534"/>
      <c r="AB11" s="2542"/>
      <c r="AC11" s="1506"/>
      <c r="AD11" s="2534"/>
      <c r="AE11" s="2534"/>
      <c r="AF11" s="1431"/>
      <c r="AG11" s="1431"/>
      <c r="AH11" s="1507"/>
      <c r="AI11" s="1214"/>
      <c r="AJ11" s="1492"/>
      <c r="BM11" s="230">
        <v>14</v>
      </c>
    </row>
    <row r="12" spans="1:65" ht="14.65" customHeight="1">
      <c r="D12" s="2581"/>
      <c r="E12" s="2583"/>
      <c r="F12" s="2583"/>
      <c r="G12" s="2587"/>
      <c r="H12" s="1518"/>
      <c r="I12" s="2589"/>
      <c r="J12" s="2543"/>
      <c r="K12" s="1528"/>
      <c r="L12" s="2535"/>
      <c r="M12" s="2535"/>
      <c r="N12" s="1508"/>
      <c r="O12" s="2535"/>
      <c r="P12" s="2543"/>
      <c r="Q12" s="1509"/>
      <c r="R12" s="2535"/>
      <c r="S12" s="2535"/>
      <c r="T12" s="1510"/>
      <c r="U12" s="2535"/>
      <c r="V12" s="2543"/>
      <c r="W12" s="1511"/>
      <c r="X12" s="2535"/>
      <c r="Y12" s="2535"/>
      <c r="Z12" s="1508"/>
      <c r="AA12" s="2535"/>
      <c r="AB12" s="2543"/>
      <c r="AC12" s="1512"/>
      <c r="AD12" s="2535"/>
      <c r="AE12" s="2535"/>
      <c r="AF12" s="1513"/>
      <c r="AG12" s="1513"/>
      <c r="AH12" s="2592"/>
      <c r="AI12" s="2593"/>
      <c r="AJ12" s="1492"/>
      <c r="BM12" s="230">
        <v>14</v>
      </c>
    </row>
    <row r="13" spans="1:65" ht="14.65" customHeight="1">
      <c r="D13" s="2581"/>
      <c r="E13" s="2583"/>
      <c r="F13" s="2583"/>
      <c r="G13" s="2587"/>
      <c r="H13" s="1518"/>
      <c r="I13" s="2589"/>
      <c r="J13" s="2543"/>
      <c r="K13" s="1528"/>
      <c r="L13" s="2535"/>
      <c r="M13" s="2535"/>
      <c r="N13" s="1508"/>
      <c r="O13" s="2535"/>
      <c r="P13" s="2543"/>
      <c r="Q13" s="1509"/>
      <c r="R13" s="2535"/>
      <c r="S13" s="2535"/>
      <c r="T13" s="1510"/>
      <c r="U13" s="2535"/>
      <c r="V13" s="2543"/>
      <c r="W13" s="1511"/>
      <c r="X13" s="2535"/>
      <c r="Y13" s="2535"/>
      <c r="Z13" s="1430"/>
      <c r="AA13" s="1513"/>
      <c r="AB13" s="2592"/>
      <c r="AC13" s="2592"/>
      <c r="AD13" s="2592"/>
      <c r="AE13" s="2592"/>
      <c r="AF13" s="2592"/>
      <c r="AG13" s="2592"/>
      <c r="AH13" s="2592"/>
      <c r="AI13" s="2593"/>
      <c r="AJ13" s="1492"/>
      <c r="BM13" s="230">
        <v>14</v>
      </c>
    </row>
    <row r="14" spans="1:65" ht="14.65" customHeight="1">
      <c r="D14" s="2581"/>
      <c r="E14" s="2583"/>
      <c r="F14" s="2583"/>
      <c r="G14" s="2587"/>
      <c r="H14" s="1518"/>
      <c r="I14" s="2589"/>
      <c r="J14" s="2543"/>
      <c r="K14" s="1528"/>
      <c r="L14" s="2535"/>
      <c r="M14" s="2535"/>
      <c r="N14" s="1508"/>
      <c r="O14" s="2535"/>
      <c r="P14" s="2543"/>
      <c r="Q14" s="1509"/>
      <c r="R14" s="2535"/>
      <c r="S14" s="2535"/>
      <c r="T14" s="1514"/>
      <c r="U14" s="1515"/>
      <c r="V14" s="2592"/>
      <c r="W14" s="2592"/>
      <c r="X14" s="2592"/>
      <c r="Y14" s="2592"/>
      <c r="Z14" s="2592"/>
      <c r="AA14" s="2592"/>
      <c r="AB14" s="2592"/>
      <c r="AC14" s="2592"/>
      <c r="AD14" s="2592"/>
      <c r="AE14" s="2592"/>
      <c r="AF14" s="2592"/>
      <c r="AG14" s="2592"/>
      <c r="AH14" s="2592"/>
      <c r="AI14" s="2593"/>
      <c r="AJ14" s="1492"/>
      <c r="BM14" s="230">
        <v>14</v>
      </c>
    </row>
    <row r="15" spans="1:65" ht="11.45" customHeight="1">
      <c r="D15" s="2581"/>
      <c r="E15" s="2583"/>
      <c r="F15" s="2583"/>
      <c r="G15" s="2587"/>
      <c r="H15" s="1519"/>
      <c r="I15" s="2589"/>
      <c r="J15" s="2543"/>
      <c r="K15" s="1528"/>
      <c r="L15" s="2535"/>
      <c r="M15" s="2535"/>
      <c r="N15" s="1513"/>
      <c r="O15" s="1513"/>
      <c r="P15" s="2592"/>
      <c r="Q15" s="2592"/>
      <c r="R15" s="2592"/>
      <c r="S15" s="2592"/>
      <c r="T15" s="2592"/>
      <c r="U15" s="2592"/>
      <c r="V15" s="2592"/>
      <c r="W15" s="2592"/>
      <c r="X15" s="2592"/>
      <c r="Y15" s="2592"/>
      <c r="Z15" s="2592"/>
      <c r="AA15" s="2592"/>
      <c r="AB15" s="2592"/>
      <c r="AC15" s="2592"/>
      <c r="AD15" s="2592"/>
      <c r="AE15" s="2592"/>
      <c r="AF15" s="2592"/>
      <c r="AG15" s="2592"/>
      <c r="AH15" s="2592"/>
      <c r="AI15" s="2593"/>
      <c r="AJ15" s="1492"/>
      <c r="BM15" s="230">
        <v>11</v>
      </c>
    </row>
    <row r="16" spans="1:65" s="2422" customFormat="1" ht="11.45" customHeight="1">
      <c r="D16" s="2582"/>
      <c r="E16" s="2584"/>
      <c r="F16" s="2585"/>
      <c r="G16" s="2529"/>
      <c r="H16" s="1516"/>
      <c r="I16" s="1520"/>
      <c r="J16" s="2590"/>
      <c r="K16" s="2590"/>
      <c r="L16" s="2590"/>
      <c r="M16" s="2590"/>
      <c r="N16" s="2590"/>
      <c r="O16" s="2590"/>
      <c r="P16" s="2590"/>
      <c r="Q16" s="2590"/>
      <c r="R16" s="2590"/>
      <c r="S16" s="2590"/>
      <c r="T16" s="2590"/>
      <c r="U16" s="2590"/>
      <c r="V16" s="2590"/>
      <c r="W16" s="2590"/>
      <c r="X16" s="2590"/>
      <c r="Y16" s="2590"/>
      <c r="Z16" s="2590"/>
      <c r="AA16" s="2590"/>
      <c r="AB16" s="2590"/>
      <c r="AC16" s="2590"/>
      <c r="AD16" s="2590"/>
      <c r="AE16" s="2590"/>
      <c r="AF16" s="2590"/>
      <c r="AG16" s="2590"/>
      <c r="AH16" s="2590"/>
      <c r="AI16" s="2591"/>
      <c r="AJ16" s="1492"/>
      <c r="AK16" s="243"/>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581" t="s">
        <v>103</v>
      </c>
      <c r="E17" s="2583" t="s">
        <v>284</v>
      </c>
      <c r="F17" s="2583" t="s">
        <v>286</v>
      </c>
      <c r="G17" s="2586" t="s">
        <v>19</v>
      </c>
      <c r="H17" s="1517"/>
      <c r="I17" s="2588"/>
      <c r="J17" s="2542"/>
      <c r="K17" s="1432"/>
      <c r="L17" s="2534"/>
      <c r="M17" s="2534"/>
      <c r="N17" s="1502"/>
      <c r="O17" s="2534"/>
      <c r="P17" s="2542"/>
      <c r="Q17" s="1503"/>
      <c r="R17" s="2534"/>
      <c r="S17" s="2534"/>
      <c r="T17" s="1504"/>
      <c r="U17" s="2534"/>
      <c r="V17" s="2542"/>
      <c r="W17" s="1505"/>
      <c r="X17" s="2534"/>
      <c r="Y17" s="2534"/>
      <c r="Z17" s="1502"/>
      <c r="AA17" s="2534"/>
      <c r="AB17" s="2542"/>
      <c r="AC17" s="1506"/>
      <c r="AD17" s="2534"/>
      <c r="AE17" s="2534"/>
      <c r="AF17" s="1431"/>
      <c r="AG17" s="1431"/>
      <c r="AH17" s="1507"/>
      <c r="AI17" s="1214"/>
      <c r="AJ17" s="1492"/>
      <c r="BM17" s="230">
        <v>14</v>
      </c>
    </row>
    <row r="18" spans="4:65" ht="14.65" customHeight="1">
      <c r="D18" s="2581"/>
      <c r="E18" s="2583"/>
      <c r="F18" s="2583"/>
      <c r="G18" s="2587"/>
      <c r="H18" s="1518"/>
      <c r="I18" s="2589"/>
      <c r="J18" s="2543"/>
      <c r="K18" s="1501"/>
      <c r="L18" s="2535"/>
      <c r="M18" s="2535"/>
      <c r="N18" s="1508"/>
      <c r="O18" s="2535"/>
      <c r="P18" s="2543"/>
      <c r="Q18" s="1509"/>
      <c r="R18" s="2535"/>
      <c r="S18" s="2535"/>
      <c r="T18" s="1510"/>
      <c r="U18" s="2535"/>
      <c r="V18" s="2543"/>
      <c r="W18" s="1511"/>
      <c r="X18" s="2535"/>
      <c r="Y18" s="2535"/>
      <c r="Z18" s="1508"/>
      <c r="AA18" s="2535"/>
      <c r="AB18" s="2543"/>
      <c r="AC18" s="1512"/>
      <c r="AD18" s="2535"/>
      <c r="AE18" s="2535"/>
      <c r="AF18" s="1513"/>
      <c r="AG18" s="1513"/>
      <c r="AH18" s="2592"/>
      <c r="AI18" s="2593"/>
      <c r="AJ18" s="1492"/>
      <c r="BM18" s="230">
        <v>14</v>
      </c>
    </row>
    <row r="19" spans="4:65" ht="14.65" customHeight="1">
      <c r="D19" s="2581"/>
      <c r="E19" s="2583"/>
      <c r="F19" s="2583"/>
      <c r="G19" s="2587"/>
      <c r="H19" s="1518"/>
      <c r="I19" s="2589"/>
      <c r="J19" s="2543"/>
      <c r="K19" s="1501"/>
      <c r="L19" s="2535"/>
      <c r="M19" s="2535"/>
      <c r="N19" s="1508"/>
      <c r="O19" s="2535"/>
      <c r="P19" s="2543"/>
      <c r="Q19" s="1509"/>
      <c r="R19" s="2535"/>
      <c r="S19" s="2535"/>
      <c r="T19" s="1510"/>
      <c r="U19" s="2535"/>
      <c r="V19" s="2543"/>
      <c r="W19" s="1511"/>
      <c r="X19" s="2535"/>
      <c r="Y19" s="2535"/>
      <c r="Z19" s="1430"/>
      <c r="AA19" s="1513"/>
      <c r="AB19" s="2592"/>
      <c r="AC19" s="2592"/>
      <c r="AD19" s="2592"/>
      <c r="AE19" s="2592"/>
      <c r="AF19" s="2592"/>
      <c r="AG19" s="2592"/>
      <c r="AH19" s="2592"/>
      <c r="AI19" s="2593"/>
      <c r="AJ19" s="1492"/>
      <c r="BM19" s="230">
        <v>14</v>
      </c>
    </row>
    <row r="20" spans="4:65" ht="14.65" customHeight="1">
      <c r="D20" s="2581"/>
      <c r="E20" s="2583"/>
      <c r="F20" s="2583"/>
      <c r="G20" s="2587"/>
      <c r="H20" s="1518"/>
      <c r="I20" s="2589"/>
      <c r="J20" s="2543"/>
      <c r="K20" s="1501"/>
      <c r="L20" s="2535"/>
      <c r="M20" s="2535"/>
      <c r="N20" s="1508"/>
      <c r="O20" s="2535"/>
      <c r="P20" s="2543"/>
      <c r="Q20" s="1509"/>
      <c r="R20" s="2535"/>
      <c r="S20" s="2535"/>
      <c r="T20" s="1514"/>
      <c r="U20" s="1515"/>
      <c r="V20" s="2592"/>
      <c r="W20" s="2592"/>
      <c r="X20" s="2592"/>
      <c r="Y20" s="2592"/>
      <c r="Z20" s="2592"/>
      <c r="AA20" s="2592"/>
      <c r="AB20" s="2592"/>
      <c r="AC20" s="2592"/>
      <c r="AD20" s="2592"/>
      <c r="AE20" s="2592"/>
      <c r="AF20" s="2592"/>
      <c r="AG20" s="2592"/>
      <c r="AH20" s="2592"/>
      <c r="AI20" s="2593"/>
      <c r="AJ20" s="1492"/>
      <c r="BM20" s="230">
        <v>14</v>
      </c>
    </row>
    <row r="21" spans="4:65" ht="11.45" customHeight="1">
      <c r="D21" s="2581"/>
      <c r="E21" s="2583"/>
      <c r="F21" s="2583"/>
      <c r="G21" s="2587"/>
      <c r="H21" s="1519"/>
      <c r="I21" s="2589"/>
      <c r="J21" s="2543"/>
      <c r="K21" s="1501"/>
      <c r="L21" s="2535"/>
      <c r="M21" s="2535"/>
      <c r="N21" s="1513"/>
      <c r="O21" s="1513"/>
      <c r="P21" s="2592"/>
      <c r="Q21" s="2592"/>
      <c r="R21" s="2592"/>
      <c r="S21" s="2592"/>
      <c r="T21" s="2592"/>
      <c r="U21" s="2592"/>
      <c r="V21" s="2592"/>
      <c r="W21" s="2592"/>
      <c r="X21" s="2592"/>
      <c r="Y21" s="2592"/>
      <c r="Z21" s="2592"/>
      <c r="AA21" s="2592"/>
      <c r="AB21" s="2592"/>
      <c r="AC21" s="2592"/>
      <c r="AD21" s="2592"/>
      <c r="AE21" s="2592"/>
      <c r="AF21" s="2592"/>
      <c r="AG21" s="2592"/>
      <c r="AH21" s="2592"/>
      <c r="AI21" s="2593"/>
      <c r="AJ21" s="1492"/>
      <c r="BM21" s="230">
        <v>11</v>
      </c>
    </row>
    <row r="22" spans="4:65" s="2422" customFormat="1" ht="11.45" customHeight="1">
      <c r="D22" s="2582"/>
      <c r="E22" s="2584"/>
      <c r="F22" s="2585"/>
      <c r="G22" s="2529"/>
      <c r="H22" s="1516"/>
      <c r="I22" s="1520"/>
      <c r="J22" s="2590"/>
      <c r="K22" s="2590"/>
      <c r="L22" s="2590"/>
      <c r="M22" s="2590"/>
      <c r="N22" s="2590"/>
      <c r="O22" s="2590"/>
      <c r="P22" s="2590"/>
      <c r="Q22" s="2590"/>
      <c r="R22" s="2590"/>
      <c r="S22" s="2590"/>
      <c r="T22" s="2590"/>
      <c r="U22" s="2590"/>
      <c r="V22" s="2590"/>
      <c r="W22" s="2590"/>
      <c r="X22" s="2590"/>
      <c r="Y22" s="2590"/>
      <c r="Z22" s="2590"/>
      <c r="AA22" s="2590"/>
      <c r="AB22" s="2590"/>
      <c r="AC22" s="2590"/>
      <c r="AD22" s="2590"/>
      <c r="AE22" s="2590"/>
      <c r="AF22" s="2590"/>
      <c r="AG22" s="2590"/>
      <c r="AH22" s="2590"/>
      <c r="AI22" s="2591"/>
      <c r="AJ22" s="1492"/>
      <c r="AK22" s="243"/>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581" t="s">
        <v>86</v>
      </c>
      <c r="E23" s="2583" t="s">
        <v>284</v>
      </c>
      <c r="F23" s="2583" t="s">
        <v>287</v>
      </c>
      <c r="G23" s="2586" t="s">
        <v>19</v>
      </c>
      <c r="H23" s="1517"/>
      <c r="I23" s="2588"/>
      <c r="J23" s="2542"/>
      <c r="K23" s="1432"/>
      <c r="L23" s="2534"/>
      <c r="M23" s="2534"/>
      <c r="N23" s="1502"/>
      <c r="O23" s="2534"/>
      <c r="P23" s="2542"/>
      <c r="Q23" s="1503"/>
      <c r="R23" s="2534"/>
      <c r="S23" s="2534"/>
      <c r="T23" s="1504"/>
      <c r="U23" s="2534"/>
      <c r="V23" s="2542"/>
      <c r="W23" s="1505"/>
      <c r="X23" s="2534"/>
      <c r="Y23" s="2534"/>
      <c r="Z23" s="1502"/>
      <c r="AA23" s="2534"/>
      <c r="AB23" s="2542"/>
      <c r="AC23" s="1506"/>
      <c r="AD23" s="2534"/>
      <c r="AE23" s="2534"/>
      <c r="AF23" s="1431"/>
      <c r="AG23" s="1431"/>
      <c r="AH23" s="1507"/>
      <c r="AI23" s="1214"/>
      <c r="AJ23" s="1492"/>
      <c r="AK23" s="243" t="s">
        <v>94</v>
      </c>
      <c r="BM23" s="230">
        <v>14</v>
      </c>
    </row>
    <row r="24" spans="4:65" ht="14.65" customHeight="1">
      <c r="D24" s="2581"/>
      <c r="E24" s="2583"/>
      <c r="F24" s="2583"/>
      <c r="G24" s="2587"/>
      <c r="H24" s="1518"/>
      <c r="I24" s="2589"/>
      <c r="J24" s="2543"/>
      <c r="K24" s="1528"/>
      <c r="L24" s="2535"/>
      <c r="M24" s="2535"/>
      <c r="N24" s="1508"/>
      <c r="O24" s="2535"/>
      <c r="P24" s="2543"/>
      <c r="Q24" s="1509"/>
      <c r="R24" s="2535"/>
      <c r="S24" s="2535"/>
      <c r="T24" s="1510"/>
      <c r="U24" s="2535"/>
      <c r="V24" s="2543"/>
      <c r="W24" s="1511"/>
      <c r="X24" s="2535"/>
      <c r="Y24" s="2535"/>
      <c r="Z24" s="1508"/>
      <c r="AA24" s="2535"/>
      <c r="AB24" s="2543"/>
      <c r="AC24" s="1512"/>
      <c r="AD24" s="2535"/>
      <c r="AE24" s="2535"/>
      <c r="AF24" s="1513"/>
      <c r="AG24" s="1513"/>
      <c r="AH24" s="2592"/>
      <c r="AI24" s="2593"/>
      <c r="AJ24" s="1492"/>
      <c r="BM24" s="230">
        <v>14</v>
      </c>
    </row>
    <row r="25" spans="4:65" ht="14.65" customHeight="1">
      <c r="D25" s="2581"/>
      <c r="E25" s="2583"/>
      <c r="F25" s="2583"/>
      <c r="G25" s="2587"/>
      <c r="H25" s="1518"/>
      <c r="I25" s="2589"/>
      <c r="J25" s="2543"/>
      <c r="K25" s="1528"/>
      <c r="L25" s="2535"/>
      <c r="M25" s="2535"/>
      <c r="N25" s="1508"/>
      <c r="O25" s="2535"/>
      <c r="P25" s="2543"/>
      <c r="Q25" s="1509"/>
      <c r="R25" s="2535"/>
      <c r="S25" s="2535"/>
      <c r="T25" s="1510"/>
      <c r="U25" s="2535"/>
      <c r="V25" s="2543"/>
      <c r="W25" s="1511"/>
      <c r="X25" s="2535"/>
      <c r="Y25" s="2535"/>
      <c r="Z25" s="1430"/>
      <c r="AA25" s="1513"/>
      <c r="AB25" s="2592"/>
      <c r="AC25" s="2592"/>
      <c r="AD25" s="2592"/>
      <c r="AE25" s="2592"/>
      <c r="AF25" s="2592"/>
      <c r="AG25" s="2592"/>
      <c r="AH25" s="2592"/>
      <c r="AI25" s="2593"/>
      <c r="AJ25" s="1492"/>
      <c r="BM25" s="230">
        <v>14</v>
      </c>
    </row>
    <row r="26" spans="4:65" ht="14.65" customHeight="1">
      <c r="D26" s="2581"/>
      <c r="E26" s="2583"/>
      <c r="F26" s="2583"/>
      <c r="G26" s="2587"/>
      <c r="H26" s="1518"/>
      <c r="I26" s="2589"/>
      <c r="J26" s="2543"/>
      <c r="K26" s="1528"/>
      <c r="L26" s="2535"/>
      <c r="M26" s="2535"/>
      <c r="N26" s="1508"/>
      <c r="O26" s="2535"/>
      <c r="P26" s="2543"/>
      <c r="Q26" s="1509"/>
      <c r="R26" s="2535"/>
      <c r="S26" s="2535"/>
      <c r="T26" s="1514"/>
      <c r="U26" s="1515"/>
      <c r="V26" s="2592"/>
      <c r="W26" s="2592"/>
      <c r="X26" s="2592"/>
      <c r="Y26" s="2592"/>
      <c r="Z26" s="2592"/>
      <c r="AA26" s="2592"/>
      <c r="AB26" s="2592"/>
      <c r="AC26" s="2592"/>
      <c r="AD26" s="2592"/>
      <c r="AE26" s="2592"/>
      <c r="AF26" s="2592"/>
      <c r="AG26" s="2592"/>
      <c r="AH26" s="2592"/>
      <c r="AI26" s="2593"/>
      <c r="AJ26" s="1492"/>
      <c r="BM26" s="230">
        <v>14</v>
      </c>
    </row>
    <row r="27" spans="4:65" ht="11.45" customHeight="1">
      <c r="D27" s="2581"/>
      <c r="E27" s="2583"/>
      <c r="F27" s="2583"/>
      <c r="G27" s="2587"/>
      <c r="H27" s="1519"/>
      <c r="I27" s="2589"/>
      <c r="J27" s="2543"/>
      <c r="K27" s="1528"/>
      <c r="L27" s="2535"/>
      <c r="M27" s="2535"/>
      <c r="N27" s="1513"/>
      <c r="O27" s="1513"/>
      <c r="P27" s="2592"/>
      <c r="Q27" s="2592"/>
      <c r="R27" s="2592"/>
      <c r="S27" s="2592"/>
      <c r="T27" s="2592"/>
      <c r="U27" s="2592"/>
      <c r="V27" s="2592"/>
      <c r="W27" s="2592"/>
      <c r="X27" s="2592"/>
      <c r="Y27" s="2592"/>
      <c r="Z27" s="2592"/>
      <c r="AA27" s="2592"/>
      <c r="AB27" s="2592"/>
      <c r="AC27" s="2592"/>
      <c r="AD27" s="2592"/>
      <c r="AE27" s="2592"/>
      <c r="AF27" s="2592"/>
      <c r="AG27" s="2592"/>
      <c r="AH27" s="2592"/>
      <c r="AI27" s="2593"/>
      <c r="AJ27" s="1492"/>
      <c r="BM27" s="230">
        <v>11</v>
      </c>
    </row>
    <row r="28" spans="4:65" s="2422" customFormat="1" ht="11.45" customHeight="1">
      <c r="D28" s="2582"/>
      <c r="E28" s="2584"/>
      <c r="F28" s="2585"/>
      <c r="G28" s="2529"/>
      <c r="H28" s="1516"/>
      <c r="I28" s="1520"/>
      <c r="J28" s="2590"/>
      <c r="K28" s="2590"/>
      <c r="L28" s="2590"/>
      <c r="M28" s="2590"/>
      <c r="N28" s="2590"/>
      <c r="O28" s="2590"/>
      <c r="P28" s="2590"/>
      <c r="Q28" s="2590"/>
      <c r="R28" s="2590"/>
      <c r="S28" s="2590"/>
      <c r="T28" s="2590"/>
      <c r="U28" s="2590"/>
      <c r="V28" s="2590"/>
      <c r="W28" s="2590"/>
      <c r="X28" s="2590"/>
      <c r="Y28" s="2590"/>
      <c r="Z28" s="2590"/>
      <c r="AA28" s="2590"/>
      <c r="AB28" s="2590"/>
      <c r="AC28" s="2590"/>
      <c r="AD28" s="2590"/>
      <c r="AE28" s="2590"/>
      <c r="AF28" s="2590"/>
      <c r="AG28" s="2590"/>
      <c r="AH28" s="2590"/>
      <c r="AI28" s="2591"/>
      <c r="AJ28" s="1492"/>
      <c r="AK28" s="243"/>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581" t="s">
        <v>87</v>
      </c>
      <c r="E29" s="2583" t="s">
        <v>284</v>
      </c>
      <c r="F29" s="2583" t="s">
        <v>288</v>
      </c>
      <c r="G29" s="2586" t="s">
        <v>19</v>
      </c>
      <c r="H29" s="1517"/>
      <c r="I29" s="2588"/>
      <c r="J29" s="2542"/>
      <c r="K29" s="1432"/>
      <c r="L29" s="2534"/>
      <c r="M29" s="2534"/>
      <c r="N29" s="1502"/>
      <c r="O29" s="2534"/>
      <c r="P29" s="2542"/>
      <c r="Q29" s="1503"/>
      <c r="R29" s="2534"/>
      <c r="S29" s="2534"/>
      <c r="T29" s="1504"/>
      <c r="U29" s="2534"/>
      <c r="V29" s="2542"/>
      <c r="W29" s="1505"/>
      <c r="X29" s="2534"/>
      <c r="Y29" s="2534"/>
      <c r="Z29" s="1502"/>
      <c r="AA29" s="2534"/>
      <c r="AB29" s="2542"/>
      <c r="AC29" s="1506"/>
      <c r="AD29" s="2534"/>
      <c r="AE29" s="2534"/>
      <c r="AF29" s="1431"/>
      <c r="AG29" s="1431"/>
      <c r="AH29" s="1507"/>
      <c r="AI29" s="1214"/>
      <c r="AJ29" s="1492"/>
      <c r="BM29" s="230">
        <v>14</v>
      </c>
    </row>
    <row r="30" spans="4:65" ht="14.65" customHeight="1">
      <c r="D30" s="2581"/>
      <c r="E30" s="2583"/>
      <c r="F30" s="2583"/>
      <c r="G30" s="2587"/>
      <c r="H30" s="1518"/>
      <c r="I30" s="2589"/>
      <c r="J30" s="2543"/>
      <c r="K30" s="1501"/>
      <c r="L30" s="2535"/>
      <c r="M30" s="2535"/>
      <c r="N30" s="1508"/>
      <c r="O30" s="2535"/>
      <c r="P30" s="2543"/>
      <c r="Q30" s="1509"/>
      <c r="R30" s="2535"/>
      <c r="S30" s="2535"/>
      <c r="T30" s="1510"/>
      <c r="U30" s="2535"/>
      <c r="V30" s="2543"/>
      <c r="W30" s="1511"/>
      <c r="X30" s="2535"/>
      <c r="Y30" s="2535"/>
      <c r="Z30" s="1508"/>
      <c r="AA30" s="2535"/>
      <c r="AB30" s="2543"/>
      <c r="AC30" s="1512"/>
      <c r="AD30" s="2535"/>
      <c r="AE30" s="2535"/>
      <c r="AF30" s="1513"/>
      <c r="AG30" s="1513"/>
      <c r="AH30" s="2592"/>
      <c r="AI30" s="2593"/>
      <c r="AJ30" s="1492"/>
      <c r="BM30" s="230">
        <v>14</v>
      </c>
    </row>
    <row r="31" spans="4:65" ht="14.65" customHeight="1">
      <c r="D31" s="2581"/>
      <c r="E31" s="2583"/>
      <c r="F31" s="2583"/>
      <c r="G31" s="2587"/>
      <c r="H31" s="1518"/>
      <c r="I31" s="2589"/>
      <c r="J31" s="2543"/>
      <c r="K31" s="1501"/>
      <c r="L31" s="2535"/>
      <c r="M31" s="2535"/>
      <c r="N31" s="1508"/>
      <c r="O31" s="2535"/>
      <c r="P31" s="2543"/>
      <c r="Q31" s="1509"/>
      <c r="R31" s="2535"/>
      <c r="S31" s="2535"/>
      <c r="T31" s="1510"/>
      <c r="U31" s="2535"/>
      <c r="V31" s="2543"/>
      <c r="W31" s="1511"/>
      <c r="X31" s="2535"/>
      <c r="Y31" s="2535"/>
      <c r="Z31" s="1430"/>
      <c r="AA31" s="1513"/>
      <c r="AB31" s="2592"/>
      <c r="AC31" s="2592"/>
      <c r="AD31" s="2592"/>
      <c r="AE31" s="2592"/>
      <c r="AF31" s="2592"/>
      <c r="AG31" s="2592"/>
      <c r="AH31" s="2592"/>
      <c r="AI31" s="2593"/>
      <c r="AJ31" s="1492"/>
      <c r="BM31" s="230">
        <v>14</v>
      </c>
    </row>
    <row r="32" spans="4:65" ht="14.65" customHeight="1">
      <c r="D32" s="2581"/>
      <c r="E32" s="2583"/>
      <c r="F32" s="2583"/>
      <c r="G32" s="2587"/>
      <c r="H32" s="1518"/>
      <c r="I32" s="2589"/>
      <c r="J32" s="2543"/>
      <c r="K32" s="1501"/>
      <c r="L32" s="2535"/>
      <c r="M32" s="2535"/>
      <c r="N32" s="1508"/>
      <c r="O32" s="2535"/>
      <c r="P32" s="2543"/>
      <c r="Q32" s="1509"/>
      <c r="R32" s="2535"/>
      <c r="S32" s="2535"/>
      <c r="T32" s="1514"/>
      <c r="U32" s="1515"/>
      <c r="V32" s="2592"/>
      <c r="W32" s="2592"/>
      <c r="X32" s="2592"/>
      <c r="Y32" s="2592"/>
      <c r="Z32" s="2592"/>
      <c r="AA32" s="2592"/>
      <c r="AB32" s="2592"/>
      <c r="AC32" s="2592"/>
      <c r="AD32" s="2592"/>
      <c r="AE32" s="2592"/>
      <c r="AF32" s="2592"/>
      <c r="AG32" s="2592"/>
      <c r="AH32" s="2592"/>
      <c r="AI32" s="2593"/>
      <c r="AJ32" s="1492"/>
      <c r="BM32" s="230">
        <v>14</v>
      </c>
    </row>
    <row r="33" spans="4:65" ht="11.45" customHeight="1">
      <c r="D33" s="2581"/>
      <c r="E33" s="2583"/>
      <c r="F33" s="2583"/>
      <c r="G33" s="2587"/>
      <c r="H33" s="1519"/>
      <c r="I33" s="2589"/>
      <c r="J33" s="2543"/>
      <c r="K33" s="1501"/>
      <c r="L33" s="2535"/>
      <c r="M33" s="2535"/>
      <c r="N33" s="1513"/>
      <c r="O33" s="1513"/>
      <c r="P33" s="2592"/>
      <c r="Q33" s="2592"/>
      <c r="R33" s="2592"/>
      <c r="S33" s="2592"/>
      <c r="T33" s="2592"/>
      <c r="U33" s="2592"/>
      <c r="V33" s="2592"/>
      <c r="W33" s="2592"/>
      <c r="X33" s="2592"/>
      <c r="Y33" s="2592"/>
      <c r="Z33" s="2592"/>
      <c r="AA33" s="2592"/>
      <c r="AB33" s="2592"/>
      <c r="AC33" s="2592"/>
      <c r="AD33" s="2592"/>
      <c r="AE33" s="2592"/>
      <c r="AF33" s="2592"/>
      <c r="AG33" s="2592"/>
      <c r="AH33" s="2592"/>
      <c r="AI33" s="2593"/>
      <c r="AJ33" s="1492"/>
      <c r="BM33" s="230">
        <v>11</v>
      </c>
    </row>
    <row r="34" spans="4:65" s="2422" customFormat="1" ht="11.45" customHeight="1">
      <c r="D34" s="2582"/>
      <c r="E34" s="2584"/>
      <c r="F34" s="2585"/>
      <c r="G34" s="2529"/>
      <c r="H34" s="1516"/>
      <c r="I34" s="1520"/>
      <c r="J34" s="2590"/>
      <c r="K34" s="2590"/>
      <c r="L34" s="2590"/>
      <c r="M34" s="2590"/>
      <c r="N34" s="2590"/>
      <c r="O34" s="2590"/>
      <c r="P34" s="2590"/>
      <c r="Q34" s="2590"/>
      <c r="R34" s="2590"/>
      <c r="S34" s="2590"/>
      <c r="T34" s="2590"/>
      <c r="U34" s="2590"/>
      <c r="V34" s="2590"/>
      <c r="W34" s="2590"/>
      <c r="X34" s="2590"/>
      <c r="Y34" s="2590"/>
      <c r="Z34" s="2590"/>
      <c r="AA34" s="2590"/>
      <c r="AB34" s="2590"/>
      <c r="AC34" s="2590"/>
      <c r="AD34" s="2590"/>
      <c r="AE34" s="2590"/>
      <c r="AF34" s="2590"/>
      <c r="AG34" s="2590"/>
      <c r="AH34" s="2590"/>
      <c r="AI34" s="2591"/>
      <c r="AJ34" s="1492"/>
      <c r="AK34" s="243"/>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581" t="s">
        <v>104</v>
      </c>
      <c r="E35" s="2583" t="s">
        <v>284</v>
      </c>
      <c r="F35" s="2583" t="s">
        <v>289</v>
      </c>
      <c r="G35" s="2586" t="s">
        <v>19</v>
      </c>
      <c r="H35" s="1517"/>
      <c r="I35" s="2588"/>
      <c r="J35" s="2542"/>
      <c r="K35" s="1432"/>
      <c r="L35" s="2534"/>
      <c r="M35" s="2534"/>
      <c r="N35" s="1502"/>
      <c r="O35" s="2534"/>
      <c r="P35" s="2542"/>
      <c r="Q35" s="1503"/>
      <c r="R35" s="2534"/>
      <c r="S35" s="2534"/>
      <c r="T35" s="1504"/>
      <c r="U35" s="2534"/>
      <c r="V35" s="2542"/>
      <c r="W35" s="1505"/>
      <c r="X35" s="2534"/>
      <c r="Y35" s="2534"/>
      <c r="Z35" s="1502"/>
      <c r="AA35" s="2534"/>
      <c r="AB35" s="2542"/>
      <c r="AC35" s="1506"/>
      <c r="AD35" s="2534"/>
      <c r="AE35" s="2534"/>
      <c r="AF35" s="1431"/>
      <c r="AG35" s="1431"/>
      <c r="AH35" s="1507"/>
      <c r="AI35" s="1214"/>
      <c r="AJ35" s="1492"/>
      <c r="BM35" s="230">
        <v>14</v>
      </c>
    </row>
    <row r="36" spans="4:65" ht="14.65" customHeight="1">
      <c r="D36" s="2581"/>
      <c r="E36" s="2583"/>
      <c r="F36" s="2583"/>
      <c r="G36" s="2587"/>
      <c r="H36" s="1518"/>
      <c r="I36" s="2589"/>
      <c r="J36" s="2543"/>
      <c r="K36" s="1501"/>
      <c r="L36" s="2535"/>
      <c r="M36" s="2535"/>
      <c r="N36" s="1508"/>
      <c r="O36" s="2535"/>
      <c r="P36" s="2543"/>
      <c r="Q36" s="1509"/>
      <c r="R36" s="2535"/>
      <c r="S36" s="2535"/>
      <c r="T36" s="1510"/>
      <c r="U36" s="2535"/>
      <c r="V36" s="2543"/>
      <c r="W36" s="1511"/>
      <c r="X36" s="2535"/>
      <c r="Y36" s="2535"/>
      <c r="Z36" s="1508"/>
      <c r="AA36" s="2535"/>
      <c r="AB36" s="2543"/>
      <c r="AC36" s="1512"/>
      <c r="AD36" s="2535"/>
      <c r="AE36" s="2535"/>
      <c r="AF36" s="1513"/>
      <c r="AG36" s="1513"/>
      <c r="AH36" s="2592"/>
      <c r="AI36" s="2593"/>
      <c r="AJ36" s="1492"/>
      <c r="BM36" s="230">
        <v>14</v>
      </c>
    </row>
    <row r="37" spans="4:65" ht="14.65" customHeight="1">
      <c r="D37" s="2581"/>
      <c r="E37" s="2583"/>
      <c r="F37" s="2583"/>
      <c r="G37" s="2587"/>
      <c r="H37" s="1518"/>
      <c r="I37" s="2589"/>
      <c r="J37" s="2543"/>
      <c r="K37" s="1501"/>
      <c r="L37" s="2535"/>
      <c r="M37" s="2535"/>
      <c r="N37" s="1508"/>
      <c r="O37" s="2535"/>
      <c r="P37" s="2543"/>
      <c r="Q37" s="1509"/>
      <c r="R37" s="2535"/>
      <c r="S37" s="2535"/>
      <c r="T37" s="1510"/>
      <c r="U37" s="2535"/>
      <c r="V37" s="2543"/>
      <c r="W37" s="1511"/>
      <c r="X37" s="2535"/>
      <c r="Y37" s="2535"/>
      <c r="Z37" s="1430"/>
      <c r="AA37" s="1513"/>
      <c r="AB37" s="2592"/>
      <c r="AC37" s="2592"/>
      <c r="AD37" s="2592"/>
      <c r="AE37" s="2592"/>
      <c r="AF37" s="2592"/>
      <c r="AG37" s="2592"/>
      <c r="AH37" s="2592"/>
      <c r="AI37" s="2593"/>
      <c r="AJ37" s="1492"/>
      <c r="BM37" s="230">
        <v>14</v>
      </c>
    </row>
    <row r="38" spans="4:65" ht="14.65" customHeight="1">
      <c r="D38" s="2581"/>
      <c r="E38" s="2583"/>
      <c r="F38" s="2583"/>
      <c r="G38" s="2587"/>
      <c r="H38" s="1518"/>
      <c r="I38" s="2589"/>
      <c r="J38" s="2543"/>
      <c r="K38" s="1501"/>
      <c r="L38" s="2535"/>
      <c r="M38" s="2535"/>
      <c r="N38" s="1508"/>
      <c r="O38" s="2535"/>
      <c r="P38" s="2543"/>
      <c r="Q38" s="1509"/>
      <c r="R38" s="2535"/>
      <c r="S38" s="2535"/>
      <c r="T38" s="1514"/>
      <c r="U38" s="1515"/>
      <c r="V38" s="2592"/>
      <c r="W38" s="2592"/>
      <c r="X38" s="2592"/>
      <c r="Y38" s="2592"/>
      <c r="Z38" s="2592"/>
      <c r="AA38" s="2592"/>
      <c r="AB38" s="2592"/>
      <c r="AC38" s="2592"/>
      <c r="AD38" s="2592"/>
      <c r="AE38" s="2592"/>
      <c r="AF38" s="2592"/>
      <c r="AG38" s="2592"/>
      <c r="AH38" s="2592"/>
      <c r="AI38" s="2593"/>
      <c r="AJ38" s="1492"/>
      <c r="BM38" s="230">
        <v>14</v>
      </c>
    </row>
    <row r="39" spans="4:65" ht="11.45" customHeight="1">
      <c r="D39" s="2581"/>
      <c r="E39" s="2583"/>
      <c r="F39" s="2583"/>
      <c r="G39" s="2587"/>
      <c r="H39" s="1519"/>
      <c r="I39" s="2589"/>
      <c r="J39" s="2543"/>
      <c r="K39" s="1501"/>
      <c r="L39" s="2535"/>
      <c r="M39" s="2535"/>
      <c r="N39" s="1513"/>
      <c r="O39" s="1513"/>
      <c r="P39" s="2592"/>
      <c r="Q39" s="2592"/>
      <c r="R39" s="2592"/>
      <c r="S39" s="2592"/>
      <c r="T39" s="2592"/>
      <c r="U39" s="2592"/>
      <c r="V39" s="2592"/>
      <c r="W39" s="2592"/>
      <c r="X39" s="2592"/>
      <c r="Y39" s="2592"/>
      <c r="Z39" s="2592"/>
      <c r="AA39" s="2592"/>
      <c r="AB39" s="2592"/>
      <c r="AC39" s="2592"/>
      <c r="AD39" s="2592"/>
      <c r="AE39" s="2592"/>
      <c r="AF39" s="2592"/>
      <c r="AG39" s="2592"/>
      <c r="AH39" s="2592"/>
      <c r="AI39" s="2593"/>
      <c r="AJ39" s="1492"/>
      <c r="BM39" s="230">
        <v>11</v>
      </c>
    </row>
    <row r="40" spans="4:65" s="2422" customFormat="1" ht="11.45" customHeight="1">
      <c r="D40" s="2581"/>
      <c r="E40" s="2583"/>
      <c r="F40" s="2594"/>
      <c r="G40" s="2529"/>
      <c r="H40" s="1516"/>
      <c r="I40" s="1520"/>
      <c r="J40" s="2590"/>
      <c r="K40" s="2590"/>
      <c r="L40" s="2590"/>
      <c r="M40" s="2590"/>
      <c r="N40" s="2590"/>
      <c r="O40" s="2590"/>
      <c r="P40" s="2590"/>
      <c r="Q40" s="2590"/>
      <c r="R40" s="2590"/>
      <c r="S40" s="2590"/>
      <c r="T40" s="2590"/>
      <c r="U40" s="2590"/>
      <c r="V40" s="2590"/>
      <c r="W40" s="2590"/>
      <c r="X40" s="2590"/>
      <c r="Y40" s="2590"/>
      <c r="Z40" s="2590"/>
      <c r="AA40" s="2590"/>
      <c r="AB40" s="2590"/>
      <c r="AC40" s="2590"/>
      <c r="AD40" s="2590"/>
      <c r="AE40" s="2590"/>
      <c r="AF40" s="2590"/>
      <c r="AG40" s="2590"/>
      <c r="AH40" s="2590"/>
      <c r="AI40" s="2591"/>
      <c r="AJ40" s="1492"/>
      <c r="AK40" s="243"/>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78</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410" customWidth="1"/>
    <col min="2" max="2" width="34.5703125" style="2410" customWidth="1"/>
    <col min="3" max="3" width="85" style="2410" customWidth="1"/>
    <col min="4" max="4" width="17" style="2410" customWidth="1"/>
    <col min="5" max="5" width="8" style="2410" customWidth="1"/>
    <col min="6" max="6" width="9.140625" style="2410" hidden="1"/>
  </cols>
  <sheetData>
    <row r="1" spans="1:6" ht="3" customHeight="1">
      <c r="F1" s="29" t="s">
        <v>14</v>
      </c>
    </row>
    <row r="2" spans="1:6" ht="22.5" customHeight="1">
      <c r="B2" s="2879" t="s">
        <v>1943</v>
      </c>
      <c r="C2" s="2879"/>
      <c r="D2" s="2879"/>
      <c r="E2" s="205"/>
      <c r="F2" s="29">
        <v>22</v>
      </c>
    </row>
    <row r="3" spans="1:6" ht="3" customHeight="1">
      <c r="F3" s="29">
        <v>3</v>
      </c>
    </row>
    <row r="4" spans="1:6" ht="23.25" customHeight="1">
      <c r="B4" s="1989" t="s">
        <v>1944</v>
      </c>
      <c r="C4" s="319" t="s">
        <v>1945</v>
      </c>
      <c r="D4" s="319" t="s">
        <v>1946</v>
      </c>
      <c r="F4" s="29">
        <v>22</v>
      </c>
    </row>
    <row r="5" spans="1:6" ht="11.25" hidden="1" customHeight="1">
      <c r="A5" s="29" t="s">
        <v>78</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410" customWidth="1"/>
    <col min="2" max="2" width="10" style="2410" customWidth="1"/>
    <col min="3" max="3" width="9.140625" style="2410"/>
    <col min="4" max="4" width="11.140625" style="2410" customWidth="1"/>
    <col min="5" max="5" width="16.5703125" style="2410" customWidth="1"/>
    <col min="6" max="6" width="16.28515625" style="2410" customWidth="1"/>
    <col min="7" max="7" width="19.140625" style="2410" customWidth="1"/>
    <col min="8" max="11" width="10" style="2410" customWidth="1"/>
    <col min="12" max="12" width="12.7109375" style="2410" customWidth="1"/>
    <col min="13" max="13" width="61.28515625" style="2410" customWidth="1"/>
    <col min="14" max="14" width="10" style="2410" customWidth="1"/>
    <col min="15" max="17" width="23.7109375" style="2410" customWidth="1"/>
    <col min="18" max="18" width="11.7109375" style="2410" customWidth="1"/>
    <col min="19" max="19" width="8.5703125" style="2410" customWidth="1"/>
    <col min="20" max="20" width="11.7109375" style="2410" customWidth="1"/>
    <col min="21" max="21" width="8.5703125" style="2410" customWidth="1"/>
    <col min="22" max="22" width="4.7109375" style="2410" customWidth="1"/>
    <col min="23" max="23" width="115.7109375" style="2410" customWidth="1"/>
    <col min="24" max="24" width="115.28515625" style="2410" customWidth="1"/>
    <col min="25" max="27" width="9.140625" style="2410"/>
    <col min="28" max="28" width="115.7109375" style="2410" customWidth="1"/>
    <col min="29" max="29" width="9.140625" style="2410"/>
    <col min="30" max="90" width="115.7109375" style="2410" customWidth="1"/>
    <col min="91" max="184" width="9.140625" style="2410"/>
  </cols>
  <sheetData>
    <row r="2" spans="1:80" s="2467" customFormat="1" ht="17.25" customHeight="1">
      <c r="A2" s="1732" t="s">
        <v>1947</v>
      </c>
    </row>
    <row r="4" spans="1:80" s="2465" customFormat="1" ht="15" customHeight="1">
      <c r="C4" s="1733"/>
      <c r="D4" s="53"/>
      <c r="E4" s="313"/>
    </row>
    <row r="6" spans="1:80" s="2467" customFormat="1" ht="17.25" customHeight="1">
      <c r="A6" s="1732" t="s">
        <v>1948</v>
      </c>
    </row>
    <row r="8" spans="1:80" s="2465" customFormat="1" ht="17.25" customHeight="1">
      <c r="C8" s="1734"/>
      <c r="D8" s="53"/>
      <c r="E8" s="54"/>
    </row>
    <row r="11" spans="1:80" s="2467" customFormat="1" ht="17.25" customHeight="1">
      <c r="A11" s="1732" t="s">
        <v>1949</v>
      </c>
    </row>
    <row r="13" spans="1:80" s="2409" customFormat="1" ht="15" customHeight="1">
      <c r="A13" s="2620">
        <v>1</v>
      </c>
      <c r="B13" s="1078"/>
      <c r="C13" s="731" t="s">
        <v>680</v>
      </c>
      <c r="D13" s="1735"/>
      <c r="E13" s="1722">
        <f>A13</f>
        <v>1</v>
      </c>
      <c r="F13" s="734"/>
      <c r="G13" s="476" t="str">
        <f>"Территория "&amp;E13</f>
        <v>Территория 1</v>
      </c>
      <c r="H13" s="722"/>
      <c r="I13" s="722"/>
      <c r="J13" s="719"/>
      <c r="K13" s="1542"/>
      <c r="L13" s="1542"/>
      <c r="M13" s="1542"/>
      <c r="N13" s="163"/>
      <c r="O13" s="1542"/>
      <c r="P13" s="162"/>
      <c r="Q13" s="162"/>
      <c r="R13" s="162"/>
      <c r="S13" s="162"/>
    </row>
    <row r="14" spans="1:80" s="2410" customFormat="1" ht="15" customHeight="1">
      <c r="A14" s="2620"/>
      <c r="B14" s="1078">
        <v>1</v>
      </c>
      <c r="C14" s="1078"/>
      <c r="D14" s="730"/>
      <c r="E14" s="1730" t="str">
        <f>A13&amp;"."&amp;B14</f>
        <v>1.1</v>
      </c>
      <c r="F14" s="733">
        <f>$F$20</f>
        <v>0</v>
      </c>
      <c r="G14" s="723"/>
      <c r="H14" s="723"/>
      <c r="I14" s="721"/>
      <c r="J14" s="1542"/>
      <c r="K14" s="1554"/>
      <c r="L14" s="1554"/>
      <c r="M14" s="1542" t="str">
        <f t="array" ref="M14">IF(ISERROR(MATCH(MID(N14,1,250),MID(note_ter,1,250),0)),"n","y")</f>
        <v>n</v>
      </c>
      <c r="N14" s="1554"/>
      <c r="O14" s="1542" t="str">
        <f>H14&amp;"("&amp;I14&amp;")"</f>
        <v>()</v>
      </c>
      <c r="P14" s="1078"/>
      <c r="Q14" s="1078"/>
      <c r="R14" s="356"/>
      <c r="S14" s="1078"/>
      <c r="T14" s="1078"/>
      <c r="U14" s="1078"/>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410" customFormat="1" ht="15" customHeight="1">
      <c r="A15" s="2620"/>
      <c r="B15" s="1078"/>
      <c r="C15" s="348"/>
      <c r="D15" s="731"/>
      <c r="E15" s="357"/>
      <c r="F15" s="114"/>
      <c r="G15" s="351" t="s">
        <v>95</v>
      </c>
      <c r="H15" s="124"/>
      <c r="I15" s="360"/>
      <c r="J15" s="1554"/>
      <c r="K15" s="1554"/>
      <c r="L15" s="1554"/>
      <c r="M15" s="1554"/>
      <c r="N15" s="1542"/>
      <c r="O15" s="1554"/>
      <c r="P15" s="1078"/>
      <c r="Q15" s="1078"/>
      <c r="R15" s="356"/>
      <c r="S15" s="1078"/>
      <c r="T15" s="1078"/>
      <c r="U15" s="1078"/>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467" customFormat="1" ht="17.25" customHeight="1">
      <c r="A17" s="1732" t="s">
        <v>1950</v>
      </c>
    </row>
    <row r="19" spans="1:80" s="2410" customFormat="1" ht="15" customHeight="1">
      <c r="A19" s="1797"/>
      <c r="B19" s="1284">
        <v>1</v>
      </c>
      <c r="C19" s="1284"/>
      <c r="D19" s="730" t="s">
        <v>680</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6"/>
      <c r="S19" s="1284"/>
      <c r="T19" s="1284"/>
      <c r="U19" s="1284"/>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410" customFormat="1" ht="15" customHeight="1">
      <c r="A21" s="1732" t="s">
        <v>1951</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410" customFormat="1" ht="15" customHeight="1">
      <c r="U22" s="122"/>
    </row>
    <row r="23" spans="1:80" s="2416" customFormat="1" ht="15" customHeight="1">
      <c r="A23" s="359"/>
      <c r="B23" s="359"/>
      <c r="C23" s="1645" t="s">
        <v>680</v>
      </c>
      <c r="D23" s="2525" t="s">
        <v>102</v>
      </c>
      <c r="E23" s="2526"/>
      <c r="F23" s="2524" t="s">
        <v>19</v>
      </c>
      <c r="G23" s="2899"/>
      <c r="H23" s="2514">
        <v>1</v>
      </c>
      <c r="I23" s="2901" t="str">
        <f>IF(U23="","",INDEX(TERRITORY_MR_LIST,MATCH(U23,TERRITORY_LIST_ID,0)))</f>
        <v/>
      </c>
      <c r="J23" s="2524" t="s">
        <v>19</v>
      </c>
      <c r="K23" s="762"/>
      <c r="L23" s="1699" t="s">
        <v>102</v>
      </c>
      <c r="M23" s="539"/>
      <c r="N23" s="540"/>
      <c r="O23" s="540"/>
      <c r="P23" s="540"/>
      <c r="Q23" s="540"/>
      <c r="R23" s="540"/>
      <c r="S23" s="540"/>
      <c r="T23" s="540"/>
      <c r="U23" s="541"/>
      <c r="V23" s="540"/>
      <c r="W23" s="540"/>
      <c r="X23" s="531"/>
      <c r="Y23" s="531" t="s">
        <v>111</v>
      </c>
      <c r="Z23" s="531">
        <v>1705000</v>
      </c>
      <c r="AA23" s="531"/>
      <c r="AB23" s="531"/>
      <c r="AC23" s="531"/>
      <c r="AD23" s="531"/>
      <c r="AE23" s="531"/>
      <c r="AF23" s="531"/>
      <c r="AG23" s="531"/>
      <c r="AH23" s="531"/>
      <c r="AI23" s="531"/>
      <c r="AJ23" s="531"/>
      <c r="AK23" s="531"/>
      <c r="AL23" s="531"/>
    </row>
    <row r="24" spans="1:80" s="2416" customFormat="1" ht="15" customHeight="1">
      <c r="A24" s="359"/>
      <c r="B24" s="359"/>
      <c r="C24" s="113"/>
      <c r="D24" s="2525"/>
      <c r="E24" s="2527"/>
      <c r="F24" s="2524"/>
      <c r="G24" s="2900"/>
      <c r="H24" s="2514"/>
      <c r="I24" s="2902"/>
      <c r="J24" s="2524"/>
      <c r="K24" s="357"/>
      <c r="L24" s="114"/>
      <c r="M24" s="543" t="s">
        <v>112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416" customFormat="1" ht="15" customHeight="1">
      <c r="A25" s="359"/>
      <c r="B25" s="359"/>
      <c r="C25" s="113"/>
      <c r="D25" s="2525"/>
      <c r="E25" s="2528"/>
      <c r="F25" s="2524"/>
      <c r="G25" s="357"/>
      <c r="H25" s="114"/>
      <c r="I25" s="516" t="s">
        <v>113</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410" customFormat="1" ht="15" customHeight="1">
      <c r="U26" s="122"/>
    </row>
    <row r="27" spans="1:80" s="2410" customFormat="1" ht="15" customHeight="1">
      <c r="A27" s="1732" t="s">
        <v>1952</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410" customFormat="1" ht="15" customHeight="1">
      <c r="U28" s="122"/>
    </row>
    <row r="29" spans="1:80" s="2416" customFormat="1" ht="15" customHeight="1">
      <c r="A29" s="359"/>
      <c r="B29" s="359"/>
      <c r="C29" s="113"/>
      <c r="D29" s="1736"/>
      <c r="E29" s="1736"/>
      <c r="F29" s="1736"/>
      <c r="G29" s="2903" t="s">
        <v>680</v>
      </c>
      <c r="H29" s="2495">
        <v>1</v>
      </c>
      <c r="I29" s="2904" t="str">
        <f>IF(U29="","",INDEX(TERRITORY_MR_LIST,MATCH(U29,TERRITORY_LIST_ID,0)))</f>
        <v/>
      </c>
      <c r="J29" s="2524" t="s">
        <v>19</v>
      </c>
      <c r="K29" s="762"/>
      <c r="L29" s="1699" t="s">
        <v>102</v>
      </c>
      <c r="M29" s="539"/>
      <c r="N29" s="540"/>
      <c r="O29" s="540"/>
      <c r="P29" s="540"/>
      <c r="Q29" s="540"/>
      <c r="R29" s="540"/>
      <c r="S29" s="540"/>
      <c r="T29" s="540"/>
      <c r="U29" s="541"/>
      <c r="V29" s="540"/>
      <c r="W29" s="540"/>
      <c r="X29" s="531"/>
      <c r="Y29" s="531" t="s">
        <v>111</v>
      </c>
      <c r="Z29" s="531">
        <v>1705000</v>
      </c>
      <c r="AA29" s="531"/>
      <c r="AB29" s="531"/>
      <c r="AC29" s="531"/>
      <c r="AD29" s="531"/>
      <c r="AE29" s="531"/>
      <c r="AF29" s="531"/>
      <c r="AG29" s="531"/>
      <c r="AH29" s="531"/>
      <c r="AI29" s="531"/>
      <c r="AJ29" s="531"/>
      <c r="AK29" s="531"/>
      <c r="AL29" s="531"/>
    </row>
    <row r="30" spans="1:80" s="2416" customFormat="1" ht="15" customHeight="1">
      <c r="A30" s="359"/>
      <c r="B30" s="359"/>
      <c r="C30" s="113"/>
      <c r="D30" s="1736"/>
      <c r="E30" s="1736"/>
      <c r="F30" s="1736"/>
      <c r="G30" s="2903"/>
      <c r="H30" s="2495"/>
      <c r="I30" s="2904"/>
      <c r="J30" s="2524"/>
      <c r="K30" s="357"/>
      <c r="L30" s="114"/>
      <c r="M30" s="543" t="s">
        <v>112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410" customFormat="1" ht="15" customHeight="1">
      <c r="U31" s="122"/>
    </row>
    <row r="32" spans="1:80" s="2410" customFormat="1" ht="15" customHeight="1">
      <c r="A32" s="1732" t="s">
        <v>1953</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410" customFormat="1" ht="15" customHeight="1">
      <c r="U33" s="122"/>
    </row>
    <row r="34" spans="1:38" s="2416" customFormat="1" ht="15" customHeight="1">
      <c r="A34" s="359"/>
      <c r="B34" s="359"/>
      <c r="C34" s="113"/>
      <c r="D34" s="1736"/>
      <c r="E34" s="1736"/>
      <c r="F34" s="1736"/>
      <c r="G34" s="1736"/>
      <c r="H34" s="1736"/>
      <c r="I34" s="1736"/>
      <c r="J34" s="1736"/>
      <c r="K34" s="1716" t="s">
        <v>680</v>
      </c>
      <c r="L34" s="1646" t="s">
        <v>102</v>
      </c>
      <c r="M34" s="741"/>
      <c r="N34" s="742"/>
      <c r="O34" s="540"/>
      <c r="P34" s="540"/>
      <c r="Q34" s="540"/>
      <c r="R34" s="540"/>
      <c r="S34" s="540"/>
      <c r="T34" s="540"/>
      <c r="U34" s="541"/>
      <c r="V34" s="540"/>
      <c r="W34" s="540"/>
      <c r="X34" s="531"/>
      <c r="Y34" s="531" t="s">
        <v>111</v>
      </c>
      <c r="Z34" s="531">
        <v>1705000</v>
      </c>
      <c r="AA34" s="531"/>
      <c r="AB34" s="531"/>
      <c r="AC34" s="531"/>
      <c r="AD34" s="531"/>
      <c r="AE34" s="531"/>
      <c r="AF34" s="531"/>
      <c r="AG34" s="531"/>
      <c r="AH34" s="531"/>
      <c r="AI34" s="531"/>
      <c r="AJ34" s="531"/>
      <c r="AK34" s="531"/>
      <c r="AL34" s="531"/>
    </row>
    <row r="35" spans="1:38" s="2410" customFormat="1" ht="15" customHeight="1">
      <c r="U35" s="122"/>
    </row>
    <row r="36" spans="1:38" s="2410" customFormat="1" ht="15" customHeight="1">
      <c r="U36" s="122"/>
    </row>
    <row r="37" spans="1:38" s="2467" customFormat="1" ht="11.25" customHeight="1">
      <c r="A37" s="1732" t="s">
        <v>1954</v>
      </c>
    </row>
    <row r="38" spans="1:38" ht="11.25" customHeight="1"/>
    <row r="39" spans="1:38" s="2428" customFormat="1" ht="22.5" customHeight="1">
      <c r="A39" s="1708"/>
      <c r="B39" s="393"/>
      <c r="C39" s="785"/>
      <c r="D39" s="376"/>
      <c r="E39" s="786"/>
      <c r="F39" s="1729"/>
      <c r="G39" s="1737"/>
      <c r="H39" s="411"/>
    </row>
    <row r="40" spans="1:38" ht="11.25" customHeight="1"/>
    <row r="41" spans="1:38" s="2467" customFormat="1" ht="11.25" customHeight="1">
      <c r="A41" s="1732" t="s">
        <v>1955</v>
      </c>
    </row>
    <row r="42" spans="1:38" ht="11.25" customHeight="1"/>
    <row r="43" spans="1:38" s="2428" customFormat="1" ht="22.5" customHeight="1">
      <c r="A43" s="393"/>
      <c r="B43" s="393"/>
      <c r="C43" s="393"/>
      <c r="D43" s="376"/>
      <c r="E43" s="786"/>
      <c r="F43" s="787"/>
      <c r="G43" s="1737"/>
      <c r="H43" s="411"/>
    </row>
    <row r="44" spans="1:38" ht="11.25" customHeight="1"/>
    <row r="45" spans="1:38" s="2467" customFormat="1" ht="11.25" customHeight="1">
      <c r="A45" s="1732" t="s">
        <v>1956</v>
      </c>
    </row>
    <row r="46" spans="1:38" ht="11.25" customHeight="1"/>
    <row r="47" spans="1:38" s="2428" customFormat="1" ht="24" customHeight="1">
      <c r="A47" s="2596" t="s">
        <v>304</v>
      </c>
      <c r="B47" s="438"/>
      <c r="C47" s="2607"/>
      <c r="D47" s="381" t="str">
        <f>A47</f>
        <v>5.1</v>
      </c>
      <c r="E47" s="378" t="s">
        <v>305</v>
      </c>
      <c r="F47" s="1888" t="s">
        <v>297</v>
      </c>
      <c r="G47" s="380" t="s">
        <v>306</v>
      </c>
      <c r="H47" s="411"/>
      <c r="I47" s="778"/>
    </row>
    <row r="48" spans="1:38" s="2428" customFormat="1" ht="22.5" customHeight="1">
      <c r="A48" s="2596"/>
      <c r="B48" s="438"/>
      <c r="C48" s="2607"/>
      <c r="D48" s="376" t="str">
        <f>D47&amp;".1"</f>
        <v>5.1.1</v>
      </c>
      <c r="E48" s="375" t="s">
        <v>307</v>
      </c>
      <c r="F48" s="1889" t="s">
        <v>22</v>
      </c>
      <c r="G48" s="410"/>
      <c r="H48" s="411"/>
      <c r="I48" s="778"/>
    </row>
    <row r="49" spans="1:45" s="2428" customFormat="1" ht="22.5" customHeight="1">
      <c r="A49" s="2596"/>
      <c r="B49" s="438"/>
      <c r="C49" s="2607"/>
      <c r="D49" s="376" t="str">
        <f>D47&amp;".2"</f>
        <v>5.1.2</v>
      </c>
      <c r="E49" s="375" t="s">
        <v>308</v>
      </c>
      <c r="F49" s="1649" t="s">
        <v>22</v>
      </c>
      <c r="G49" s="380" t="s">
        <v>309</v>
      </c>
      <c r="H49" s="411"/>
      <c r="I49" s="778"/>
    </row>
    <row r="50" spans="1:45" s="2428" customFormat="1" ht="22.5" customHeight="1">
      <c r="A50" s="2596"/>
      <c r="B50" s="438"/>
      <c r="C50" s="2607"/>
      <c r="D50" s="376" t="str">
        <f>D47&amp;".3"</f>
        <v>5.1.3</v>
      </c>
      <c r="E50" s="375" t="s">
        <v>310</v>
      </c>
      <c r="F50" s="1889" t="s">
        <v>22</v>
      </c>
      <c r="G50" s="410"/>
      <c r="H50" s="411"/>
      <c r="I50" s="778"/>
    </row>
    <row r="51" spans="1:45" s="2428" customFormat="1" ht="22.5" customHeight="1">
      <c r="A51" s="2596"/>
      <c r="B51" s="438"/>
      <c r="C51" s="2607"/>
      <c r="D51" s="376" t="str">
        <f>D47&amp;".4"</f>
        <v>5.1.4</v>
      </c>
      <c r="E51" s="375" t="s">
        <v>311</v>
      </c>
      <c r="F51" s="1889" t="s">
        <v>22</v>
      </c>
      <c r="G51" s="380" t="s">
        <v>312</v>
      </c>
      <c r="H51" s="411"/>
      <c r="I51" s="778"/>
    </row>
    <row r="54" spans="1:45" s="2467" customFormat="1" ht="17.25" customHeight="1">
      <c r="A54" s="1732" t="s">
        <v>1957</v>
      </c>
    </row>
    <row r="56" spans="1:45" s="2399" customFormat="1" ht="18.75" customHeight="1">
      <c r="A56" s="29"/>
      <c r="B56" s="1738"/>
      <c r="C56" s="1738"/>
      <c r="D56" s="1739"/>
      <c r="E56" s="1726"/>
      <c r="F56" s="794">
        <v>13</v>
      </c>
      <c r="G56" s="793"/>
      <c r="H56" s="723"/>
      <c r="I56" s="721"/>
      <c r="J56" s="456" t="s">
        <v>65</v>
      </c>
      <c r="K56" s="1740" t="s">
        <v>22</v>
      </c>
      <c r="L56" s="29"/>
      <c r="M56" s="1554"/>
      <c r="N56" s="1554"/>
      <c r="O56" s="1554"/>
      <c r="P56" s="452" t="s">
        <v>383</v>
      </c>
      <c r="Q56" s="452" t="s">
        <v>384</v>
      </c>
      <c r="R56" s="453" t="s">
        <v>385</v>
      </c>
      <c r="S56" s="1554" t="s">
        <v>386</v>
      </c>
      <c r="T56" s="1554"/>
      <c r="U56" s="1554"/>
      <c r="V56" s="1554"/>
    </row>
    <row r="58" spans="1:45" s="2467" customFormat="1" ht="11.25" customHeight="1">
      <c r="A58" s="1732" t="s">
        <v>1958</v>
      </c>
    </row>
    <row r="60" spans="1:45" s="2400" customFormat="1" ht="14.25" customHeight="1">
      <c r="C60" s="1606"/>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4"/>
      <c r="AK60" s="1554"/>
      <c r="AL60" s="1554"/>
      <c r="AM60" s="1554"/>
      <c r="AN60" s="1554"/>
      <c r="AO60" s="1554"/>
      <c r="AP60" s="1542" t="s">
        <v>372</v>
      </c>
      <c r="AQ60" s="1542" t="s">
        <v>372</v>
      </c>
      <c r="AR60" s="1554"/>
      <c r="AS60" s="1554"/>
    </row>
    <row r="62" spans="1:45" s="2467" customFormat="1" ht="11.25" customHeight="1">
      <c r="A62" s="1732" t="s">
        <v>1959</v>
      </c>
    </row>
    <row r="64" spans="1:45" s="2455" customFormat="1" ht="15" customHeight="1">
      <c r="A64" s="83" t="s">
        <v>86</v>
      </c>
      <c r="B64" s="65" t="s">
        <v>22</v>
      </c>
      <c r="C64" s="1741"/>
      <c r="D64" s="68"/>
      <c r="E64" s="317"/>
      <c r="F64" s="317"/>
      <c r="G64" s="1720"/>
      <c r="H64" s="1740"/>
      <c r="I64" s="1721"/>
      <c r="K64" s="209"/>
      <c r="L64" s="210"/>
    </row>
    <row r="66" spans="1:30" s="2467" customFormat="1" ht="11.25" customHeight="1">
      <c r="A66" s="1732" t="s">
        <v>1960</v>
      </c>
    </row>
    <row r="68" spans="1:30" s="2400" customFormat="1" ht="14.25" customHeight="1">
      <c r="A68" s="280"/>
      <c r="B68" s="1078"/>
      <c r="C68" s="312"/>
      <c r="D68" s="1727"/>
      <c r="E68" s="811"/>
      <c r="F68" s="1740"/>
      <c r="G68" s="29"/>
      <c r="I68" s="1542"/>
      <c r="J68" s="1542"/>
    </row>
    <row r="70" spans="1:30" s="2467" customFormat="1" ht="11.25" customHeight="1">
      <c r="A70" s="1732" t="s">
        <v>1961</v>
      </c>
    </row>
    <row r="72" spans="1:30" s="2400" customFormat="1" ht="27" customHeight="1">
      <c r="A72" s="1084"/>
      <c r="B72" s="1084"/>
      <c r="C72" s="1084"/>
      <c r="D72" s="1078"/>
      <c r="E72" s="1742"/>
      <c r="F72" s="2761"/>
      <c r="G72" s="2762"/>
      <c r="H72" s="2763" t="s">
        <v>65</v>
      </c>
      <c r="I72" s="2765"/>
      <c r="J72" s="2767"/>
      <c r="K72" s="2769"/>
      <c r="L72" s="2770"/>
      <c r="M72" s="2770"/>
      <c r="N72" s="2774"/>
      <c r="O72" s="2774"/>
      <c r="P72" s="2775" t="e">
        <f>DATEDIF(DATEVALUE(N72),DATEVALUE(O72),"y")&amp;"г. "&amp;DATEDIF(DATEVALUE(N72),DATEVALUE(O72),"ym")&amp;"мес. "&amp;DATEVALUE(O72)-DATE(YEAR(DATEVALUE(O72)),MONTH(DATEVALUE(O72)),1)&amp;"дн. "</f>
        <v>#VALUE!</v>
      </c>
      <c r="Q72" s="2771"/>
      <c r="R72" s="2771"/>
      <c r="S72" s="2771"/>
      <c r="T72" s="2767"/>
      <c r="U72" s="2771"/>
      <c r="V72" s="2771"/>
      <c r="W72" s="2771"/>
      <c r="X72" s="2767"/>
      <c r="Y72" s="2772" t="s">
        <v>65</v>
      </c>
      <c r="Z72" s="1725"/>
      <c r="AA72" s="1709">
        <v>1</v>
      </c>
      <c r="AB72" s="1160"/>
      <c r="AD72" s="1554" t="s">
        <v>1962</v>
      </c>
    </row>
    <row r="73" spans="1:30" s="2400" customFormat="1" ht="10.5" customHeight="1">
      <c r="A73" s="1084"/>
      <c r="B73" s="1084"/>
      <c r="C73" s="1084"/>
      <c r="D73" s="1078"/>
      <c r="E73" s="872"/>
      <c r="F73" s="2761"/>
      <c r="G73" s="2762"/>
      <c r="H73" s="2764"/>
      <c r="I73" s="2766"/>
      <c r="J73" s="2768"/>
      <c r="K73" s="2769"/>
      <c r="L73" s="2770"/>
      <c r="M73" s="2770"/>
      <c r="N73" s="2774"/>
      <c r="O73" s="2774"/>
      <c r="P73" s="2775"/>
      <c r="Q73" s="2771"/>
      <c r="R73" s="2771"/>
      <c r="S73" s="2771"/>
      <c r="T73" s="2768"/>
      <c r="U73" s="2771"/>
      <c r="V73" s="2771"/>
      <c r="W73" s="2771"/>
      <c r="X73" s="2768"/>
      <c r="Y73" s="2773"/>
      <c r="Z73" s="284"/>
      <c r="AA73" s="508"/>
      <c r="AB73" s="588" t="s">
        <v>985</v>
      </c>
    </row>
    <row r="75" spans="1:30" s="2467" customFormat="1" ht="11.25" customHeight="1">
      <c r="A75" s="1732" t="s">
        <v>1963</v>
      </c>
    </row>
    <row r="77" spans="1:30" s="2400"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1962</v>
      </c>
    </row>
    <row r="79" spans="1:30" s="2467" customFormat="1" ht="11.25" customHeight="1">
      <c r="A79" s="1732" t="s">
        <v>1964</v>
      </c>
    </row>
    <row r="80" spans="1:30" ht="17.25" customHeight="1"/>
    <row r="81" spans="1:58" s="2400" customFormat="1" ht="21" customHeight="1">
      <c r="A81" s="1085"/>
      <c r="B81" s="1084"/>
      <c r="C81" s="1084"/>
      <c r="D81" s="1078"/>
      <c r="E81" s="1088"/>
      <c r="F81" s="1041" t="e">
        <f>INDEX(IP_MAIN_LIST_NAME_IP,MATCH(A81,IP_MAIN_LIST_IP_ID,0))&amp;" ("&amp;INDEX(IP_MAIN_START_DATE,MATCH(A81,IP_MAIN_LIST_IP_ID,0))&amp;"-"&amp;INDEX(IP_MAIN_END_DATE,MATCH(A81,IP_MAIN_LIST_IP_ID,0))&amp;")"</f>
        <v>#N/A</v>
      </c>
      <c r="G81" s="1042"/>
      <c r="H81" s="1042"/>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400" customFormat="1" ht="0.75" customHeight="1">
      <c r="A82" s="1084"/>
      <c r="B82" s="1084"/>
      <c r="C82" s="1084"/>
      <c r="D82" s="1078"/>
      <c r="E82" s="1088"/>
      <c r="F82" s="2790"/>
      <c r="G82" s="2787"/>
      <c r="H82" s="2794" t="s">
        <v>367</v>
      </c>
      <c r="I82" s="2795"/>
      <c r="J82" s="2786"/>
      <c r="K82" s="2786"/>
      <c r="L82" s="2788"/>
      <c r="M82" s="2639"/>
      <c r="N82" s="1948"/>
      <c r="O82" s="1947"/>
      <c r="P82" s="1948"/>
      <c r="Q82" s="1948"/>
      <c r="R82" s="1948"/>
      <c r="S82" s="1948"/>
      <c r="T82" s="1948"/>
      <c r="U82" s="1948"/>
      <c r="V82" s="1948"/>
      <c r="W82" s="1948"/>
      <c r="X82" s="1948"/>
      <c r="Y82" s="1948"/>
      <c r="Z82" s="1948"/>
      <c r="AA82" s="1948"/>
      <c r="AB82" s="1948"/>
      <c r="AC82" s="1948"/>
      <c r="AD82" s="1948"/>
      <c r="AE82" s="1948"/>
      <c r="AF82" s="2793"/>
      <c r="AG82" s="2788"/>
      <c r="AH82" s="2788"/>
      <c r="AI82" s="2793"/>
      <c r="AJ82" s="2788"/>
      <c r="AK82" s="2788"/>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400" customFormat="1" ht="0.75" customHeight="1">
      <c r="A83" s="1084"/>
      <c r="B83" s="1084"/>
      <c r="C83" s="1084"/>
      <c r="D83" s="1078"/>
      <c r="E83" s="1088"/>
      <c r="F83" s="2790"/>
      <c r="G83" s="2787"/>
      <c r="H83" s="2794"/>
      <c r="I83" s="2795"/>
      <c r="J83" s="2786"/>
      <c r="K83" s="2786"/>
      <c r="L83" s="2788"/>
      <c r="M83" s="2639"/>
      <c r="N83" s="2796"/>
      <c r="O83" s="2797"/>
      <c r="P83" s="2783"/>
      <c r="Q83" s="2786"/>
      <c r="R83" s="2786"/>
      <c r="S83" s="2786"/>
      <c r="T83" s="2786"/>
      <c r="U83" s="2786"/>
      <c r="V83" s="2786"/>
      <c r="W83" s="2786"/>
      <c r="X83" s="2786"/>
      <c r="Y83" s="2786"/>
      <c r="Z83" s="1949"/>
      <c r="AA83" s="1950"/>
      <c r="AB83" s="1950"/>
      <c r="AC83" s="1951"/>
      <c r="AD83" s="1951"/>
      <c r="AE83" s="1952"/>
      <c r="AF83" s="2793"/>
      <c r="AG83" s="2788"/>
      <c r="AH83" s="2788"/>
      <c r="AI83" s="2793"/>
      <c r="AJ83" s="2788"/>
      <c r="AK83" s="2788"/>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400" customFormat="1" ht="0.75" customHeight="1">
      <c r="A84" s="1084"/>
      <c r="B84" s="1084"/>
      <c r="C84" s="1084"/>
      <c r="D84" s="1078"/>
      <c r="E84" s="1088"/>
      <c r="F84" s="2790"/>
      <c r="G84" s="2787"/>
      <c r="H84" s="2794"/>
      <c r="I84" s="2795"/>
      <c r="J84" s="2786"/>
      <c r="K84" s="2786"/>
      <c r="L84" s="2788"/>
      <c r="M84" s="2639"/>
      <c r="N84" s="2796"/>
      <c r="O84" s="2797"/>
      <c r="P84" s="2784"/>
      <c r="Q84" s="2786"/>
      <c r="R84" s="2786"/>
      <c r="S84" s="2786"/>
      <c r="T84" s="2786"/>
      <c r="U84" s="2786"/>
      <c r="V84" s="2786"/>
      <c r="W84" s="2786"/>
      <c r="X84" s="2786"/>
      <c r="Y84" s="2786"/>
      <c r="Z84" s="1953"/>
      <c r="AA84" s="1954"/>
      <c r="AB84" s="1955"/>
      <c r="AC84" s="1956"/>
      <c r="AD84" s="1955"/>
      <c r="AE84" s="1956"/>
      <c r="AF84" s="2793"/>
      <c r="AG84" s="2788"/>
      <c r="AH84" s="2788"/>
      <c r="AI84" s="2793"/>
      <c r="AJ84" s="2788"/>
      <c r="AK84" s="2788"/>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400" customFormat="1" ht="0.75" customHeight="1">
      <c r="A85" s="1084"/>
      <c r="B85" s="1084"/>
      <c r="C85" s="1084"/>
      <c r="D85" s="1078"/>
      <c r="E85" s="1088"/>
      <c r="F85" s="2790"/>
      <c r="G85" s="2787"/>
      <c r="H85" s="2794"/>
      <c r="I85" s="2795"/>
      <c r="J85" s="2786"/>
      <c r="K85" s="2786"/>
      <c r="L85" s="2788"/>
      <c r="M85" s="2639"/>
      <c r="N85" s="2796"/>
      <c r="O85" s="2797"/>
      <c r="P85" s="2785"/>
      <c r="Q85" s="2786"/>
      <c r="R85" s="2786"/>
      <c r="S85" s="2786"/>
      <c r="T85" s="2786"/>
      <c r="U85" s="2786"/>
      <c r="V85" s="2786"/>
      <c r="W85" s="2786"/>
      <c r="X85" s="2786"/>
      <c r="Y85" s="2786"/>
      <c r="Z85" s="1949"/>
      <c r="AA85" s="1950"/>
      <c r="AB85" s="1957"/>
      <c r="AC85" s="1951"/>
      <c r="AD85" s="1951"/>
      <c r="AE85" s="1958"/>
      <c r="AF85" s="2793"/>
      <c r="AG85" s="2788"/>
      <c r="AH85" s="2788"/>
      <c r="AI85" s="2793"/>
      <c r="AJ85" s="2788"/>
      <c r="AK85" s="2788"/>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400" customFormat="1" ht="0.75" customHeight="1">
      <c r="A86" s="1084"/>
      <c r="B86" s="1084"/>
      <c r="C86" s="1084"/>
      <c r="D86" s="1078"/>
      <c r="E86" s="1088"/>
      <c r="F86" s="2790"/>
      <c r="G86" s="2787"/>
      <c r="H86" s="2794"/>
      <c r="I86" s="2795"/>
      <c r="J86" s="2786"/>
      <c r="K86" s="2786"/>
      <c r="L86" s="2788"/>
      <c r="M86" s="2639"/>
      <c r="N86" s="1950"/>
      <c r="O86" s="1950"/>
      <c r="P86" s="1957"/>
      <c r="Q86" s="1950"/>
      <c r="R86" s="1950"/>
      <c r="S86" s="1950"/>
      <c r="T86" s="1950"/>
      <c r="U86" s="1950"/>
      <c r="V86" s="1950"/>
      <c r="W86" s="1950"/>
      <c r="X86" s="1950"/>
      <c r="Y86" s="1950"/>
      <c r="Z86" s="1950"/>
      <c r="AA86" s="1950"/>
      <c r="AB86" s="1950"/>
      <c r="AC86" s="1950"/>
      <c r="AD86" s="1950"/>
      <c r="AE86" s="1959"/>
      <c r="AF86" s="2793"/>
      <c r="AG86" s="2788"/>
      <c r="AH86" s="2788"/>
      <c r="AI86" s="2793"/>
      <c r="AJ86" s="2788"/>
      <c r="AK86" s="2788"/>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400" customFormat="1" ht="12" customHeight="1">
      <c r="A87" s="1084"/>
      <c r="B87" s="1084"/>
      <c r="C87" s="1084"/>
      <c r="D87" s="1078"/>
      <c r="E87" s="1088"/>
      <c r="F87" s="2792"/>
      <c r="G87" s="1108"/>
      <c r="H87" s="1108"/>
      <c r="I87" s="2789" t="s">
        <v>1047</v>
      </c>
      <c r="J87" s="2789"/>
      <c r="K87" s="2789"/>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467" customFormat="1" ht="11.25" customHeight="1">
      <c r="A89" s="1732" t="s">
        <v>1965</v>
      </c>
    </row>
    <row r="91" spans="1:58" s="2400" customFormat="1" ht="11.25" customHeight="1">
      <c r="A91" s="1084"/>
      <c r="B91" s="1084"/>
      <c r="C91" s="1084"/>
      <c r="D91" s="1078"/>
      <c r="E91" s="1088"/>
      <c r="F91" s="1744"/>
      <c r="G91" s="1745"/>
      <c r="H91" s="1745"/>
      <c r="I91" s="1681"/>
      <c r="J91" s="1681"/>
      <c r="K91" s="1746"/>
      <c r="L91" s="1681"/>
      <c r="M91" s="1745"/>
      <c r="N91" s="2804"/>
      <c r="O91" s="2880">
        <v>1</v>
      </c>
      <c r="P91" s="2806" t="s">
        <v>19</v>
      </c>
      <c r="Q91" s="2759" t="s">
        <v>22</v>
      </c>
      <c r="R91" s="2759" t="s">
        <v>22</v>
      </c>
      <c r="S91" s="2759" t="s">
        <v>22</v>
      </c>
      <c r="T91" s="2759" t="s">
        <v>22</v>
      </c>
      <c r="U91" s="2759" t="s">
        <v>22</v>
      </c>
      <c r="V91" s="2759" t="s">
        <v>22</v>
      </c>
      <c r="W91" s="2759" t="s">
        <v>22</v>
      </c>
      <c r="X91" s="2759" t="s">
        <v>22</v>
      </c>
      <c r="Y91" s="2759"/>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400" customFormat="1" ht="11.25" customHeight="1">
      <c r="A92" s="1084"/>
      <c r="B92" s="1084"/>
      <c r="C92" s="1084"/>
      <c r="D92" s="1078"/>
      <c r="E92" s="1088"/>
      <c r="F92" s="1744"/>
      <c r="G92" s="1745"/>
      <c r="H92" s="1745"/>
      <c r="I92" s="1682"/>
      <c r="J92" s="1682"/>
      <c r="K92" s="1746"/>
      <c r="L92" s="1682"/>
      <c r="M92" s="1745"/>
      <c r="N92" s="2804"/>
      <c r="O92" s="2880"/>
      <c r="P92" s="2807"/>
      <c r="Q92" s="2759"/>
      <c r="R92" s="2759"/>
      <c r="S92" s="2809"/>
      <c r="T92" s="2759"/>
      <c r="U92" s="2759"/>
      <c r="V92" s="2759"/>
      <c r="W92" s="2759"/>
      <c r="X92" s="2759"/>
      <c r="Y92" s="2759"/>
      <c r="Z92" s="1743"/>
      <c r="AA92" s="1711">
        <v>1</v>
      </c>
      <c r="AB92" s="1097"/>
      <c r="AC92" s="1087"/>
      <c r="AD92" s="1097">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400" customFormat="1" ht="11.25" customHeight="1">
      <c r="A93" s="1084"/>
      <c r="B93" s="1084"/>
      <c r="C93" s="1084"/>
      <c r="D93" s="1078"/>
      <c r="E93" s="1088"/>
      <c r="F93" s="1744"/>
      <c r="G93" s="1745"/>
      <c r="H93" s="1745"/>
      <c r="I93" s="1683"/>
      <c r="J93" s="1683"/>
      <c r="K93" s="1746"/>
      <c r="L93" s="1683"/>
      <c r="M93" s="1745"/>
      <c r="N93" s="2804"/>
      <c r="O93" s="2880"/>
      <c r="P93" s="2808"/>
      <c r="Q93" s="2759"/>
      <c r="R93" s="2759"/>
      <c r="S93" s="2809"/>
      <c r="T93" s="2759"/>
      <c r="U93" s="2759"/>
      <c r="V93" s="2759"/>
      <c r="W93" s="2759"/>
      <c r="X93" s="2759"/>
      <c r="Y93" s="2759"/>
      <c r="Z93" s="1093"/>
      <c r="AA93" s="1094"/>
      <c r="AB93" s="1159" t="s">
        <v>1033</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467" customFormat="1" ht="11.25" customHeight="1">
      <c r="A95" s="1732" t="s">
        <v>1966</v>
      </c>
    </row>
    <row r="97" spans="1:184" s="2400"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467" customFormat="1" ht="11.25" customHeight="1">
      <c r="A99" s="1732" t="s">
        <v>1967</v>
      </c>
    </row>
    <row r="101" spans="1:184" s="2400" customFormat="1" ht="11.25" customHeight="1">
      <c r="A101" s="1084"/>
      <c r="B101" s="1084"/>
      <c r="C101" s="1084"/>
      <c r="D101" s="1078"/>
      <c r="E101" s="1088"/>
      <c r="F101" s="1744"/>
      <c r="G101" s="1745"/>
      <c r="H101" s="2787" t="s">
        <v>102</v>
      </c>
      <c r="I101" s="2799"/>
      <c r="J101" s="2800"/>
      <c r="K101" s="2801"/>
      <c r="L101" s="2524" t="s">
        <v>19</v>
      </c>
      <c r="M101" s="2525"/>
      <c r="N101" s="1898"/>
      <c r="O101" s="1095" t="s">
        <v>367</v>
      </c>
      <c r="P101" s="1096"/>
      <c r="Q101" s="1096"/>
      <c r="R101" s="1096"/>
      <c r="S101" s="1096"/>
      <c r="T101" s="1096"/>
      <c r="U101" s="1096"/>
      <c r="V101" s="1096"/>
      <c r="W101" s="1096"/>
      <c r="X101" s="1096"/>
      <c r="Y101" s="1096"/>
      <c r="Z101" s="1096"/>
      <c r="AA101" s="1096"/>
      <c r="AB101" s="1096"/>
      <c r="AC101" s="1096"/>
      <c r="AD101" s="1096"/>
      <c r="AE101" s="1096"/>
      <c r="AF101" s="2802"/>
      <c r="AG101" s="2803"/>
      <c r="AH101" s="2803"/>
      <c r="AI101" s="2802"/>
      <c r="AJ101" s="2803"/>
      <c r="AK101" s="2803"/>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400" customFormat="1" ht="11.25" customHeight="1">
      <c r="A102" s="1084"/>
      <c r="B102" s="1084"/>
      <c r="C102" s="1084"/>
      <c r="D102" s="1078"/>
      <c r="E102" s="1088"/>
      <c r="F102" s="1744"/>
      <c r="G102" s="1745"/>
      <c r="H102" s="2787"/>
      <c r="I102" s="2799"/>
      <c r="J102" s="2800"/>
      <c r="K102" s="2801"/>
      <c r="L102" s="2524"/>
      <c r="M102" s="2525"/>
      <c r="N102" s="2804"/>
      <c r="O102" s="2805">
        <v>1</v>
      </c>
      <c r="P102" s="2806" t="s">
        <v>19</v>
      </c>
      <c r="Q102" s="2759" t="s">
        <v>22</v>
      </c>
      <c r="R102" s="2759" t="s">
        <v>22</v>
      </c>
      <c r="S102" s="2759" t="s">
        <v>22</v>
      </c>
      <c r="T102" s="2759" t="s">
        <v>22</v>
      </c>
      <c r="U102" s="2759" t="s">
        <v>22</v>
      </c>
      <c r="V102" s="2759" t="s">
        <v>22</v>
      </c>
      <c r="W102" s="2759" t="s">
        <v>22</v>
      </c>
      <c r="X102" s="2759" t="s">
        <v>22</v>
      </c>
      <c r="Y102" s="2759"/>
      <c r="Z102" s="1093"/>
      <c r="AA102" s="1094"/>
      <c r="AB102" s="1094"/>
      <c r="AC102" s="1098"/>
      <c r="AD102" s="1098"/>
      <c r="AE102" s="1099"/>
      <c r="AF102" s="2802"/>
      <c r="AG102" s="2803"/>
      <c r="AH102" s="2803"/>
      <c r="AI102" s="2802"/>
      <c r="AJ102" s="2803"/>
      <c r="AK102" s="2803"/>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400" customFormat="1" ht="11.25" customHeight="1">
      <c r="A103" s="1084"/>
      <c r="B103" s="1084"/>
      <c r="C103" s="1084"/>
      <c r="D103" s="1078"/>
      <c r="E103" s="1088"/>
      <c r="F103" s="1744"/>
      <c r="G103" s="1745"/>
      <c r="H103" s="2787"/>
      <c r="I103" s="2799"/>
      <c r="J103" s="2800"/>
      <c r="K103" s="2801"/>
      <c r="L103" s="2524"/>
      <c r="M103" s="2525"/>
      <c r="N103" s="2804"/>
      <c r="O103" s="2805"/>
      <c r="P103" s="2807"/>
      <c r="Q103" s="2759"/>
      <c r="R103" s="2759"/>
      <c r="S103" s="2809"/>
      <c r="T103" s="2759"/>
      <c r="U103" s="2759"/>
      <c r="V103" s="2759"/>
      <c r="W103" s="2759"/>
      <c r="X103" s="2759"/>
      <c r="Y103" s="2759"/>
      <c r="Z103" s="1743"/>
      <c r="AA103" s="1711">
        <v>1</v>
      </c>
      <c r="AB103" s="1097"/>
      <c r="AC103" s="1087"/>
      <c r="AD103" s="1097">
        <f>AB103</f>
        <v>0</v>
      </c>
      <c r="AE103" s="1087"/>
      <c r="AF103" s="2802"/>
      <c r="AG103" s="2803"/>
      <c r="AH103" s="2803"/>
      <c r="AI103" s="2802"/>
      <c r="AJ103" s="2803"/>
      <c r="AK103" s="2803"/>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400" customFormat="1" ht="11.25" customHeight="1">
      <c r="A104" s="1084"/>
      <c r="B104" s="1084"/>
      <c r="C104" s="1084"/>
      <c r="D104" s="1078"/>
      <c r="E104" s="1088"/>
      <c r="F104" s="1744"/>
      <c r="G104" s="1745"/>
      <c r="H104" s="2787"/>
      <c r="I104" s="2799"/>
      <c r="J104" s="2800"/>
      <c r="K104" s="2801"/>
      <c r="L104" s="2524"/>
      <c r="M104" s="2525"/>
      <c r="N104" s="2804"/>
      <c r="O104" s="2805"/>
      <c r="P104" s="2808"/>
      <c r="Q104" s="2759"/>
      <c r="R104" s="2759"/>
      <c r="S104" s="2809"/>
      <c r="T104" s="2759"/>
      <c r="U104" s="2759"/>
      <c r="V104" s="2759"/>
      <c r="W104" s="2759"/>
      <c r="X104" s="2759"/>
      <c r="Y104" s="2759"/>
      <c r="Z104" s="1093"/>
      <c r="AA104" s="1094"/>
      <c r="AB104" s="1159" t="s">
        <v>1033</v>
      </c>
      <c r="AC104" s="1098"/>
      <c r="AD104" s="1098"/>
      <c r="AE104" s="1100"/>
      <c r="AF104" s="2802"/>
      <c r="AG104" s="2803"/>
      <c r="AH104" s="2803"/>
      <c r="AI104" s="2802"/>
      <c r="AJ104" s="2803"/>
      <c r="AK104" s="2803"/>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400" customFormat="1" ht="11.25" customHeight="1">
      <c r="A105" s="1084"/>
      <c r="B105" s="1084"/>
      <c r="C105" s="1084"/>
      <c r="D105" s="1078"/>
      <c r="E105" s="1088"/>
      <c r="F105" s="1744"/>
      <c r="G105" s="1745"/>
      <c r="H105" s="2787"/>
      <c r="I105" s="2799"/>
      <c r="J105" s="2800"/>
      <c r="K105" s="2801"/>
      <c r="L105" s="2524"/>
      <c r="M105" s="2525"/>
      <c r="N105" s="1093"/>
      <c r="O105" s="1094"/>
      <c r="P105" s="1086" t="s">
        <v>1034</v>
      </c>
      <c r="Q105" s="1094"/>
      <c r="R105" s="1094"/>
      <c r="S105" s="1094"/>
      <c r="T105" s="1094"/>
      <c r="U105" s="1094"/>
      <c r="V105" s="1094"/>
      <c r="W105" s="1094"/>
      <c r="X105" s="1094"/>
      <c r="Y105" s="1094"/>
      <c r="Z105" s="1094"/>
      <c r="AA105" s="1094"/>
      <c r="AB105" s="1094"/>
      <c r="AC105" s="1094"/>
      <c r="AD105" s="1094"/>
      <c r="AE105" s="1101"/>
      <c r="AF105" s="2802"/>
      <c r="AG105" s="2803"/>
      <c r="AH105" s="2803"/>
      <c r="AI105" s="2802"/>
      <c r="AJ105" s="2803"/>
      <c r="AK105" s="2803"/>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467" customFormat="1" ht="11.25" customHeight="1">
      <c r="A107" s="1732" t="s">
        <v>1968</v>
      </c>
    </row>
    <row r="108" spans="1:184" ht="17.25" customHeight="1"/>
    <row r="109" spans="1:184" s="2447" customFormat="1" ht="21" customHeight="1">
      <c r="A109" s="1085"/>
      <c r="B109" s="865"/>
      <c r="D109" s="849"/>
      <c r="E109" s="864" t="s">
        <v>22</v>
      </c>
      <c r="F109" s="1040"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447" customFormat="1" ht="24.75" customHeight="1">
      <c r="B110" s="848"/>
      <c r="C110" s="849"/>
      <c r="D110" s="849"/>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447" customFormat="1" ht="12" customHeight="1">
      <c r="A111" s="849"/>
      <c r="B111" s="848"/>
      <c r="C111" s="849"/>
      <c r="D111" s="849"/>
      <c r="E111" s="849"/>
      <c r="F111" s="1131"/>
      <c r="G111" s="1717" t="s">
        <v>1167</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6"/>
      <c r="FZ111" s="866"/>
      <c r="GA111" s="866"/>
      <c r="GB111" s="866"/>
    </row>
    <row r="113" spans="1:83" s="2467" customFormat="1" ht="11.25" customHeight="1">
      <c r="A113" s="1732" t="s">
        <v>1969</v>
      </c>
    </row>
    <row r="115" spans="1:83" s="2410" customFormat="1" ht="15" customHeight="1">
      <c r="A115" s="559"/>
      <c r="B115" s="560"/>
      <c r="C115" s="560"/>
      <c r="D115" s="2885" t="s">
        <v>102</v>
      </c>
      <c r="E115" s="2740" t="s">
        <v>98</v>
      </c>
      <c r="F115" s="2741"/>
      <c r="G115" s="2742"/>
      <c r="H115" s="2736" t="str">
        <f>IF(A115="","",INDEX(DIFFERENTIATION_UNMERGE_VD,MATCH(A115,DIFFERENTIATION_ID_DIFF,0)))</f>
        <v/>
      </c>
      <c r="I115" s="2736"/>
      <c r="J115" s="2736"/>
      <c r="K115" s="2736"/>
      <c r="L115" s="2736"/>
      <c r="M115" s="2736"/>
      <c r="N115" s="2736"/>
      <c r="O115" s="2736"/>
      <c r="P115" s="2736"/>
      <c r="Q115" s="2736"/>
      <c r="R115" s="2736"/>
      <c r="S115" s="655"/>
      <c r="T115" s="652"/>
      <c r="U115" s="561"/>
      <c r="V115" s="561"/>
      <c r="W115" s="562"/>
      <c r="X115" s="562"/>
      <c r="Y115" s="562"/>
      <c r="Z115" s="562"/>
      <c r="AA115" s="563"/>
      <c r="AB115" s="564"/>
      <c r="AC115" s="2739"/>
      <c r="AD115" s="565"/>
      <c r="AE115" s="566" t="s">
        <v>22</v>
      </c>
      <c r="AF115" s="566"/>
      <c r="AG115" s="567" t="s">
        <v>600</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410" customFormat="1" ht="15" customHeight="1">
      <c r="A116" s="559"/>
      <c r="B116" s="560"/>
      <c r="C116" s="560"/>
      <c r="D116" s="2886"/>
      <c r="E116" s="2740" t="s">
        <v>555</v>
      </c>
      <c r="F116" s="2741"/>
      <c r="G116" s="2742"/>
      <c r="H116" s="2736" t="str">
        <f>IF(A115="","",INDEX(DIFFERENTIATION_UNMERGE_AREA,MATCH(A115,DIFFERENTIATION_ID_DIFF,0)))</f>
        <v/>
      </c>
      <c r="I116" s="2736"/>
      <c r="J116" s="2736"/>
      <c r="K116" s="2736"/>
      <c r="L116" s="2736"/>
      <c r="M116" s="2736"/>
      <c r="N116" s="2736"/>
      <c r="O116" s="2736"/>
      <c r="P116" s="2736"/>
      <c r="Q116" s="2736"/>
      <c r="R116" s="2736"/>
      <c r="S116" s="655"/>
      <c r="T116" s="652"/>
      <c r="U116" s="561"/>
      <c r="V116" s="561"/>
      <c r="W116" s="562"/>
      <c r="X116" s="562"/>
      <c r="Y116" s="562"/>
      <c r="Z116" s="562"/>
      <c r="AA116" s="563"/>
      <c r="AB116" s="564"/>
      <c r="AC116" s="273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410" customFormat="1" ht="15" customHeight="1">
      <c r="A117" s="559"/>
      <c r="B117" s="560"/>
      <c r="C117" s="560"/>
      <c r="D117" s="2886"/>
      <c r="E117" s="2740" t="s">
        <v>556</v>
      </c>
      <c r="F117" s="2741"/>
      <c r="G117" s="2742"/>
      <c r="H117" s="2736" t="str">
        <f>IF(A115="","",INDEX(DIFFERENTIATION_UNMERGE_SYSTEM,MATCH(A115,DIFFERENTIATION_ID_DIFF,0)))</f>
        <v/>
      </c>
      <c r="I117" s="2736"/>
      <c r="J117" s="2736"/>
      <c r="K117" s="2736"/>
      <c r="L117" s="2736"/>
      <c r="M117" s="2736"/>
      <c r="N117" s="2736"/>
      <c r="O117" s="2736"/>
      <c r="P117" s="2736"/>
      <c r="Q117" s="2736"/>
      <c r="R117" s="2736"/>
      <c r="S117" s="655"/>
      <c r="T117" s="652"/>
      <c r="U117" s="561"/>
      <c r="V117" s="561"/>
      <c r="W117" s="562"/>
      <c r="X117" s="562"/>
      <c r="Y117" s="562"/>
      <c r="Z117" s="562"/>
      <c r="AA117" s="563"/>
      <c r="AB117" s="564"/>
      <c r="AC117" s="273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410" customFormat="1" ht="24.75" customHeight="1">
      <c r="A118" s="1723"/>
      <c r="B118" s="1078"/>
      <c r="C118" s="348"/>
      <c r="D118" s="2886"/>
      <c r="E118" s="2738" t="s">
        <v>601</v>
      </c>
      <c r="F118" s="2738"/>
      <c r="G118" s="2738"/>
      <c r="H118" s="2738"/>
      <c r="I118" s="2738"/>
      <c r="J118" s="2738"/>
      <c r="K118" s="2738"/>
      <c r="L118" s="2738"/>
      <c r="M118" s="2738"/>
      <c r="N118" s="2738"/>
      <c r="O118" s="2738"/>
      <c r="P118" s="2738"/>
      <c r="Q118" s="494">
        <f>SUMIF(T119:T120,"i",Q119:Q120)</f>
        <v>0</v>
      </c>
      <c r="R118" s="940"/>
      <c r="S118" s="1715" t="s">
        <v>602</v>
      </c>
      <c r="T118" s="653" t="s">
        <v>603</v>
      </c>
      <c r="U118" s="2646">
        <v>1</v>
      </c>
      <c r="V118" s="2646" t="s">
        <v>566</v>
      </c>
      <c r="W118" s="1078"/>
      <c r="X118" s="1078"/>
      <c r="Y118" s="1078"/>
      <c r="Z118" s="1078"/>
      <c r="AA118" s="1554"/>
      <c r="AB118" s="1078"/>
      <c r="AC118" s="2739"/>
      <c r="AD118" s="565"/>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410" customFormat="1" ht="11.25" hidden="1" customHeight="1">
      <c r="A119" s="1710"/>
      <c r="B119" s="1554"/>
      <c r="C119" s="1554"/>
      <c r="D119" s="2886"/>
      <c r="E119" s="571"/>
      <c r="F119" s="571">
        <v>0</v>
      </c>
      <c r="G119" s="571"/>
      <c r="H119" s="571"/>
      <c r="I119" s="571"/>
      <c r="J119" s="571"/>
      <c r="K119" s="571"/>
      <c r="L119" s="571"/>
      <c r="M119" s="571"/>
      <c r="N119" s="571"/>
      <c r="O119" s="571"/>
      <c r="P119" s="571"/>
      <c r="Q119" s="571"/>
      <c r="R119" s="571"/>
      <c r="S119" s="572"/>
      <c r="T119" s="654"/>
      <c r="U119" s="2646"/>
      <c r="V119" s="2646"/>
      <c r="W119" s="1554"/>
      <c r="X119" s="1554"/>
      <c r="Y119" s="1554"/>
      <c r="Z119" s="1554"/>
      <c r="AA119" s="1554"/>
      <c r="AB119" s="1078"/>
      <c r="AC119" s="2739"/>
      <c r="AD119" s="565"/>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410" customFormat="1" ht="11.25" customHeight="1">
      <c r="A120" s="1723"/>
      <c r="B120" s="1078"/>
      <c r="C120" s="348"/>
      <c r="D120" s="2886"/>
      <c r="E120" s="585" t="s">
        <v>22</v>
      </c>
      <c r="F120" s="1086" t="s">
        <v>22</v>
      </c>
      <c r="G120" s="1086" t="s">
        <v>1970</v>
      </c>
      <c r="H120" s="587" t="s">
        <v>22</v>
      </c>
      <c r="I120" s="587"/>
      <c r="J120" s="587"/>
      <c r="K120" s="587"/>
      <c r="L120" s="587"/>
      <c r="M120" s="587"/>
      <c r="N120" s="587"/>
      <c r="O120" s="587"/>
      <c r="P120" s="587"/>
      <c r="Q120" s="587"/>
      <c r="R120" s="588"/>
      <c r="S120" s="589"/>
      <c r="T120" s="654"/>
      <c r="U120" s="2646"/>
      <c r="V120" s="2646"/>
      <c r="W120" s="1078"/>
      <c r="X120" s="1078"/>
      <c r="Y120" s="1078"/>
      <c r="Z120" s="1078"/>
      <c r="AA120" s="1554"/>
      <c r="AB120" s="1078"/>
      <c r="AC120" s="2739"/>
      <c r="AD120" s="565"/>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410" customFormat="1" ht="24.75" customHeight="1">
      <c r="A121" s="1723"/>
      <c r="B121" s="1078"/>
      <c r="C121" s="348"/>
      <c r="D121" s="2886"/>
      <c r="E121" s="2738" t="s">
        <v>604</v>
      </c>
      <c r="F121" s="2738"/>
      <c r="G121" s="2738"/>
      <c r="H121" s="2738"/>
      <c r="I121" s="2738"/>
      <c r="J121" s="2738"/>
      <c r="K121" s="2738"/>
      <c r="L121" s="2738"/>
      <c r="M121" s="2738"/>
      <c r="N121" s="2738"/>
      <c r="O121" s="2738"/>
      <c r="P121" s="2738"/>
      <c r="Q121" s="494">
        <f>SUMIF(T122:T123,"i",Q122:Q123)</f>
        <v>0</v>
      </c>
      <c r="R121" s="940"/>
      <c r="S121" s="1715" t="s">
        <v>605</v>
      </c>
      <c r="T121" s="653" t="s">
        <v>603</v>
      </c>
      <c r="U121" s="2646">
        <v>1</v>
      </c>
      <c r="V121" s="2646" t="s">
        <v>566</v>
      </c>
      <c r="W121" s="1078"/>
      <c r="X121" s="1078"/>
      <c r="Y121" s="1078"/>
      <c r="Z121" s="1078"/>
      <c r="AA121" s="1554"/>
      <c r="AB121" s="1078"/>
      <c r="AC121" s="1713"/>
      <c r="AD121" s="565"/>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410" customFormat="1" ht="11.25" hidden="1" customHeight="1">
      <c r="A122" s="1710"/>
      <c r="B122" s="1554"/>
      <c r="C122" s="1554"/>
      <c r="D122" s="2886"/>
      <c r="E122" s="571"/>
      <c r="F122" s="571">
        <v>0</v>
      </c>
      <c r="G122" s="571"/>
      <c r="H122" s="571"/>
      <c r="I122" s="571"/>
      <c r="J122" s="571"/>
      <c r="K122" s="571"/>
      <c r="L122" s="571"/>
      <c r="M122" s="571"/>
      <c r="N122" s="571"/>
      <c r="O122" s="571"/>
      <c r="P122" s="571"/>
      <c r="Q122" s="571"/>
      <c r="R122" s="571"/>
      <c r="S122" s="572"/>
      <c r="T122" s="654"/>
      <c r="U122" s="2646"/>
      <c r="V122" s="2646"/>
      <c r="W122" s="1554"/>
      <c r="X122" s="1554"/>
      <c r="Y122" s="1554"/>
      <c r="Z122" s="1554"/>
      <c r="AA122" s="1554"/>
      <c r="AB122" s="1078"/>
      <c r="AC122" s="1713"/>
      <c r="AD122" s="565"/>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410" customFormat="1" ht="11.25" customHeight="1">
      <c r="A123" s="1723"/>
      <c r="B123" s="1078"/>
      <c r="C123" s="348"/>
      <c r="D123" s="2887"/>
      <c r="E123" s="585" t="s">
        <v>22</v>
      </c>
      <c r="F123" s="1086" t="s">
        <v>22</v>
      </c>
      <c r="G123" s="1086" t="s">
        <v>1970</v>
      </c>
      <c r="H123" s="587" t="s">
        <v>22</v>
      </c>
      <c r="I123" s="587"/>
      <c r="J123" s="587"/>
      <c r="K123" s="587"/>
      <c r="L123" s="587"/>
      <c r="M123" s="587"/>
      <c r="N123" s="587"/>
      <c r="O123" s="587"/>
      <c r="P123" s="587"/>
      <c r="Q123" s="587"/>
      <c r="R123" s="588"/>
      <c r="S123" s="589"/>
      <c r="T123" s="654"/>
      <c r="U123" s="2646"/>
      <c r="V123" s="2646"/>
      <c r="W123" s="1078"/>
      <c r="X123" s="1078"/>
      <c r="Y123" s="1078"/>
      <c r="Z123" s="1078"/>
      <c r="AA123" s="1554"/>
      <c r="AB123" s="1078"/>
      <c r="AC123" s="1713"/>
      <c r="AD123" s="565"/>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467" customFormat="1" ht="11.25" customHeight="1">
      <c r="A125" s="1732" t="s">
        <v>1971</v>
      </c>
    </row>
    <row r="127" spans="1:83" s="2410" customFormat="1" ht="15" customHeight="1">
      <c r="A127" s="559"/>
      <c r="B127" s="560"/>
      <c r="C127" s="560"/>
      <c r="D127" s="2885" t="s">
        <v>102</v>
      </c>
      <c r="E127" s="2740" t="s">
        <v>98</v>
      </c>
      <c r="F127" s="2741"/>
      <c r="G127" s="2742"/>
      <c r="H127" s="2736" t="str">
        <f>IF(A127="","",INDEX(DIFFERENTIATION_UNMERGE_VD,MATCH(A127,DIFFERENTIATION_ID_DIFF,0)))</f>
        <v/>
      </c>
      <c r="I127" s="2736"/>
      <c r="J127" s="2736"/>
      <c r="K127" s="2736"/>
      <c r="L127" s="2736"/>
      <c r="M127" s="2736"/>
      <c r="N127" s="2736"/>
      <c r="O127" s="2736"/>
      <c r="P127" s="2736"/>
      <c r="Q127" s="2736"/>
      <c r="R127" s="2736"/>
      <c r="S127" s="655"/>
      <c r="T127" s="652"/>
      <c r="U127" s="561"/>
      <c r="V127" s="561"/>
      <c r="W127" s="562"/>
      <c r="X127" s="562"/>
      <c r="Y127" s="562"/>
      <c r="Z127" s="562"/>
      <c r="AA127" s="563"/>
      <c r="AB127" s="564"/>
      <c r="AC127" s="2739"/>
      <c r="AD127" s="565"/>
      <c r="AE127" s="566" t="s">
        <v>22</v>
      </c>
      <c r="AF127" s="566"/>
      <c r="AG127" s="567" t="s">
        <v>600</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410" customFormat="1" ht="15" customHeight="1">
      <c r="A128" s="559"/>
      <c r="B128" s="560"/>
      <c r="C128" s="560"/>
      <c r="D128" s="2886"/>
      <c r="E128" s="2740" t="s">
        <v>555</v>
      </c>
      <c r="F128" s="2741"/>
      <c r="G128" s="2742"/>
      <c r="H128" s="2736" t="str">
        <f>IF(A127="","",INDEX(DIFFERENTIATION_UNMERGE_AREA,MATCH(A127,DIFFERENTIATION_ID_DIFF,0)))</f>
        <v/>
      </c>
      <c r="I128" s="2736"/>
      <c r="J128" s="2736"/>
      <c r="K128" s="2736"/>
      <c r="L128" s="2736"/>
      <c r="M128" s="2736"/>
      <c r="N128" s="2736"/>
      <c r="O128" s="2736"/>
      <c r="P128" s="2736"/>
      <c r="Q128" s="2736"/>
      <c r="R128" s="2736"/>
      <c r="S128" s="655"/>
      <c r="T128" s="652"/>
      <c r="U128" s="561"/>
      <c r="V128" s="561"/>
      <c r="W128" s="562"/>
      <c r="X128" s="562"/>
      <c r="Y128" s="562"/>
      <c r="Z128" s="562"/>
      <c r="AA128" s="563"/>
      <c r="AB128" s="564"/>
      <c r="AC128" s="273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410" customFormat="1" ht="15" customHeight="1">
      <c r="A129" s="559"/>
      <c r="B129" s="560"/>
      <c r="C129" s="560"/>
      <c r="D129" s="2886"/>
      <c r="E129" s="2740" t="s">
        <v>556</v>
      </c>
      <c r="F129" s="2741"/>
      <c r="G129" s="2742"/>
      <c r="H129" s="2736" t="str">
        <f>IF(A127="","",INDEX(DIFFERENTIATION_UNMERGE_SYSTEM,MATCH(A127,DIFFERENTIATION_ID_DIFF,0)))</f>
        <v/>
      </c>
      <c r="I129" s="2736"/>
      <c r="J129" s="2736"/>
      <c r="K129" s="2736"/>
      <c r="L129" s="2736"/>
      <c r="M129" s="2736"/>
      <c r="N129" s="2736"/>
      <c r="O129" s="2736"/>
      <c r="P129" s="2736"/>
      <c r="Q129" s="2736"/>
      <c r="R129" s="2736"/>
      <c r="S129" s="655"/>
      <c r="T129" s="652"/>
      <c r="U129" s="561"/>
      <c r="V129" s="561"/>
      <c r="W129" s="562"/>
      <c r="X129" s="562"/>
      <c r="Y129" s="562"/>
      <c r="Z129" s="562"/>
      <c r="AA129" s="563"/>
      <c r="AB129" s="564"/>
      <c r="AC129" s="273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410" customFormat="1" ht="24.75" customHeight="1">
      <c r="A130" s="1723"/>
      <c r="B130" s="1078"/>
      <c r="C130" s="348"/>
      <c r="D130" s="2886"/>
      <c r="E130" s="2738" t="s">
        <v>601</v>
      </c>
      <c r="F130" s="2738"/>
      <c r="G130" s="2738"/>
      <c r="H130" s="2738"/>
      <c r="I130" s="2738"/>
      <c r="J130" s="2738"/>
      <c r="K130" s="2738"/>
      <c r="L130" s="2738"/>
      <c r="M130" s="2738"/>
      <c r="N130" s="2738"/>
      <c r="O130" s="2738"/>
      <c r="P130" s="2738"/>
      <c r="Q130" s="494">
        <f>SUMIF(T131:T132,"i",Q131:Q132)</f>
        <v>0</v>
      </c>
      <c r="R130" s="940"/>
      <c r="S130" s="1715" t="s">
        <v>602</v>
      </c>
      <c r="T130" s="653" t="s">
        <v>603</v>
      </c>
      <c r="U130" s="2646">
        <v>1</v>
      </c>
      <c r="V130" s="2646" t="s">
        <v>566</v>
      </c>
      <c r="W130" s="1078"/>
      <c r="X130" s="1078"/>
      <c r="Y130" s="1078"/>
      <c r="Z130" s="1078"/>
      <c r="AA130" s="1554"/>
      <c r="AB130" s="1078"/>
      <c r="AC130" s="2739"/>
      <c r="AD130" s="565"/>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410" customFormat="1" ht="11.25" hidden="1" customHeight="1">
      <c r="A131" s="1710"/>
      <c r="B131" s="1554"/>
      <c r="C131" s="1554"/>
      <c r="D131" s="2886"/>
      <c r="E131" s="571"/>
      <c r="F131" s="571">
        <v>0</v>
      </c>
      <c r="G131" s="571"/>
      <c r="H131" s="571"/>
      <c r="I131" s="571"/>
      <c r="J131" s="571"/>
      <c r="K131" s="571"/>
      <c r="L131" s="571"/>
      <c r="M131" s="571"/>
      <c r="N131" s="571"/>
      <c r="O131" s="571"/>
      <c r="P131" s="571"/>
      <c r="Q131" s="571"/>
      <c r="R131" s="571"/>
      <c r="S131" s="572"/>
      <c r="T131" s="654"/>
      <c r="U131" s="2646"/>
      <c r="V131" s="2646"/>
      <c r="W131" s="1554"/>
      <c r="X131" s="1554"/>
      <c r="Y131" s="1554"/>
      <c r="Z131" s="1554"/>
      <c r="AA131" s="1554"/>
      <c r="AB131" s="1078"/>
      <c r="AC131" s="2739"/>
      <c r="AD131" s="565"/>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410" customFormat="1" ht="11.25" customHeight="1">
      <c r="A132" s="1723"/>
      <c r="B132" s="1078"/>
      <c r="C132" s="348"/>
      <c r="D132" s="2886"/>
      <c r="E132" s="585" t="s">
        <v>22</v>
      </c>
      <c r="F132" s="1086" t="s">
        <v>22</v>
      </c>
      <c r="G132" s="1086" t="s">
        <v>1970</v>
      </c>
      <c r="H132" s="587" t="s">
        <v>22</v>
      </c>
      <c r="I132" s="587"/>
      <c r="J132" s="587"/>
      <c r="K132" s="587"/>
      <c r="L132" s="587"/>
      <c r="M132" s="587"/>
      <c r="N132" s="587"/>
      <c r="O132" s="587"/>
      <c r="P132" s="587"/>
      <c r="Q132" s="587"/>
      <c r="R132" s="588"/>
      <c r="S132" s="589"/>
      <c r="T132" s="654"/>
      <c r="U132" s="2646"/>
      <c r="V132" s="2646"/>
      <c r="W132" s="1078"/>
      <c r="X132" s="1078"/>
      <c r="Y132" s="1078"/>
      <c r="Z132" s="1078"/>
      <c r="AA132" s="1554"/>
      <c r="AB132" s="1078"/>
      <c r="AC132" s="2739"/>
      <c r="AD132" s="565"/>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420" customFormat="1" ht="5.25" hidden="1" customHeight="1">
      <c r="A133" s="1710"/>
      <c r="B133" s="1554"/>
      <c r="C133" s="1554"/>
      <c r="D133" s="2886"/>
      <c r="E133" s="962"/>
      <c r="F133" s="962"/>
      <c r="G133" s="962"/>
      <c r="H133" s="962"/>
      <c r="I133" s="962"/>
      <c r="J133" s="962"/>
      <c r="K133" s="962"/>
      <c r="L133" s="962"/>
      <c r="M133" s="962"/>
      <c r="N133" s="962"/>
      <c r="O133" s="962"/>
      <c r="P133" s="962"/>
      <c r="Q133" s="963"/>
      <c r="R133" s="964"/>
      <c r="S133" s="965"/>
      <c r="T133" s="653" t="s">
        <v>603</v>
      </c>
      <c r="U133" s="2646">
        <v>1</v>
      </c>
      <c r="V133" s="2646" t="s">
        <v>566</v>
      </c>
      <c r="W133" s="1554"/>
      <c r="X133" s="1554"/>
      <c r="Y133" s="1554"/>
      <c r="Z133" s="1554"/>
      <c r="AA133" s="1554"/>
      <c r="AB133" s="1554"/>
      <c r="AC133" s="960"/>
      <c r="AD133" s="961"/>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420" customFormat="1" ht="5.25" hidden="1" customHeight="1">
      <c r="A134" s="1710"/>
      <c r="B134" s="1554"/>
      <c r="C134" s="1554"/>
      <c r="D134" s="2886"/>
      <c r="E134" s="571"/>
      <c r="F134" s="571"/>
      <c r="G134" s="571"/>
      <c r="H134" s="571"/>
      <c r="I134" s="571"/>
      <c r="J134" s="571"/>
      <c r="K134" s="571"/>
      <c r="L134" s="571"/>
      <c r="M134" s="571"/>
      <c r="N134" s="571"/>
      <c r="O134" s="571"/>
      <c r="P134" s="571"/>
      <c r="Q134" s="571"/>
      <c r="R134" s="571"/>
      <c r="S134" s="572"/>
      <c r="T134" s="654"/>
      <c r="U134" s="2646"/>
      <c r="V134" s="2646"/>
      <c r="W134" s="1554"/>
      <c r="X134" s="1554"/>
      <c r="Y134" s="1554"/>
      <c r="Z134" s="1554"/>
      <c r="AA134" s="1554"/>
      <c r="AB134" s="1554"/>
      <c r="AC134" s="960"/>
      <c r="AD134" s="961"/>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420" customFormat="1" ht="5.25" hidden="1" customHeight="1">
      <c r="A135" s="1710"/>
      <c r="B135" s="1554"/>
      <c r="C135" s="1554"/>
      <c r="D135" s="2887"/>
      <c r="E135" s="966"/>
      <c r="F135" s="967"/>
      <c r="G135" s="967"/>
      <c r="H135" s="968"/>
      <c r="I135" s="968"/>
      <c r="J135" s="968"/>
      <c r="K135" s="968"/>
      <c r="L135" s="968"/>
      <c r="M135" s="968"/>
      <c r="N135" s="968"/>
      <c r="O135" s="968"/>
      <c r="P135" s="968"/>
      <c r="Q135" s="968"/>
      <c r="R135" s="871"/>
      <c r="S135" s="969"/>
      <c r="T135" s="654"/>
      <c r="U135" s="2646"/>
      <c r="V135" s="2646"/>
      <c r="W135" s="1554"/>
      <c r="X135" s="1554"/>
      <c r="Y135" s="1554"/>
      <c r="Z135" s="1554"/>
      <c r="AA135" s="1554"/>
      <c r="AB135" s="1554"/>
      <c r="AC135" s="960"/>
      <c r="AD135" s="961"/>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467" customFormat="1" ht="11.25" customHeight="1">
      <c r="A137" s="1732" t="s">
        <v>1972</v>
      </c>
    </row>
    <row r="139" spans="1:83" s="2410" customFormat="1" ht="45" customHeight="1">
      <c r="A139" s="1723"/>
      <c r="B139" s="1078"/>
      <c r="C139" s="348"/>
      <c r="D139" s="29"/>
      <c r="E139" s="2890"/>
      <c r="F139" s="2525" t="s">
        <v>102</v>
      </c>
      <c r="G139" s="2893" t="s">
        <v>22</v>
      </c>
      <c r="H139" s="226"/>
      <c r="I139" s="573" t="s">
        <v>102</v>
      </c>
      <c r="J139" s="1724" t="s">
        <v>1973</v>
      </c>
      <c r="K139" s="574" t="s">
        <v>537</v>
      </c>
      <c r="L139" s="2609" t="s">
        <v>537</v>
      </c>
      <c r="M139" s="2571"/>
      <c r="N139" s="574" t="s">
        <v>537</v>
      </c>
      <c r="O139" s="574" t="s">
        <v>537</v>
      </c>
      <c r="P139" s="574" t="s">
        <v>537</v>
      </c>
      <c r="Q139" s="575">
        <f>SUM(Q140:Q142)</f>
        <v>0</v>
      </c>
      <c r="R139" s="575">
        <f>IF(R136=0,0,(Q136/R136)*100)</f>
        <v>0</v>
      </c>
      <c r="S139" s="2583"/>
      <c r="T139" s="653" t="s">
        <v>603</v>
      </c>
      <c r="U139" s="29"/>
      <c r="V139" s="29"/>
      <c r="AC139" s="29"/>
    </row>
    <row r="140" spans="1:83" s="2410" customFormat="1" ht="11.25" customHeight="1">
      <c r="A140" s="1723"/>
      <c r="B140" s="1078"/>
      <c r="C140" s="348"/>
      <c r="D140" s="29"/>
      <c r="E140" s="2891"/>
      <c r="F140" s="2525"/>
      <c r="G140" s="2893"/>
      <c r="H140" s="2514"/>
      <c r="I140" s="2787" t="s">
        <v>1073</v>
      </c>
      <c r="J140" s="2888"/>
      <c r="K140" s="2889"/>
      <c r="L140" s="576"/>
      <c r="M140" s="577" t="s">
        <v>102</v>
      </c>
      <c r="N140" s="1712"/>
      <c r="O140" s="578"/>
      <c r="P140" s="579"/>
      <c r="Q140" s="578"/>
      <c r="R140" s="580">
        <v>0</v>
      </c>
      <c r="S140" s="2583"/>
      <c r="T140" s="653"/>
      <c r="U140" s="29"/>
      <c r="V140" s="29"/>
      <c r="AC140" s="29"/>
    </row>
    <row r="141" spans="1:83" s="2410" customFormat="1" ht="11.25" customHeight="1">
      <c r="A141" s="1723"/>
      <c r="B141" s="1078"/>
      <c r="C141" s="348"/>
      <c r="D141" s="29"/>
      <c r="E141" s="2891"/>
      <c r="F141" s="2525"/>
      <c r="G141" s="2893"/>
      <c r="H141" s="2514"/>
      <c r="I141" s="2787"/>
      <c r="J141" s="2888"/>
      <c r="K141" s="2882"/>
      <c r="L141" s="581"/>
      <c r="M141" s="582"/>
      <c r="N141" s="583" t="s">
        <v>1974</v>
      </c>
      <c r="O141" s="583"/>
      <c r="P141" s="583"/>
      <c r="Q141" s="583"/>
      <c r="R141" s="584"/>
      <c r="S141" s="2583"/>
      <c r="T141" s="653"/>
      <c r="U141" s="29"/>
      <c r="V141" s="29"/>
      <c r="AC141" s="29"/>
    </row>
    <row r="142" spans="1:83" s="2410" customFormat="1" ht="11.25" customHeight="1">
      <c r="A142" s="1723"/>
      <c r="B142" s="1078"/>
      <c r="C142" s="348"/>
      <c r="D142" s="29"/>
      <c r="E142" s="2892"/>
      <c r="F142" s="2525"/>
      <c r="G142" s="2894"/>
      <c r="H142" s="581" t="s">
        <v>22</v>
      </c>
      <c r="I142" s="582"/>
      <c r="J142" s="583" t="s">
        <v>1975</v>
      </c>
      <c r="K142" s="583"/>
      <c r="L142" s="583"/>
      <c r="M142" s="583"/>
      <c r="N142" s="583"/>
      <c r="O142" s="583"/>
      <c r="P142" s="583"/>
      <c r="Q142" s="583"/>
      <c r="R142" s="584"/>
      <c r="S142" s="2583"/>
      <c r="T142" s="653"/>
      <c r="U142" s="29"/>
      <c r="V142" s="29"/>
      <c r="AC142" s="29"/>
    </row>
    <row r="147" spans="1:43" s="2410" customFormat="1" ht="11.25" customHeight="1">
      <c r="A147" s="1723"/>
      <c r="B147" s="1078"/>
      <c r="C147" s="348"/>
      <c r="D147" s="29"/>
      <c r="E147" s="1745"/>
      <c r="F147" s="1745"/>
      <c r="G147" s="1745"/>
      <c r="H147" s="2514"/>
      <c r="I147" s="2787" t="s">
        <v>1073</v>
      </c>
      <c r="J147" s="2888"/>
      <c r="K147" s="2889"/>
      <c r="L147" s="576"/>
      <c r="M147" s="577" t="s">
        <v>102</v>
      </c>
      <c r="N147" s="1712"/>
      <c r="O147" s="578"/>
      <c r="P147" s="579"/>
      <c r="Q147" s="578"/>
      <c r="R147" s="580">
        <v>0</v>
      </c>
      <c r="S147" s="29"/>
      <c r="T147" s="653"/>
      <c r="U147" s="29"/>
      <c r="V147" s="29"/>
      <c r="AC147" s="29"/>
    </row>
    <row r="148" spans="1:43" s="2410" customFormat="1" ht="11.25" customHeight="1">
      <c r="A148" s="1723"/>
      <c r="B148" s="1078"/>
      <c r="C148" s="348"/>
      <c r="D148" s="29"/>
      <c r="E148" s="1745"/>
      <c r="F148" s="1745"/>
      <c r="G148" s="1745"/>
      <c r="H148" s="2514"/>
      <c r="I148" s="2787"/>
      <c r="J148" s="2888"/>
      <c r="K148" s="2882"/>
      <c r="L148" s="581"/>
      <c r="M148" s="582"/>
      <c r="N148" s="583" t="s">
        <v>1974</v>
      </c>
      <c r="O148" s="583"/>
      <c r="P148" s="583"/>
      <c r="Q148" s="583"/>
      <c r="R148" s="584"/>
      <c r="S148" s="29"/>
      <c r="T148" s="653"/>
      <c r="U148" s="29"/>
      <c r="V148" s="29"/>
      <c r="AC148" s="29"/>
    </row>
    <row r="150" spans="1:43" s="2410" customFormat="1" ht="11.25" customHeight="1">
      <c r="A150" s="1723"/>
      <c r="B150" s="1078"/>
      <c r="C150" s="348"/>
      <c r="D150" s="29"/>
      <c r="E150" s="1752"/>
      <c r="F150" s="1750"/>
      <c r="G150" s="1750"/>
      <c r="H150" s="1753"/>
      <c r="I150" s="1745"/>
      <c r="J150" s="1746"/>
      <c r="K150" s="1746"/>
      <c r="L150" s="576"/>
      <c r="M150" s="577" t="s">
        <v>102</v>
      </c>
      <c r="N150" s="1712"/>
      <c r="O150" s="578"/>
      <c r="P150" s="579"/>
      <c r="Q150" s="578"/>
      <c r="R150" s="580">
        <v>0</v>
      </c>
      <c r="S150" s="29"/>
      <c r="T150" s="653"/>
      <c r="U150" s="29"/>
      <c r="V150" s="29"/>
      <c r="AC150" s="29"/>
    </row>
    <row r="152" spans="1:43" s="2467" customFormat="1" ht="17.25" customHeight="1">
      <c r="A152" s="1732" t="s">
        <v>1976</v>
      </c>
    </row>
    <row r="153" spans="1:43" ht="17.25" customHeight="1">
      <c r="G153" s="1754"/>
      <c r="H153" s="1754"/>
      <c r="I153" s="1754"/>
      <c r="M153" s="1750"/>
    </row>
    <row r="154" spans="1:43" s="2416" customFormat="1" ht="17.25" customHeight="1">
      <c r="A154" s="1755"/>
      <c r="C154" s="1757"/>
      <c r="D154" s="2881"/>
      <c r="E154" s="2536"/>
      <c r="F154" s="2549"/>
      <c r="G154" s="2883"/>
      <c r="H154" s="2881"/>
      <c r="I154" s="2881">
        <v>1</v>
      </c>
      <c r="J154" s="2897"/>
      <c r="K154" s="2586" t="s">
        <v>65</v>
      </c>
      <c r="L154" s="2525"/>
      <c r="M154" s="2525" t="s">
        <v>102</v>
      </c>
      <c r="N154" s="2895" t="str">
        <f>IF(Z154="","",INDEX(TERRITORY_MR_LIST,MATCH(Z154,TERRITORY_LIST_ID,0)))</f>
        <v/>
      </c>
      <c r="O154" s="2586" t="s">
        <v>65</v>
      </c>
      <c r="P154" s="2525"/>
      <c r="Q154" s="2525" t="s">
        <v>102</v>
      </c>
      <c r="R154" s="2882" t="s">
        <v>22</v>
      </c>
      <c r="S154" s="2524" t="s">
        <v>65</v>
      </c>
      <c r="T154" s="1728"/>
      <c r="U154" s="1728" t="s">
        <v>102</v>
      </c>
      <c r="V154" s="1758" t="s">
        <v>22</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416" customFormat="1" ht="17.25" customHeight="1">
      <c r="A155" s="1755"/>
      <c r="C155" s="1760"/>
      <c r="D155" s="2881"/>
      <c r="E155" s="2536"/>
      <c r="F155" s="2550"/>
      <c r="G155" s="2883"/>
      <c r="H155" s="2881"/>
      <c r="I155" s="2881"/>
      <c r="J155" s="2897"/>
      <c r="K155" s="2587"/>
      <c r="L155" s="2525"/>
      <c r="M155" s="2525"/>
      <c r="N155" s="2895"/>
      <c r="O155" s="2587"/>
      <c r="P155" s="2525"/>
      <c r="Q155" s="2525"/>
      <c r="R155" s="2882"/>
      <c r="S155" s="2524"/>
      <c r="T155" s="254"/>
      <c r="U155" s="255"/>
      <c r="V155" s="255" t="s">
        <v>405</v>
      </c>
      <c r="W155" s="256"/>
      <c r="Y155" s="1177"/>
      <c r="Z155" s="1177"/>
      <c r="AA155" s="1177"/>
      <c r="AB155" s="1177"/>
      <c r="AC155" s="1177"/>
      <c r="AD155" s="1177"/>
      <c r="AE155" s="1177"/>
      <c r="AF155" s="1177"/>
      <c r="AG155" s="1177"/>
      <c r="AH155" s="1177"/>
      <c r="AI155" s="1177"/>
      <c r="AJ155" s="1177"/>
      <c r="AK155" s="1177"/>
    </row>
    <row r="156" spans="1:43" s="2416" customFormat="1" ht="17.25" customHeight="1">
      <c r="A156" s="1755"/>
      <c r="C156" s="1760"/>
      <c r="D156" s="2548"/>
      <c r="E156" s="2537"/>
      <c r="F156" s="2550"/>
      <c r="G156" s="2884"/>
      <c r="H156" s="2548"/>
      <c r="I156" s="2548"/>
      <c r="J156" s="2898"/>
      <c r="K156" s="2587"/>
      <c r="L156" s="2548"/>
      <c r="M156" s="2548"/>
      <c r="N156" s="2896"/>
      <c r="O156" s="2529"/>
      <c r="P156" s="254"/>
      <c r="Q156" s="255"/>
      <c r="R156" s="255" t="s">
        <v>406</v>
      </c>
      <c r="S156" s="1761"/>
      <c r="T156" s="1761"/>
      <c r="U156" s="1761"/>
      <c r="V156" s="1761"/>
      <c r="W156" s="256"/>
      <c r="Y156" s="1177"/>
      <c r="Z156" s="1177"/>
      <c r="AA156" s="1177"/>
      <c r="AB156" s="1177"/>
      <c r="AC156" s="1177"/>
      <c r="AD156" s="1177"/>
      <c r="AE156" s="1177"/>
      <c r="AF156" s="1177"/>
      <c r="AG156" s="1177"/>
      <c r="AH156" s="1177"/>
      <c r="AI156" s="1177"/>
      <c r="AJ156" s="1177"/>
      <c r="AK156" s="1177"/>
    </row>
    <row r="157" spans="1:43" s="2416" customFormat="1" ht="17.25" customHeight="1">
      <c r="A157" s="1755"/>
      <c r="C157" s="1760"/>
      <c r="D157" s="2548"/>
      <c r="E157" s="2537"/>
      <c r="F157" s="2550"/>
      <c r="G157" s="2884"/>
      <c r="H157" s="2548"/>
      <c r="I157" s="2548"/>
      <c r="J157" s="2898"/>
      <c r="K157" s="2529"/>
      <c r="L157" s="254"/>
      <c r="M157" s="255"/>
      <c r="N157" s="255" t="s">
        <v>407</v>
      </c>
      <c r="O157" s="255"/>
      <c r="P157" s="255"/>
      <c r="Q157" s="255"/>
      <c r="R157" s="255"/>
      <c r="S157" s="1761"/>
      <c r="T157" s="1761"/>
      <c r="U157" s="1761"/>
      <c r="V157" s="1761"/>
      <c r="W157" s="256"/>
      <c r="Y157" s="1177"/>
      <c r="Z157" s="1177"/>
      <c r="AA157" s="1177"/>
      <c r="AB157" s="1177"/>
      <c r="AC157" s="1177"/>
      <c r="AD157" s="1177"/>
      <c r="AE157" s="1177"/>
      <c r="AF157" s="1177"/>
      <c r="AG157" s="1177"/>
      <c r="AH157" s="1177"/>
      <c r="AI157" s="1177"/>
      <c r="AJ157" s="1177"/>
      <c r="AK157" s="1177"/>
    </row>
    <row r="158" spans="1:43" s="2416" customFormat="1" ht="17.25" customHeight="1">
      <c r="A158" s="1755"/>
      <c r="C158" s="1760"/>
      <c r="D158" s="2548"/>
      <c r="E158" s="2537"/>
      <c r="F158" s="2551"/>
      <c r="G158" s="2884"/>
      <c r="H158" s="254"/>
      <c r="I158" s="255"/>
      <c r="J158" s="255" t="s">
        <v>439</v>
      </c>
      <c r="K158" s="255"/>
      <c r="L158" s="255"/>
      <c r="M158" s="255"/>
      <c r="N158" s="255"/>
      <c r="O158" s="255"/>
      <c r="P158" s="255"/>
      <c r="Q158" s="255"/>
      <c r="R158" s="255"/>
      <c r="S158" s="1761"/>
      <c r="T158" s="1761"/>
      <c r="U158" s="1761"/>
      <c r="V158" s="1761"/>
      <c r="W158" s="256"/>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416" customFormat="1" ht="17.25" customHeight="1">
      <c r="A160" s="1755"/>
      <c r="C160" s="1757"/>
      <c r="D160" s="1745"/>
      <c r="E160" s="1762"/>
      <c r="F160" s="1701"/>
      <c r="G160" s="1763"/>
      <c r="H160" s="2881"/>
      <c r="I160" s="2881">
        <v>1</v>
      </c>
      <c r="J160" s="2897"/>
      <c r="K160" s="2586" t="s">
        <v>65</v>
      </c>
      <c r="L160" s="2525"/>
      <c r="M160" s="2525" t="s">
        <v>102</v>
      </c>
      <c r="N160" s="2895" t="str">
        <f>IF(Z160="","",INDEX(TERRITORY_MR_LIST,MATCH(Z160,TERRITORY_LIST_ID,0)))</f>
        <v/>
      </c>
      <c r="O160" s="2586" t="s">
        <v>65</v>
      </c>
      <c r="P160" s="2525"/>
      <c r="Q160" s="2525" t="s">
        <v>102</v>
      </c>
      <c r="R160" s="2882" t="s">
        <v>22</v>
      </c>
      <c r="S160" s="2524" t="s">
        <v>65</v>
      </c>
      <c r="T160" s="1728"/>
      <c r="U160" s="1728" t="s">
        <v>102</v>
      </c>
      <c r="V160" s="1758" t="s">
        <v>22</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416" customFormat="1" ht="17.25" customHeight="1">
      <c r="A161" s="1755"/>
      <c r="C161" s="1760"/>
      <c r="D161" s="1745"/>
      <c r="E161" s="1762"/>
      <c r="F161" s="1701"/>
      <c r="G161" s="1763"/>
      <c r="H161" s="2881"/>
      <c r="I161" s="2881"/>
      <c r="J161" s="2897"/>
      <c r="K161" s="2587"/>
      <c r="L161" s="2525"/>
      <c r="M161" s="2525"/>
      <c r="N161" s="2895"/>
      <c r="O161" s="2587"/>
      <c r="P161" s="2525"/>
      <c r="Q161" s="2525"/>
      <c r="R161" s="2882"/>
      <c r="S161" s="2524"/>
      <c r="T161" s="254"/>
      <c r="U161" s="255"/>
      <c r="V161" s="255" t="s">
        <v>405</v>
      </c>
      <c r="W161" s="256"/>
      <c r="Y161" s="1177"/>
      <c r="Z161" s="1177"/>
      <c r="AA161" s="1177"/>
      <c r="AB161" s="1177"/>
      <c r="AC161" s="1177"/>
      <c r="AD161" s="1177"/>
      <c r="AE161" s="1177"/>
      <c r="AF161" s="1177"/>
      <c r="AG161" s="1177"/>
      <c r="AH161" s="1177"/>
      <c r="AI161" s="1177"/>
      <c r="AJ161" s="1177"/>
      <c r="AK161" s="1177"/>
    </row>
    <row r="162" spans="1:43" s="2416" customFormat="1" ht="17.25" customHeight="1">
      <c r="A162" s="1755"/>
      <c r="C162" s="1760"/>
      <c r="D162" s="1745"/>
      <c r="E162" s="1762"/>
      <c r="F162" s="1701"/>
      <c r="G162" s="1763"/>
      <c r="H162" s="2548"/>
      <c r="I162" s="2548"/>
      <c r="J162" s="2898"/>
      <c r="K162" s="2587"/>
      <c r="L162" s="2548"/>
      <c r="M162" s="2548"/>
      <c r="N162" s="2896"/>
      <c r="O162" s="2529"/>
      <c r="P162" s="254"/>
      <c r="Q162" s="255"/>
      <c r="R162" s="255" t="s">
        <v>406</v>
      </c>
      <c r="S162" s="1761"/>
      <c r="T162" s="1761"/>
      <c r="U162" s="1761"/>
      <c r="V162" s="1761"/>
      <c r="W162" s="256"/>
      <c r="Y162" s="1177"/>
      <c r="Z162" s="1177"/>
      <c r="AA162" s="1177"/>
      <c r="AB162" s="1177"/>
      <c r="AC162" s="1177"/>
      <c r="AD162" s="1177"/>
      <c r="AE162" s="1177"/>
      <c r="AF162" s="1177"/>
      <c r="AG162" s="1177"/>
      <c r="AH162" s="1177"/>
      <c r="AI162" s="1177"/>
      <c r="AJ162" s="1177"/>
      <c r="AK162" s="1177"/>
    </row>
    <row r="163" spans="1:43" s="2416" customFormat="1" ht="17.25" customHeight="1">
      <c r="A163" s="1755"/>
      <c r="C163" s="1760"/>
      <c r="D163" s="1745"/>
      <c r="E163" s="1762"/>
      <c r="F163" s="1701"/>
      <c r="G163" s="1763"/>
      <c r="H163" s="2548"/>
      <c r="I163" s="2548"/>
      <c r="J163" s="2898"/>
      <c r="K163" s="2529"/>
      <c r="L163" s="254"/>
      <c r="M163" s="255"/>
      <c r="N163" s="255" t="s">
        <v>407</v>
      </c>
      <c r="O163" s="255"/>
      <c r="P163" s="255"/>
      <c r="Q163" s="255"/>
      <c r="R163" s="255"/>
      <c r="S163" s="1761"/>
      <c r="T163" s="1761"/>
      <c r="U163" s="1761"/>
      <c r="V163" s="1761"/>
      <c r="W163" s="256"/>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416" customFormat="1" ht="17.25" customHeight="1">
      <c r="A165" s="1755"/>
      <c r="C165" s="1757"/>
      <c r="D165" s="1745"/>
      <c r="E165" s="1762"/>
      <c r="F165" s="1701"/>
      <c r="G165" s="1763"/>
      <c r="H165" s="1745"/>
      <c r="I165" s="1745"/>
      <c r="J165" s="1764"/>
      <c r="K165" s="1677"/>
      <c r="L165" s="2525"/>
      <c r="M165" s="2525" t="s">
        <v>102</v>
      </c>
      <c r="N165" s="2895" t="str">
        <f>IF(Z165="","",INDEX(TERRITORY_MR_LIST,MATCH(Z165,TERRITORY_LIST_ID,0)))</f>
        <v/>
      </c>
      <c r="O165" s="2586" t="s">
        <v>65</v>
      </c>
      <c r="P165" s="2525"/>
      <c r="Q165" s="2525" t="s">
        <v>102</v>
      </c>
      <c r="R165" s="2882" t="s">
        <v>22</v>
      </c>
      <c r="S165" s="2524" t="s">
        <v>65</v>
      </c>
      <c r="T165" s="1728"/>
      <c r="U165" s="1728" t="s">
        <v>102</v>
      </c>
      <c r="V165" s="1758" t="s">
        <v>22</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416" customFormat="1" ht="17.25" customHeight="1">
      <c r="A166" s="1755"/>
      <c r="C166" s="1760"/>
      <c r="D166" s="1745"/>
      <c r="E166" s="1762"/>
      <c r="F166" s="1701"/>
      <c r="G166" s="1763"/>
      <c r="H166" s="1745"/>
      <c r="I166" s="1745"/>
      <c r="J166" s="1764"/>
      <c r="K166" s="1677"/>
      <c r="L166" s="2525"/>
      <c r="M166" s="2525"/>
      <c r="N166" s="2895"/>
      <c r="O166" s="2587"/>
      <c r="P166" s="2525"/>
      <c r="Q166" s="2525"/>
      <c r="R166" s="2882"/>
      <c r="S166" s="2524"/>
      <c r="T166" s="254"/>
      <c r="U166" s="255"/>
      <c r="V166" s="255" t="s">
        <v>405</v>
      </c>
      <c r="W166" s="256"/>
      <c r="Y166" s="1177"/>
      <c r="Z166" s="1177"/>
      <c r="AA166" s="1177"/>
      <c r="AB166" s="1177"/>
      <c r="AC166" s="1177"/>
      <c r="AD166" s="1177"/>
      <c r="AE166" s="1177"/>
      <c r="AF166" s="1177"/>
      <c r="AG166" s="1177"/>
      <c r="AH166" s="1177"/>
      <c r="AI166" s="1177"/>
      <c r="AJ166" s="1177"/>
      <c r="AK166" s="1177"/>
    </row>
    <row r="167" spans="1:43" s="2416" customFormat="1" ht="17.25" customHeight="1">
      <c r="A167" s="1755"/>
      <c r="C167" s="1760"/>
      <c r="D167" s="1745"/>
      <c r="E167" s="1762"/>
      <c r="F167" s="1701"/>
      <c r="G167" s="1763"/>
      <c r="H167" s="1745"/>
      <c r="I167" s="1745"/>
      <c r="J167" s="1764"/>
      <c r="K167" s="1677"/>
      <c r="L167" s="2548"/>
      <c r="M167" s="2548"/>
      <c r="N167" s="2896"/>
      <c r="O167" s="2529"/>
      <c r="P167" s="254"/>
      <c r="Q167" s="255"/>
      <c r="R167" s="255" t="s">
        <v>406</v>
      </c>
      <c r="S167" s="1761"/>
      <c r="T167" s="1761"/>
      <c r="U167" s="1761"/>
      <c r="V167" s="1761"/>
      <c r="W167" s="256"/>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416" customFormat="1" ht="17.25" customHeight="1">
      <c r="A169" s="1755"/>
      <c r="C169" s="1757"/>
      <c r="D169" s="1745"/>
      <c r="E169" s="1762"/>
      <c r="F169" s="1701"/>
      <c r="G169" s="1763"/>
      <c r="H169" s="1745"/>
      <c r="I169" s="1745"/>
      <c r="J169" s="1764"/>
      <c r="K169" s="1677"/>
      <c r="L169" s="1673"/>
      <c r="M169" s="1673"/>
      <c r="N169" s="1960"/>
      <c r="O169" s="1704"/>
      <c r="P169" s="2525"/>
      <c r="Q169" s="2525" t="s">
        <v>102</v>
      </c>
      <c r="R169" s="2882" t="s">
        <v>22</v>
      </c>
      <c r="S169" s="2524" t="s">
        <v>65</v>
      </c>
      <c r="T169" s="1728"/>
      <c r="U169" s="1728" t="s">
        <v>102</v>
      </c>
      <c r="V169" s="1758" t="s">
        <v>22</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416" customFormat="1" ht="17.25" customHeight="1">
      <c r="A170" s="1755"/>
      <c r="C170" s="1760"/>
      <c r="D170" s="1745"/>
      <c r="E170" s="1762"/>
      <c r="F170" s="1701"/>
      <c r="G170" s="1763"/>
      <c r="H170" s="1745"/>
      <c r="I170" s="1745"/>
      <c r="J170" s="1764"/>
      <c r="K170" s="1677"/>
      <c r="L170" s="1673"/>
      <c r="M170" s="1673"/>
      <c r="N170" s="1960"/>
      <c r="O170" s="1704"/>
      <c r="P170" s="2525"/>
      <c r="Q170" s="2525"/>
      <c r="R170" s="2882"/>
      <c r="S170" s="2524"/>
      <c r="T170" s="254"/>
      <c r="U170" s="255"/>
      <c r="V170" s="255" t="s">
        <v>405</v>
      </c>
      <c r="W170" s="256"/>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416"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102</v>
      </c>
      <c r="V172" s="1758" t="s">
        <v>22</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467" customFormat="1" ht="17.25" customHeight="1">
      <c r="A174" s="1732" t="s">
        <v>1977</v>
      </c>
    </row>
    <row r="175" spans="1:43" ht="17.25" customHeight="1">
      <c r="G175" s="1754"/>
      <c r="H175" s="1754"/>
      <c r="I175" s="1754"/>
      <c r="M175" s="1750"/>
    </row>
    <row r="176" spans="1:43" s="2416" customFormat="1" ht="17.25" customHeight="1">
      <c r="A176" s="1755"/>
      <c r="C176" s="1757"/>
      <c r="D176" s="2881"/>
      <c r="E176" s="2536"/>
      <c r="F176" s="2549"/>
      <c r="G176" s="2883"/>
      <c r="H176" s="2881"/>
      <c r="I176" s="2881">
        <v>1</v>
      </c>
      <c r="J176" s="2897"/>
      <c r="K176" s="2586" t="s">
        <v>65</v>
      </c>
      <c r="L176" s="2525"/>
      <c r="M176" s="2525" t="s">
        <v>102</v>
      </c>
      <c r="N176" s="2895" t="str">
        <f>IF(Z176="","",INDEX(TERRITORY_MR_LIST,MATCH(Z176,TERRITORY_LIST_ID,0)))</f>
        <v/>
      </c>
      <c r="O176" s="2586" t="s">
        <v>65</v>
      </c>
      <c r="P176" s="2525"/>
      <c r="Q176" s="2525" t="s">
        <v>102</v>
      </c>
      <c r="R176" s="2882" t="s">
        <v>22</v>
      </c>
      <c r="S176" s="2758" t="s">
        <v>19</v>
      </c>
      <c r="T176" s="1719"/>
      <c r="U176" s="1719" t="s">
        <v>102</v>
      </c>
      <c r="V176" s="1352"/>
      <c r="W176" s="2897"/>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416" customFormat="1" ht="17.25" customHeight="1">
      <c r="A177" s="1755"/>
      <c r="C177" s="1760"/>
      <c r="D177" s="2881"/>
      <c r="E177" s="2536"/>
      <c r="F177" s="2550"/>
      <c r="G177" s="2883"/>
      <c r="H177" s="2881"/>
      <c r="I177" s="2881"/>
      <c r="J177" s="2897"/>
      <c r="K177" s="2587"/>
      <c r="L177" s="2525"/>
      <c r="M177" s="2525"/>
      <c r="N177" s="2895"/>
      <c r="O177" s="2587"/>
      <c r="P177" s="2525"/>
      <c r="Q177" s="2525"/>
      <c r="R177" s="2882"/>
      <c r="S177" s="2758"/>
      <c r="T177" s="1353"/>
      <c r="U177" s="1354"/>
      <c r="V177" s="1354"/>
      <c r="W177" s="2897"/>
      <c r="Y177" s="1177"/>
      <c r="Z177" s="1177"/>
      <c r="AA177" s="1177"/>
      <c r="AB177" s="1177"/>
      <c r="AC177" s="1177"/>
      <c r="AD177" s="1177"/>
      <c r="AE177" s="1177"/>
      <c r="AF177" s="1177"/>
      <c r="AG177" s="1177"/>
      <c r="AH177" s="1177"/>
      <c r="AI177" s="1177"/>
      <c r="AJ177" s="1177"/>
      <c r="AK177" s="1177"/>
    </row>
    <row r="178" spans="1:43" s="2416" customFormat="1" ht="17.25" customHeight="1">
      <c r="A178" s="1755"/>
      <c r="C178" s="1760"/>
      <c r="D178" s="2548"/>
      <c r="E178" s="2537"/>
      <c r="F178" s="2550"/>
      <c r="G178" s="2884"/>
      <c r="H178" s="2548"/>
      <c r="I178" s="2548"/>
      <c r="J178" s="2898"/>
      <c r="K178" s="2587"/>
      <c r="L178" s="2548"/>
      <c r="M178" s="2548"/>
      <c r="N178" s="2896"/>
      <c r="O178" s="2529"/>
      <c r="P178" s="254"/>
      <c r="Q178" s="255"/>
      <c r="R178" s="255" t="s">
        <v>406</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416" customFormat="1" ht="17.25" customHeight="1">
      <c r="A179" s="1755"/>
      <c r="C179" s="1760"/>
      <c r="D179" s="2548"/>
      <c r="E179" s="2537"/>
      <c r="F179" s="2550"/>
      <c r="G179" s="2884"/>
      <c r="H179" s="2548"/>
      <c r="I179" s="2548"/>
      <c r="J179" s="2898"/>
      <c r="K179" s="2529"/>
      <c r="L179" s="254"/>
      <c r="M179" s="255"/>
      <c r="N179" s="255" t="s">
        <v>407</v>
      </c>
      <c r="O179" s="255"/>
      <c r="P179" s="255"/>
      <c r="Q179" s="255"/>
      <c r="R179" s="255"/>
      <c r="S179" s="1761"/>
      <c r="T179" s="1761"/>
      <c r="U179" s="1761"/>
      <c r="V179" s="1761"/>
      <c r="W179" s="256"/>
      <c r="Y179" s="1177"/>
      <c r="Z179" s="1177"/>
      <c r="AA179" s="1177"/>
      <c r="AB179" s="1177"/>
      <c r="AC179" s="1177"/>
      <c r="AD179" s="1177"/>
      <c r="AE179" s="1177"/>
      <c r="AF179" s="1177"/>
      <c r="AG179" s="1177"/>
      <c r="AH179" s="1177"/>
      <c r="AI179" s="1177"/>
      <c r="AJ179" s="1177"/>
      <c r="AK179" s="1177"/>
    </row>
    <row r="180" spans="1:43" s="2416" customFormat="1" ht="17.25" customHeight="1">
      <c r="A180" s="1755"/>
      <c r="C180" s="1760"/>
      <c r="D180" s="2548"/>
      <c r="E180" s="2537"/>
      <c r="F180" s="2551"/>
      <c r="G180" s="2884"/>
      <c r="H180" s="254"/>
      <c r="I180" s="255"/>
      <c r="J180" s="255" t="s">
        <v>439</v>
      </c>
      <c r="K180" s="255"/>
      <c r="L180" s="255"/>
      <c r="M180" s="255"/>
      <c r="N180" s="255"/>
      <c r="O180" s="255"/>
      <c r="P180" s="255"/>
      <c r="Q180" s="255"/>
      <c r="R180" s="255"/>
      <c r="S180" s="1761"/>
      <c r="T180" s="1761"/>
      <c r="U180" s="1761"/>
      <c r="V180" s="1761"/>
      <c r="W180" s="256"/>
      <c r="Y180" s="1177"/>
      <c r="Z180" s="1177"/>
      <c r="AA180" s="1177"/>
      <c r="AB180" s="1177"/>
      <c r="AC180" s="1177"/>
      <c r="AD180" s="1177"/>
      <c r="AE180" s="1177"/>
      <c r="AF180" s="1177"/>
      <c r="AG180" s="1177"/>
      <c r="AH180" s="1177"/>
      <c r="AI180" s="1177"/>
      <c r="AJ180" s="1177"/>
      <c r="AK180" s="1177"/>
    </row>
    <row r="181" spans="1:43" ht="17.25" customHeight="1">
      <c r="A181" s="1765"/>
    </row>
    <row r="182" spans="1:43" s="2416" customFormat="1" ht="17.25" customHeight="1">
      <c r="A182" s="1755"/>
      <c r="C182" s="1757"/>
      <c r="D182" s="1745"/>
      <c r="E182" s="1762"/>
      <c r="F182" s="1701"/>
      <c r="G182" s="1763"/>
      <c r="H182" s="2881"/>
      <c r="I182" s="2881">
        <v>1</v>
      </c>
      <c r="J182" s="2897"/>
      <c r="K182" s="2586" t="s">
        <v>65</v>
      </c>
      <c r="L182" s="2525"/>
      <c r="M182" s="2525" t="s">
        <v>102</v>
      </c>
      <c r="N182" s="2895" t="str">
        <f>IF(Z182="","",INDEX(TERRITORY_MR_LIST,MATCH(Z182,TERRITORY_LIST_ID,0)))</f>
        <v/>
      </c>
      <c r="O182" s="2586" t="s">
        <v>65</v>
      </c>
      <c r="P182" s="2525"/>
      <c r="Q182" s="2525" t="s">
        <v>102</v>
      </c>
      <c r="R182" s="2882" t="s">
        <v>22</v>
      </c>
      <c r="S182" s="2758" t="s">
        <v>19</v>
      </c>
      <c r="T182" s="1719"/>
      <c r="U182" s="1719" t="s">
        <v>102</v>
      </c>
      <c r="V182" s="1352"/>
      <c r="W182" s="2897"/>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416" customFormat="1" ht="17.25" customHeight="1">
      <c r="A183" s="1755"/>
      <c r="C183" s="1760"/>
      <c r="D183" s="1745"/>
      <c r="E183" s="1762"/>
      <c r="F183" s="1701"/>
      <c r="G183" s="1763"/>
      <c r="H183" s="2881"/>
      <c r="I183" s="2881"/>
      <c r="J183" s="2897"/>
      <c r="K183" s="2587"/>
      <c r="L183" s="2525"/>
      <c r="M183" s="2525"/>
      <c r="N183" s="2895"/>
      <c r="O183" s="2587"/>
      <c r="P183" s="2525"/>
      <c r="Q183" s="2525"/>
      <c r="R183" s="2882"/>
      <c r="S183" s="2758"/>
      <c r="T183" s="1353"/>
      <c r="U183" s="1354"/>
      <c r="V183" s="1354"/>
      <c r="W183" s="2897"/>
      <c r="Y183" s="1177"/>
      <c r="Z183" s="1177"/>
      <c r="AA183" s="1177"/>
      <c r="AB183" s="1177"/>
      <c r="AC183" s="1177"/>
      <c r="AD183" s="1177"/>
      <c r="AE183" s="1177"/>
      <c r="AF183" s="1177"/>
      <c r="AG183" s="1177"/>
      <c r="AH183" s="1177"/>
      <c r="AI183" s="1177"/>
      <c r="AJ183" s="1177"/>
      <c r="AK183" s="1177"/>
    </row>
    <row r="184" spans="1:43" s="2416" customFormat="1" ht="17.25" customHeight="1">
      <c r="A184" s="1755"/>
      <c r="C184" s="1760"/>
      <c r="D184" s="1745"/>
      <c r="E184" s="1762"/>
      <c r="F184" s="1701"/>
      <c r="G184" s="1763"/>
      <c r="H184" s="2548"/>
      <c r="I184" s="2548"/>
      <c r="J184" s="2898"/>
      <c r="K184" s="2587"/>
      <c r="L184" s="2548"/>
      <c r="M184" s="2548"/>
      <c r="N184" s="2896"/>
      <c r="O184" s="2529"/>
      <c r="P184" s="254"/>
      <c r="Q184" s="255"/>
      <c r="R184" s="255" t="s">
        <v>406</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416" customFormat="1" ht="17.25" customHeight="1">
      <c r="A185" s="1755"/>
      <c r="C185" s="1760"/>
      <c r="D185" s="1745"/>
      <c r="E185" s="1762"/>
      <c r="F185" s="1701"/>
      <c r="G185" s="1763"/>
      <c r="H185" s="2548"/>
      <c r="I185" s="2548"/>
      <c r="J185" s="2898"/>
      <c r="K185" s="2529"/>
      <c r="L185" s="254"/>
      <c r="M185" s="255"/>
      <c r="N185" s="255" t="s">
        <v>407</v>
      </c>
      <c r="O185" s="255"/>
      <c r="P185" s="255"/>
      <c r="Q185" s="255"/>
      <c r="R185" s="255"/>
      <c r="S185" s="1761"/>
      <c r="T185" s="1761"/>
      <c r="U185" s="1761"/>
      <c r="V185" s="1761"/>
      <c r="W185" s="256"/>
      <c r="Y185" s="1177"/>
      <c r="Z185" s="1177"/>
      <c r="AA185" s="1177"/>
      <c r="AB185" s="1177"/>
      <c r="AC185" s="1177"/>
      <c r="AD185" s="1177"/>
      <c r="AE185" s="1177"/>
      <c r="AF185" s="1177"/>
      <c r="AG185" s="1177"/>
      <c r="AH185" s="1177"/>
      <c r="AI185" s="1177"/>
      <c r="AJ185" s="1177"/>
      <c r="AK185" s="1177"/>
    </row>
    <row r="186" spans="1:43" ht="17.25" customHeight="1">
      <c r="A186" s="1765"/>
    </row>
    <row r="187" spans="1:43" s="2416" customFormat="1" ht="17.25" customHeight="1">
      <c r="A187" s="1755"/>
      <c r="C187" s="1757"/>
      <c r="D187" s="1745"/>
      <c r="E187" s="1762"/>
      <c r="F187" s="1701"/>
      <c r="G187" s="1763"/>
      <c r="H187" s="1745"/>
      <c r="I187" s="1745"/>
      <c r="J187" s="1766"/>
      <c r="K187" s="1763"/>
      <c r="L187" s="2525"/>
      <c r="M187" s="2525" t="s">
        <v>102</v>
      </c>
      <c r="N187" s="2895" t="str">
        <f>IF(Z187="","",INDEX(TERRITORY_MR_LIST,MATCH(Z187,TERRITORY_LIST_ID,0)))</f>
        <v/>
      </c>
      <c r="O187" s="2586" t="s">
        <v>65</v>
      </c>
      <c r="P187" s="2525"/>
      <c r="Q187" s="2525" t="s">
        <v>102</v>
      </c>
      <c r="R187" s="2882" t="s">
        <v>22</v>
      </c>
      <c r="S187" s="2758" t="s">
        <v>19</v>
      </c>
      <c r="T187" s="1719"/>
      <c r="U187" s="1719" t="s">
        <v>102</v>
      </c>
      <c r="V187" s="1352"/>
      <c r="W187" s="2897"/>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416" customFormat="1" ht="17.25" customHeight="1">
      <c r="A188" s="1755"/>
      <c r="C188" s="1760"/>
      <c r="D188" s="1745"/>
      <c r="E188" s="1762"/>
      <c r="F188" s="1701"/>
      <c r="G188" s="1763"/>
      <c r="H188" s="1745"/>
      <c r="I188" s="1745"/>
      <c r="J188" s="1766"/>
      <c r="K188" s="1763"/>
      <c r="L188" s="2525"/>
      <c r="M188" s="2525"/>
      <c r="N188" s="2895"/>
      <c r="O188" s="2587"/>
      <c r="P188" s="2525"/>
      <c r="Q188" s="2525"/>
      <c r="R188" s="2882"/>
      <c r="S188" s="2758"/>
      <c r="T188" s="1353"/>
      <c r="U188" s="1354"/>
      <c r="V188" s="1354"/>
      <c r="W188" s="2897"/>
      <c r="Y188" s="1177"/>
      <c r="Z188" s="1177"/>
      <c r="AA188" s="1177"/>
      <c r="AB188" s="1177"/>
      <c r="AC188" s="1177"/>
      <c r="AD188" s="1177"/>
      <c r="AE188" s="1177"/>
      <c r="AF188" s="1177"/>
      <c r="AG188" s="1177"/>
      <c r="AH188" s="1177"/>
      <c r="AI188" s="1177"/>
      <c r="AJ188" s="1177"/>
      <c r="AK188" s="1177"/>
    </row>
    <row r="189" spans="1:43" s="2416" customFormat="1" ht="17.25" customHeight="1">
      <c r="A189" s="1755"/>
      <c r="C189" s="1760"/>
      <c r="D189" s="1745"/>
      <c r="E189" s="1762"/>
      <c r="F189" s="1701"/>
      <c r="G189" s="1763"/>
      <c r="H189" s="1745"/>
      <c r="I189" s="1745"/>
      <c r="J189" s="1766"/>
      <c r="K189" s="1763"/>
      <c r="L189" s="2548"/>
      <c r="M189" s="2548"/>
      <c r="N189" s="2896"/>
      <c r="O189" s="2529"/>
      <c r="P189" s="254"/>
      <c r="Q189" s="255"/>
      <c r="R189" s="255" t="s">
        <v>406</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416" customFormat="1" ht="17.25" customHeight="1">
      <c r="A191" s="1755"/>
      <c r="C191" s="1757"/>
      <c r="D191" s="1745"/>
      <c r="E191" s="1762"/>
      <c r="F191" s="1701"/>
      <c r="G191" s="1763"/>
      <c r="H191" s="1745"/>
      <c r="I191" s="1745"/>
      <c r="J191" s="1766"/>
      <c r="K191" s="1763"/>
      <c r="L191" s="1745"/>
      <c r="M191" s="1745"/>
      <c r="N191" s="1960"/>
      <c r="O191" s="1704"/>
      <c r="P191" s="2525"/>
      <c r="Q191" s="2525" t="s">
        <v>102</v>
      </c>
      <c r="R191" s="2882" t="s">
        <v>22</v>
      </c>
      <c r="S191" s="2758" t="s">
        <v>19</v>
      </c>
      <c r="T191" s="1719"/>
      <c r="U191" s="1719" t="s">
        <v>102</v>
      </c>
      <c r="V191" s="1352"/>
      <c r="W191" s="2897"/>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416" customFormat="1" ht="17.25" customHeight="1">
      <c r="A192" s="1755"/>
      <c r="C192" s="1760"/>
      <c r="D192" s="1745"/>
      <c r="E192" s="1762"/>
      <c r="F192" s="1701"/>
      <c r="G192" s="1763"/>
      <c r="H192" s="1745"/>
      <c r="I192" s="1745"/>
      <c r="J192" s="1766"/>
      <c r="K192" s="1763"/>
      <c r="L192" s="1745"/>
      <c r="M192" s="1745"/>
      <c r="N192" s="1960"/>
      <c r="O192" s="1704"/>
      <c r="P192" s="2525"/>
      <c r="Q192" s="2525"/>
      <c r="R192" s="2882"/>
      <c r="S192" s="2758"/>
      <c r="T192" s="1353"/>
      <c r="U192" s="1354"/>
      <c r="V192" s="1354"/>
      <c r="W192" s="2897"/>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881"/>
      <c r="E194" s="2583"/>
      <c r="F194" s="2583"/>
      <c r="G194" s="2514"/>
      <c r="H194" s="2538"/>
      <c r="I194" s="2540"/>
      <c r="J194" s="2542"/>
      <c r="K194" s="2534"/>
      <c r="L194" s="2534"/>
      <c r="M194" s="2534"/>
      <c r="N194" s="2545"/>
      <c r="O194" s="2534"/>
      <c r="P194" s="2534"/>
      <c r="Q194" s="2534"/>
      <c r="R194" s="2532"/>
      <c r="S194" s="2534"/>
      <c r="T194" s="1700"/>
      <c r="U194" s="1700"/>
      <c r="V194" s="1767"/>
      <c r="W194" s="1214"/>
    </row>
    <row r="195" spans="1:63" ht="16.5" customHeight="1">
      <c r="A195" s="1755"/>
      <c r="B195" s="1756"/>
      <c r="C195" s="1760"/>
      <c r="D195" s="2881"/>
      <c r="E195" s="2583"/>
      <c r="F195" s="2583"/>
      <c r="G195" s="2514"/>
      <c r="H195" s="2539"/>
      <c r="I195" s="2541"/>
      <c r="J195" s="2543"/>
      <c r="K195" s="2535"/>
      <c r="L195" s="2535"/>
      <c r="M195" s="2535"/>
      <c r="N195" s="2546"/>
      <c r="O195" s="2535"/>
      <c r="P195" s="2535"/>
      <c r="Q195" s="2535"/>
      <c r="R195" s="2533"/>
      <c r="S195" s="2535"/>
      <c r="T195" s="1215"/>
      <c r="U195" s="1215"/>
      <c r="V195" s="1215"/>
      <c r="W195" s="1216"/>
    </row>
    <row r="196" spans="1:63" ht="17.25" customHeight="1">
      <c r="A196" s="1755"/>
      <c r="B196" s="1756"/>
      <c r="C196" s="1760"/>
      <c r="D196" s="2881"/>
      <c r="E196" s="2583"/>
      <c r="F196" s="2583"/>
      <c r="G196" s="2514"/>
      <c r="H196" s="2539"/>
      <c r="I196" s="2541"/>
      <c r="J196" s="2544"/>
      <c r="K196" s="2535"/>
      <c r="L196" s="2535"/>
      <c r="M196" s="2535"/>
      <c r="N196" s="2533"/>
      <c r="O196" s="2535"/>
      <c r="P196" s="1703"/>
      <c r="Q196" s="1215"/>
      <c r="R196" s="1215"/>
      <c r="S196" s="1768"/>
      <c r="T196" s="1768"/>
      <c r="U196" s="1768"/>
      <c r="V196" s="1768"/>
      <c r="W196" s="1216"/>
    </row>
    <row r="197" spans="1:63" ht="17.25" customHeight="1">
      <c r="A197" s="1755"/>
      <c r="B197" s="1756"/>
      <c r="C197" s="1760"/>
      <c r="D197" s="2881"/>
      <c r="E197" s="2583"/>
      <c r="F197" s="2583"/>
      <c r="G197" s="2514"/>
      <c r="H197" s="2539"/>
      <c r="I197" s="2541"/>
      <c r="J197" s="2544"/>
      <c r="K197" s="2535"/>
      <c r="L197" s="1215"/>
      <c r="M197" s="1215"/>
      <c r="N197" s="1215"/>
      <c r="O197" s="1215"/>
      <c r="P197" s="1215"/>
      <c r="Q197" s="1215"/>
      <c r="R197" s="1215"/>
      <c r="S197" s="1768"/>
      <c r="T197" s="1768"/>
      <c r="U197" s="1768"/>
      <c r="V197" s="1768"/>
      <c r="W197" s="1216"/>
    </row>
    <row r="198" spans="1:63" ht="17.25" customHeight="1">
      <c r="A198" s="1755"/>
      <c r="B198" s="1756"/>
      <c r="C198" s="1760"/>
      <c r="D198" s="2881"/>
      <c r="E198" s="2583"/>
      <c r="F198" s="2583"/>
      <c r="G198" s="2514"/>
      <c r="H198" s="1217"/>
      <c r="I198" s="1218"/>
      <c r="J198" s="1218"/>
      <c r="K198" s="1218"/>
      <c r="L198" s="1218"/>
      <c r="M198" s="1218"/>
      <c r="N198" s="1218"/>
      <c r="O198" s="1218"/>
      <c r="P198" s="1218"/>
      <c r="Q198" s="1218"/>
      <c r="R198" s="1218"/>
      <c r="S198" s="1769"/>
      <c r="T198" s="1769"/>
      <c r="U198" s="1769"/>
      <c r="V198" s="1769"/>
      <c r="W198" s="1220"/>
    </row>
    <row r="200" spans="1:63" s="2467" customFormat="1" ht="17.25" customHeight="1">
      <c r="A200" s="1732" t="s">
        <v>1978</v>
      </c>
    </row>
    <row r="201" spans="1:63" ht="17.25" customHeight="1">
      <c r="G201" s="1754"/>
      <c r="H201" s="1754"/>
      <c r="I201" s="1754"/>
      <c r="M201" s="1750"/>
    </row>
    <row r="202" spans="1:63" s="2410" customFormat="1" ht="15" customHeight="1">
      <c r="D202" s="2908"/>
      <c r="E202" s="2578"/>
      <c r="F202" s="2578"/>
      <c r="G202" s="2586"/>
      <c r="H202" s="1482"/>
      <c r="I202" s="2909">
        <v>1</v>
      </c>
      <c r="J202" s="2897"/>
      <c r="K202" s="1497"/>
      <c r="L202" s="2586" t="s">
        <v>65</v>
      </c>
      <c r="M202" s="2586" t="s">
        <v>65</v>
      </c>
      <c r="N202" s="1482"/>
      <c r="O202" s="2525" t="s">
        <v>102</v>
      </c>
      <c r="P202" s="2801"/>
      <c r="Q202" s="1498"/>
      <c r="R202" s="2586" t="s">
        <v>65</v>
      </c>
      <c r="S202" s="2586" t="s">
        <v>65</v>
      </c>
      <c r="T202" s="1770"/>
      <c r="U202" s="2525" t="s">
        <v>102</v>
      </c>
      <c r="V202" s="2905" t="str">
        <f>IF(AK202="","",INDEX(TERRITORY_MR_LIST,MATCH(AK202,TERRITORY_LIST_ID,0)))</f>
        <v/>
      </c>
      <c r="W202" s="1499"/>
      <c r="X202" s="2586" t="s">
        <v>65</v>
      </c>
      <c r="Y202" s="2586" t="s">
        <v>19</v>
      </c>
      <c r="Z202" s="1482"/>
      <c r="AA202" s="2525" t="s">
        <v>102</v>
      </c>
      <c r="AB202" s="2907"/>
      <c r="AC202" s="1500"/>
      <c r="AD202" s="2586" t="s">
        <v>65</v>
      </c>
      <c r="AE202" s="2586" t="s">
        <v>19</v>
      </c>
      <c r="AF202" s="1480"/>
      <c r="AG202" s="1728" t="s">
        <v>102</v>
      </c>
      <c r="AH202" s="1490"/>
      <c r="AI202" s="1718"/>
    </row>
    <row r="203" spans="1:63" s="2410" customFormat="1" ht="15" customHeight="1">
      <c r="D203" s="2908"/>
      <c r="E203" s="2578"/>
      <c r="F203" s="2578"/>
      <c r="G203" s="2587"/>
      <c r="H203" s="1482"/>
      <c r="I203" s="2909"/>
      <c r="J203" s="2897"/>
      <c r="K203" s="1481"/>
      <c r="L203" s="2587"/>
      <c r="M203" s="2587"/>
      <c r="N203" s="1482"/>
      <c r="O203" s="2525"/>
      <c r="P203" s="2801"/>
      <c r="Q203" s="1478"/>
      <c r="R203" s="2587"/>
      <c r="S203" s="2587"/>
      <c r="T203" s="1770"/>
      <c r="U203" s="2525"/>
      <c r="V203" s="2906"/>
      <c r="W203" s="1479"/>
      <c r="X203" s="2587"/>
      <c r="Y203" s="2587"/>
      <c r="Z203" s="1482"/>
      <c r="AA203" s="2525"/>
      <c r="AB203" s="2871"/>
      <c r="AC203" s="1483"/>
      <c r="AD203" s="2529"/>
      <c r="AE203" s="2529"/>
      <c r="AF203" s="1484"/>
      <c r="AG203" s="1485"/>
      <c r="AH203" s="2911" t="s">
        <v>1979</v>
      </c>
      <c r="AI203" s="2912"/>
    </row>
    <row r="204" spans="1:63" s="2410" customFormat="1" ht="15" customHeight="1">
      <c r="D204" s="2908"/>
      <c r="E204" s="2578"/>
      <c r="F204" s="2578"/>
      <c r="G204" s="2587"/>
      <c r="H204" s="1482"/>
      <c r="I204" s="2909"/>
      <c r="J204" s="2897"/>
      <c r="K204" s="1481"/>
      <c r="L204" s="2587"/>
      <c r="M204" s="2587"/>
      <c r="N204" s="1482"/>
      <c r="O204" s="2525"/>
      <c r="P204" s="2801"/>
      <c r="Q204" s="1478"/>
      <c r="R204" s="2587"/>
      <c r="S204" s="2587"/>
      <c r="T204" s="1770"/>
      <c r="U204" s="2525"/>
      <c r="V204" s="2906"/>
      <c r="W204" s="1479"/>
      <c r="X204" s="2587"/>
      <c r="Y204" s="2587"/>
      <c r="Z204" s="1521"/>
      <c r="AA204" s="1487"/>
      <c r="AB204" s="2913" t="s">
        <v>1980</v>
      </c>
      <c r="AC204" s="2913"/>
      <c r="AD204" s="2913"/>
      <c r="AE204" s="2913"/>
      <c r="AF204" s="2913"/>
      <c r="AG204" s="2913"/>
      <c r="AH204" s="2913"/>
      <c r="AI204" s="2914"/>
    </row>
    <row r="205" spans="1:63" s="2410" customFormat="1" ht="15" customHeight="1">
      <c r="D205" s="2908"/>
      <c r="E205" s="2578"/>
      <c r="F205" s="2578"/>
      <c r="G205" s="2587"/>
      <c r="H205" s="1482"/>
      <c r="I205" s="2909"/>
      <c r="J205" s="2897"/>
      <c r="K205" s="1481"/>
      <c r="L205" s="2587"/>
      <c r="M205" s="2587"/>
      <c r="N205" s="1482"/>
      <c r="O205" s="2525"/>
      <c r="P205" s="2915"/>
      <c r="Q205" s="1478"/>
      <c r="R205" s="2587"/>
      <c r="S205" s="2587"/>
      <c r="T205" s="1771"/>
      <c r="U205" s="1522"/>
      <c r="V205" s="2911" t="s">
        <v>96</v>
      </c>
      <c r="W205" s="2911"/>
      <c r="X205" s="2911"/>
      <c r="Y205" s="2911"/>
      <c r="Z205" s="2911"/>
      <c r="AA205" s="2911"/>
      <c r="AB205" s="2911"/>
      <c r="AC205" s="2911"/>
      <c r="AD205" s="2911"/>
      <c r="AE205" s="2911"/>
      <c r="AF205" s="2911"/>
      <c r="AG205" s="2911"/>
      <c r="AH205" s="2911"/>
      <c r="AI205" s="2912"/>
    </row>
    <row r="206" spans="1:63" s="2410" customFormat="1" ht="11.25" customHeight="1">
      <c r="D206" s="2908"/>
      <c r="E206" s="2578"/>
      <c r="F206" s="2578"/>
      <c r="G206" s="2587"/>
      <c r="H206" s="1486"/>
      <c r="I206" s="2909"/>
      <c r="J206" s="2910"/>
      <c r="K206" s="1481"/>
      <c r="L206" s="2587"/>
      <c r="M206" s="2587"/>
      <c r="N206" s="1486"/>
      <c r="O206" s="1487"/>
      <c r="P206" s="2911" t="s">
        <v>1981</v>
      </c>
      <c r="Q206" s="2911"/>
      <c r="R206" s="2911"/>
      <c r="S206" s="2911"/>
      <c r="T206" s="2911"/>
      <c r="U206" s="2911"/>
      <c r="V206" s="2911"/>
      <c r="W206" s="2911"/>
      <c r="X206" s="2911"/>
      <c r="Y206" s="2911"/>
      <c r="Z206" s="2911"/>
      <c r="AA206" s="2911"/>
      <c r="AB206" s="2911"/>
      <c r="AC206" s="2911"/>
      <c r="AD206" s="2911"/>
      <c r="AE206" s="2911"/>
      <c r="AF206" s="2911"/>
      <c r="AG206" s="2911"/>
      <c r="AH206" s="2911"/>
      <c r="AI206" s="2912"/>
    </row>
    <row r="207" spans="1:63" s="2422" customFormat="1" ht="11.25" customHeight="1">
      <c r="D207" s="2908"/>
      <c r="E207" s="2578"/>
      <c r="F207" s="2578"/>
      <c r="G207" s="2529"/>
      <c r="H207" s="1488"/>
      <c r="I207" s="1489"/>
      <c r="J207" s="2911" t="s">
        <v>439</v>
      </c>
      <c r="K207" s="2911"/>
      <c r="L207" s="2911"/>
      <c r="M207" s="2911"/>
      <c r="N207" s="2911"/>
      <c r="O207" s="2911"/>
      <c r="P207" s="2911"/>
      <c r="Q207" s="2911"/>
      <c r="R207" s="2911"/>
      <c r="S207" s="2911"/>
      <c r="T207" s="2911"/>
      <c r="U207" s="2911"/>
      <c r="V207" s="2911"/>
      <c r="W207" s="2911"/>
      <c r="X207" s="2911"/>
      <c r="Y207" s="2911"/>
      <c r="Z207" s="2911"/>
      <c r="AA207" s="2911"/>
      <c r="AB207" s="2911"/>
      <c r="AC207" s="2911"/>
      <c r="AD207" s="2911"/>
      <c r="AE207" s="2911"/>
      <c r="AF207" s="2911"/>
      <c r="AG207" s="2911"/>
      <c r="AH207" s="2911"/>
      <c r="AI207" s="2912"/>
      <c r="BK207" s="1492"/>
    </row>
    <row r="208" spans="1:63" ht="17.25" customHeight="1">
      <c r="G208" s="1754"/>
      <c r="I208" s="1754"/>
      <c r="J208" s="1754"/>
      <c r="N208" s="1750"/>
    </row>
    <row r="209" spans="1:63" s="2410" customFormat="1" ht="15" customHeight="1">
      <c r="D209" s="2908"/>
      <c r="E209" s="2578"/>
      <c r="F209" s="2578"/>
      <c r="G209" s="2583"/>
      <c r="H209" s="1517"/>
      <c r="I209" s="2588"/>
      <c r="J209" s="2542"/>
      <c r="K209" s="1702"/>
      <c r="L209" s="2534"/>
      <c r="M209" s="2534"/>
      <c r="N209" s="1502"/>
      <c r="O209" s="2534"/>
      <c r="P209" s="2542"/>
      <c r="Q209" s="1706"/>
      <c r="R209" s="2534"/>
      <c r="S209" s="2534"/>
      <c r="T209" s="1772"/>
      <c r="U209" s="2534"/>
      <c r="V209" s="2542"/>
      <c r="W209" s="1505"/>
      <c r="X209" s="2534"/>
      <c r="Y209" s="2534"/>
      <c r="Z209" s="1502"/>
      <c r="AA209" s="2534"/>
      <c r="AB209" s="2542"/>
      <c r="AC209" s="1506"/>
      <c r="AD209" s="2534"/>
      <c r="AE209" s="2534"/>
      <c r="AF209" s="1700"/>
      <c r="AG209" s="1700"/>
      <c r="AH209" s="1507"/>
      <c r="AI209" s="1214"/>
    </row>
    <row r="210" spans="1:63" s="2410" customFormat="1" ht="15" customHeight="1">
      <c r="D210" s="2908"/>
      <c r="E210" s="2578"/>
      <c r="F210" s="2578"/>
      <c r="G210" s="2583"/>
      <c r="H210" s="1518"/>
      <c r="I210" s="2589"/>
      <c r="J210" s="2543"/>
      <c r="K210" s="1528"/>
      <c r="L210" s="2535"/>
      <c r="M210" s="2535"/>
      <c r="N210" s="1508"/>
      <c r="O210" s="2535"/>
      <c r="P210" s="2543"/>
      <c r="Q210" s="1707"/>
      <c r="R210" s="2535"/>
      <c r="S210" s="2535"/>
      <c r="T210" s="1773"/>
      <c r="U210" s="2535"/>
      <c r="V210" s="2543"/>
      <c r="W210" s="1511"/>
      <c r="X210" s="2535"/>
      <c r="Y210" s="2535"/>
      <c r="Z210" s="1508"/>
      <c r="AA210" s="2535"/>
      <c r="AB210" s="2543"/>
      <c r="AC210" s="1512"/>
      <c r="AD210" s="2535"/>
      <c r="AE210" s="2535"/>
      <c r="AF210" s="1705"/>
      <c r="AG210" s="1705"/>
      <c r="AH210" s="2592"/>
      <c r="AI210" s="2593"/>
    </row>
    <row r="211" spans="1:63" s="2410" customFormat="1" ht="15" customHeight="1">
      <c r="D211" s="2908"/>
      <c r="E211" s="2578"/>
      <c r="F211" s="2578"/>
      <c r="G211" s="2583"/>
      <c r="H211" s="1518"/>
      <c r="I211" s="2589"/>
      <c r="J211" s="2543"/>
      <c r="K211" s="1528"/>
      <c r="L211" s="2535"/>
      <c r="M211" s="2535"/>
      <c r="N211" s="1508"/>
      <c r="O211" s="2535"/>
      <c r="P211" s="2543"/>
      <c r="Q211" s="1707"/>
      <c r="R211" s="2535"/>
      <c r="S211" s="2535"/>
      <c r="T211" s="1773"/>
      <c r="U211" s="2535"/>
      <c r="V211" s="2543"/>
      <c r="W211" s="1511"/>
      <c r="X211" s="2535"/>
      <c r="Y211" s="2535"/>
      <c r="Z211" s="1703"/>
      <c r="AA211" s="1705"/>
      <c r="AB211" s="2592"/>
      <c r="AC211" s="2592"/>
      <c r="AD211" s="2592"/>
      <c r="AE211" s="2592"/>
      <c r="AF211" s="2592"/>
      <c r="AG211" s="2592"/>
      <c r="AH211" s="2592"/>
      <c r="AI211" s="2593"/>
    </row>
    <row r="212" spans="1:63" s="2410" customFormat="1" ht="15" customHeight="1">
      <c r="D212" s="2908"/>
      <c r="E212" s="2578"/>
      <c r="F212" s="2578"/>
      <c r="G212" s="2583"/>
      <c r="H212" s="1518"/>
      <c r="I212" s="2589"/>
      <c r="J212" s="2543"/>
      <c r="K212" s="1528"/>
      <c r="L212" s="2535"/>
      <c r="M212" s="2535"/>
      <c r="N212" s="1508"/>
      <c r="O212" s="2535"/>
      <c r="P212" s="2543"/>
      <c r="Q212" s="1707"/>
      <c r="R212" s="2535"/>
      <c r="S212" s="2535"/>
      <c r="T212" s="1774"/>
      <c r="U212" s="1515"/>
      <c r="V212" s="2592"/>
      <c r="W212" s="2592"/>
      <c r="X212" s="2592"/>
      <c r="Y212" s="2592"/>
      <c r="Z212" s="2592"/>
      <c r="AA212" s="2592"/>
      <c r="AB212" s="2592"/>
      <c r="AC212" s="2592"/>
      <c r="AD212" s="2592"/>
      <c r="AE212" s="2592"/>
      <c r="AF212" s="2592"/>
      <c r="AG212" s="2592"/>
      <c r="AH212" s="2592"/>
      <c r="AI212" s="2593"/>
    </row>
    <row r="213" spans="1:63" s="2410" customFormat="1" ht="11.25" customHeight="1">
      <c r="D213" s="2908"/>
      <c r="E213" s="2578"/>
      <c r="F213" s="2578"/>
      <c r="G213" s="2583"/>
      <c r="H213" s="1519"/>
      <c r="I213" s="2589"/>
      <c r="J213" s="2543"/>
      <c r="K213" s="1528"/>
      <c r="L213" s="2535"/>
      <c r="M213" s="2535"/>
      <c r="N213" s="1705"/>
      <c r="O213" s="1705"/>
      <c r="P213" s="2592"/>
      <c r="Q213" s="2592"/>
      <c r="R213" s="2592"/>
      <c r="S213" s="2592"/>
      <c r="T213" s="2592"/>
      <c r="U213" s="2592"/>
      <c r="V213" s="2592"/>
      <c r="W213" s="2592"/>
      <c r="X213" s="2592"/>
      <c r="Y213" s="2592"/>
      <c r="Z213" s="2592"/>
      <c r="AA213" s="2592"/>
      <c r="AB213" s="2592"/>
      <c r="AC213" s="2592"/>
      <c r="AD213" s="2592"/>
      <c r="AE213" s="2592"/>
      <c r="AF213" s="2592"/>
      <c r="AG213" s="2592"/>
      <c r="AH213" s="2592"/>
      <c r="AI213" s="2593"/>
    </row>
    <row r="214" spans="1:63" s="2422" customFormat="1" ht="11.25" customHeight="1">
      <c r="D214" s="2908"/>
      <c r="E214" s="2578"/>
      <c r="F214" s="2578"/>
      <c r="G214" s="2594"/>
      <c r="H214" s="1516"/>
      <c r="I214" s="1520"/>
      <c r="J214" s="2590"/>
      <c r="K214" s="2590"/>
      <c r="L214" s="2590"/>
      <c r="M214" s="2590"/>
      <c r="N214" s="2590"/>
      <c r="O214" s="2590"/>
      <c r="P214" s="2590"/>
      <c r="Q214" s="2590"/>
      <c r="R214" s="2590"/>
      <c r="S214" s="2590"/>
      <c r="T214" s="2590"/>
      <c r="U214" s="2590"/>
      <c r="V214" s="2590"/>
      <c r="W214" s="2590"/>
      <c r="X214" s="2590"/>
      <c r="Y214" s="2590"/>
      <c r="Z214" s="2590"/>
      <c r="AA214" s="2590"/>
      <c r="AB214" s="2590"/>
      <c r="AC214" s="2590"/>
      <c r="AD214" s="2590"/>
      <c r="AE214" s="2590"/>
      <c r="AF214" s="2590"/>
      <c r="AG214" s="2590"/>
      <c r="AH214" s="2590"/>
      <c r="AI214" s="2591"/>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468"/>
    <col min="2" max="2" width="43.140625" style="2468" hidden="1"/>
    <col min="3" max="3" width="43.140625" style="2468"/>
    <col min="4" max="5" width="36.42578125" style="2468" customWidth="1"/>
    <col min="6" max="8" width="36.42578125" style="2469" customWidth="1"/>
  </cols>
  <sheetData>
    <row r="1" spans="1:8" ht="9" customHeight="1">
      <c r="A1" s="773" t="s">
        <v>1982</v>
      </c>
      <c r="B1" s="773"/>
      <c r="C1" s="906" t="s">
        <v>1983</v>
      </c>
      <c r="D1" s="905" t="s">
        <v>799</v>
      </c>
      <c r="E1" s="905" t="s">
        <v>845</v>
      </c>
      <c r="F1" s="905" t="s">
        <v>898</v>
      </c>
      <c r="G1" s="905" t="s">
        <v>885</v>
      </c>
      <c r="H1" s="905" t="s">
        <v>1664</v>
      </c>
    </row>
    <row r="2" spans="1:8" ht="9" customHeight="1">
      <c r="A2" s="907" t="s">
        <v>1984</v>
      </c>
      <c r="B2" s="907"/>
      <c r="C2" s="908" t="str">
        <f>INDEX(TEMPLATE_NUMBER_FORM_LIST,MATCH(TEMPLATE_SPHERE,TEMPLATE_SPHERE_LIST,0))</f>
        <v>16</v>
      </c>
      <c r="D2" s="907" t="s">
        <v>1516</v>
      </c>
      <c r="E2" s="907" t="s">
        <v>142</v>
      </c>
      <c r="F2" s="909" t="s">
        <v>142</v>
      </c>
      <c r="G2" s="907" t="s">
        <v>142</v>
      </c>
      <c r="H2" s="910"/>
    </row>
    <row r="3" spans="1:8" ht="63" customHeight="1">
      <c r="A3" s="773"/>
      <c r="B3" s="773" t="s">
        <v>102</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1985</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1986</v>
      </c>
      <c r="B4" s="773" t="s">
        <v>103</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1987</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1988</v>
      </c>
    </row>
    <row r="5" spans="1:8" ht="117" customHeight="1">
      <c r="A5" s="773" t="s">
        <v>1989</v>
      </c>
      <c r="B5" s="773" t="s">
        <v>86</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1990</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1991</v>
      </c>
    </row>
    <row r="6" spans="1:8" ht="90" customHeight="1">
      <c r="A6" s="773" t="s">
        <v>1992</v>
      </c>
      <c r="B6" s="773" t="s">
        <v>87</v>
      </c>
      <c r="C6" s="908"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1993</v>
      </c>
      <c r="B7" s="773" t="s">
        <v>104</v>
      </c>
      <c r="C7" s="908" t="str">
        <f>IF(TEMPLATE_SPHERE="HEAT",D7,E7)</f>
        <v>Форма 11. Информация о расходах на капитальный и текущий ремонт основных средств</v>
      </c>
      <c r="D7" s="773" t="s">
        <v>1994</v>
      </c>
      <c r="E7" s="773" t="s">
        <v>1995</v>
      </c>
      <c r="F7" s="910"/>
      <c r="G7" s="910"/>
      <c r="H7" s="910"/>
    </row>
    <row r="8" spans="1:8" ht="108" customHeight="1">
      <c r="A8" s="773" t="s">
        <v>1996</v>
      </c>
      <c r="B8" s="773" t="s">
        <v>88</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1208</v>
      </c>
      <c r="E8" s="773" t="s">
        <v>1997</v>
      </c>
      <c r="F8" s="910"/>
      <c r="G8" s="910"/>
      <c r="H8" s="910"/>
    </row>
    <row r="9" spans="1:8" ht="99" customHeight="1">
      <c r="A9" s="773" t="s">
        <v>1998</v>
      </c>
      <c r="B9" s="773"/>
      <c r="C9" s="773" t="s">
        <v>1999</v>
      </c>
      <c r="D9" s="773"/>
      <c r="E9" s="773"/>
      <c r="F9" s="910"/>
      <c r="G9" s="910"/>
      <c r="H9" s="910"/>
    </row>
    <row r="10" spans="1:8" ht="126" customHeight="1">
      <c r="A10" s="773" t="s">
        <v>2000</v>
      </c>
      <c r="B10" s="773"/>
      <c r="C10" s="773" t="s">
        <v>2001</v>
      </c>
      <c r="D10" s="773"/>
      <c r="E10" s="773"/>
      <c r="F10" s="910"/>
      <c r="G10" s="910"/>
      <c r="H10" s="910"/>
    </row>
    <row r="11" spans="1:8" ht="108" customHeight="1">
      <c r="A11" s="773" t="s">
        <v>2002</v>
      </c>
      <c r="B11" s="773"/>
      <c r="C11" s="773" t="s">
        <v>2003</v>
      </c>
      <c r="D11" s="773"/>
      <c r="E11" s="773"/>
      <c r="F11" s="910"/>
      <c r="G11" s="910"/>
      <c r="H11" s="910"/>
    </row>
    <row r="12" spans="1:8" ht="54" customHeight="1">
      <c r="A12" s="773" t="s">
        <v>2004</v>
      </c>
      <c r="B12" s="773"/>
      <c r="C12" s="773" t="s">
        <v>2005</v>
      </c>
      <c r="D12" s="773"/>
      <c r="E12" s="773"/>
      <c r="F12" s="910"/>
      <c r="G12" s="910"/>
      <c r="H12" s="910"/>
    </row>
    <row r="13" spans="1:8" ht="45" customHeight="1">
      <c r="A13" s="773" t="s">
        <v>2006</v>
      </c>
      <c r="B13" s="773"/>
      <c r="C13" s="773" t="s">
        <v>2007</v>
      </c>
      <c r="D13" s="773"/>
      <c r="E13" s="773"/>
      <c r="F13" s="910"/>
      <c r="G13" s="910"/>
      <c r="H13" s="910"/>
    </row>
    <row r="14" spans="1:8" ht="117" customHeight="1">
      <c r="A14" s="773" t="s">
        <v>2008</v>
      </c>
      <c r="B14" s="773"/>
      <c r="C14" s="773" t="s">
        <v>2009</v>
      </c>
      <c r="D14" s="773"/>
      <c r="E14" s="773"/>
      <c r="F14" s="910"/>
      <c r="G14" s="910"/>
      <c r="H14" s="910"/>
    </row>
    <row r="15" spans="1:8" ht="117" customHeight="1">
      <c r="A15" s="773" t="s">
        <v>2010</v>
      </c>
      <c r="B15" s="773"/>
      <c r="C15" s="773" t="s">
        <v>2011</v>
      </c>
      <c r="D15" s="773"/>
      <c r="E15" s="773"/>
      <c r="F15" s="910"/>
      <c r="G15" s="910"/>
      <c r="H15" s="910"/>
    </row>
    <row r="16" spans="1:8" ht="63" customHeight="1">
      <c r="A16" s="773" t="s">
        <v>2012</v>
      </c>
      <c r="B16" s="773"/>
      <c r="C16" s="773" t="s">
        <v>2013</v>
      </c>
      <c r="D16" s="773"/>
      <c r="E16" s="773"/>
      <c r="F16" s="910"/>
      <c r="G16" s="910"/>
      <c r="H16" s="910"/>
    </row>
    <row r="17" spans="1:8" ht="54" customHeight="1">
      <c r="A17" s="773" t="s">
        <v>2014</v>
      </c>
      <c r="B17" s="773"/>
      <c r="C17" s="908" t="s">
        <v>2015</v>
      </c>
      <c r="D17" s="773"/>
      <c r="E17" s="773"/>
      <c r="F17" s="910"/>
      <c r="G17" s="910"/>
      <c r="H17" s="910"/>
    </row>
    <row r="18" spans="1:8" ht="27" customHeight="1">
      <c r="A18" s="773" t="s">
        <v>2016</v>
      </c>
      <c r="B18" s="773"/>
      <c r="C18" s="908" t="s">
        <v>2017</v>
      </c>
      <c r="D18" s="773"/>
      <c r="E18" s="773"/>
      <c r="F18" s="910"/>
      <c r="G18" s="910"/>
      <c r="H18" s="910"/>
    </row>
    <row r="19" spans="1:8" ht="54" customHeight="1">
      <c r="A19" s="773" t="s">
        <v>2018</v>
      </c>
      <c r="B19" s="773"/>
      <c r="C19" s="908" t="s">
        <v>2019</v>
      </c>
      <c r="D19" s="773"/>
      <c r="E19" s="773"/>
      <c r="F19" s="910"/>
      <c r="G19" s="910"/>
      <c r="H19" s="910"/>
    </row>
    <row r="20" spans="1:8" ht="36" customHeight="1">
      <c r="A20" s="773" t="s">
        <v>2020</v>
      </c>
      <c r="B20" s="773"/>
      <c r="C20" s="908" t="s">
        <v>2021</v>
      </c>
      <c r="D20" s="773"/>
      <c r="E20" s="773"/>
      <c r="F20" s="910"/>
      <c r="G20" s="910"/>
      <c r="H20" s="910"/>
    </row>
    <row r="21" spans="1:8" ht="36" customHeight="1">
      <c r="A21" s="773" t="s">
        <v>2022</v>
      </c>
      <c r="B21" s="773"/>
      <c r="C21" s="908" t="s">
        <v>2023</v>
      </c>
      <c r="D21" s="773"/>
      <c r="E21" s="773"/>
      <c r="F21" s="910"/>
      <c r="G21" s="910"/>
      <c r="H21" s="910"/>
    </row>
    <row r="22" spans="1:8" ht="27" customHeight="1">
      <c r="A22" s="773" t="s">
        <v>2024</v>
      </c>
      <c r="B22" s="773"/>
      <c r="C22" s="908" t="s">
        <v>2025</v>
      </c>
      <c r="D22" s="773"/>
      <c r="E22" s="773"/>
      <c r="F22" s="910"/>
      <c r="G22" s="910"/>
      <c r="H22" s="910"/>
    </row>
    <row r="23" spans="1:8" ht="36" customHeight="1">
      <c r="A23" s="773" t="s">
        <v>2026</v>
      </c>
      <c r="B23" s="773"/>
      <c r="C23" s="908" t="s">
        <v>2027</v>
      </c>
      <c r="D23" s="773"/>
      <c r="E23" s="773"/>
      <c r="F23" s="910"/>
      <c r="G23" s="910"/>
      <c r="H23" s="910"/>
    </row>
    <row r="24" spans="1:8" ht="28.5" customHeight="1">
      <c r="A24" s="773" t="s">
        <v>2028</v>
      </c>
      <c r="B24" s="773"/>
      <c r="C24" s="908" t="s">
        <v>2029</v>
      </c>
      <c r="D24" s="773"/>
      <c r="E24" s="773"/>
      <c r="F24" s="910"/>
      <c r="G24" s="910"/>
      <c r="H24" s="910"/>
    </row>
    <row r="25" spans="1:8" ht="36" customHeight="1">
      <c r="A25" s="773" t="s">
        <v>2030</v>
      </c>
      <c r="B25" s="773"/>
      <c r="C25" s="908" t="s">
        <v>2031</v>
      </c>
      <c r="D25" s="773"/>
      <c r="E25" s="773"/>
      <c r="F25" s="910"/>
      <c r="G25" s="910"/>
      <c r="H25" s="910"/>
    </row>
    <row r="26" spans="1:8" ht="27" customHeight="1">
      <c r="A26" s="773" t="s">
        <v>2032</v>
      </c>
      <c r="B26" s="773"/>
      <c r="C26" s="908" t="s">
        <v>2033</v>
      </c>
      <c r="D26" s="773"/>
      <c r="E26" s="773"/>
      <c r="F26" s="910"/>
      <c r="G26" s="910"/>
      <c r="H26" s="910"/>
    </row>
    <row r="27" spans="1:8" ht="36" customHeight="1">
      <c r="A27" s="773" t="s">
        <v>2034</v>
      </c>
      <c r="B27" s="773"/>
      <c r="C27" s="908" t="s">
        <v>2035</v>
      </c>
      <c r="D27" s="773"/>
      <c r="E27" s="773"/>
      <c r="F27" s="910"/>
      <c r="G27" s="910"/>
      <c r="H27" s="910"/>
    </row>
    <row r="28" spans="1:8" ht="28.5" customHeight="1">
      <c r="A28" s="773" t="s">
        <v>2036</v>
      </c>
      <c r="B28" s="773"/>
      <c r="C28" s="908" t="s">
        <v>2037</v>
      </c>
      <c r="D28" s="773"/>
      <c r="E28" s="773"/>
      <c r="F28" s="910"/>
      <c r="G28" s="910"/>
      <c r="H28" s="910"/>
    </row>
    <row r="29" spans="1:8" ht="126" customHeight="1">
      <c r="A29" s="773" t="s">
        <v>2038</v>
      </c>
      <c r="B29" s="773" t="s">
        <v>1616</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2039</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2040</v>
      </c>
    </row>
    <row r="30" spans="1:8" ht="36" customHeight="1">
      <c r="A30" s="773" t="s">
        <v>2041</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2042</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2043</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2044</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2045</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2046</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2047</v>
      </c>
    </row>
    <row r="33" spans="1:8" ht="9" customHeight="1">
      <c r="A33" s="773"/>
      <c r="B33" s="773"/>
      <c r="C33" s="908"/>
      <c r="D33" s="773"/>
      <c r="E33" s="773"/>
      <c r="F33" s="910"/>
      <c r="G33" s="910"/>
      <c r="H33" s="910"/>
    </row>
    <row r="34" spans="1:8" ht="9" customHeight="1">
      <c r="A34" s="773"/>
      <c r="B34" s="773" t="s">
        <v>1553</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468"/>
    <col min="3" max="7" width="8" style="2471" customWidth="1"/>
    <col min="8" max="12" width="8.5703125" style="2471" customWidth="1"/>
    <col min="13" max="14" width="27.7109375" style="2471" customWidth="1"/>
    <col min="15" max="19" width="5.140625" style="2471" customWidth="1"/>
    <col min="20" max="24" width="27.7109375" style="2471" customWidth="1"/>
    <col min="25" max="25" width="1.85546875" style="2472" customWidth="1"/>
    <col min="26" max="26" width="27.7109375" style="2468" customWidth="1"/>
    <col min="27" max="27" width="27.7109375" style="2473" customWidth="1"/>
    <col min="28" max="29" width="27.7109375" style="2468" customWidth="1"/>
    <col min="30" max="30" width="3.85546875" style="2468" customWidth="1"/>
    <col min="31" max="34" width="9.140625" style="2468"/>
  </cols>
  <sheetData>
    <row r="1" spans="1:34" s="2470" customFormat="1" ht="18" customHeight="1">
      <c r="A1" s="823"/>
      <c r="B1" s="823"/>
      <c r="C1" s="823" t="s">
        <v>2048</v>
      </c>
      <c r="D1" s="823"/>
      <c r="E1" s="823"/>
      <c r="F1" s="823"/>
      <c r="G1" s="823"/>
      <c r="H1" s="823" t="s">
        <v>2049</v>
      </c>
      <c r="I1" s="823"/>
      <c r="J1" s="823"/>
      <c r="K1" s="823"/>
      <c r="L1" s="823"/>
      <c r="M1" s="823" t="s">
        <v>2050</v>
      </c>
      <c r="N1" s="823" t="s">
        <v>2051</v>
      </c>
      <c r="O1" s="2916" t="s">
        <v>2052</v>
      </c>
      <c r="P1" s="2916"/>
      <c r="Q1" s="2916"/>
      <c r="R1" s="2916"/>
      <c r="S1" s="2916"/>
      <c r="T1" s="2916" t="s">
        <v>2050</v>
      </c>
      <c r="U1" s="2916"/>
      <c r="V1" s="2916"/>
      <c r="W1" s="2916"/>
      <c r="X1" s="2916"/>
      <c r="Y1" s="923"/>
      <c r="Z1" s="2916" t="s">
        <v>2053</v>
      </c>
      <c r="AA1" s="2916"/>
      <c r="AB1" s="2916"/>
      <c r="AC1" s="2916"/>
      <c r="AD1" s="2916"/>
    </row>
    <row r="2" spans="1:34" ht="18" customHeight="1">
      <c r="A2" s="773"/>
      <c r="B2" s="773"/>
      <c r="C2" s="769" t="s">
        <v>799</v>
      </c>
      <c r="D2" s="769" t="s">
        <v>845</v>
      </c>
      <c r="E2" s="769" t="s">
        <v>898</v>
      </c>
      <c r="F2" s="769" t="s">
        <v>885</v>
      </c>
      <c r="G2" s="769" t="s">
        <v>1664</v>
      </c>
      <c r="H2" s="770"/>
      <c r="I2" s="770"/>
      <c r="J2" s="770"/>
      <c r="K2" s="770"/>
      <c r="L2" s="770"/>
      <c r="M2" s="770"/>
      <c r="N2" s="770"/>
      <c r="O2" s="769" t="s">
        <v>799</v>
      </c>
      <c r="P2" s="769" t="s">
        <v>845</v>
      </c>
      <c r="Q2" s="769" t="s">
        <v>885</v>
      </c>
      <c r="R2" s="769" t="s">
        <v>898</v>
      </c>
      <c r="S2" s="769" t="s">
        <v>1664</v>
      </c>
      <c r="T2" s="769" t="s">
        <v>799</v>
      </c>
      <c r="U2" s="769" t="s">
        <v>845</v>
      </c>
      <c r="V2" s="769" t="s">
        <v>885</v>
      </c>
      <c r="W2" s="769" t="s">
        <v>898</v>
      </c>
      <c r="X2" s="769" t="s">
        <v>1664</v>
      </c>
      <c r="Y2" s="769"/>
      <c r="Z2" s="769" t="s">
        <v>799</v>
      </c>
      <c r="AA2" s="777" t="s">
        <v>845</v>
      </c>
      <c r="AB2" s="769" t="s">
        <v>885</v>
      </c>
      <c r="AC2" s="769" t="s">
        <v>898</v>
      </c>
      <c r="AD2" s="769" t="s">
        <v>1664</v>
      </c>
    </row>
    <row r="3" spans="1:34" ht="162" customHeight="1">
      <c r="A3" s="772" t="s">
        <v>27</v>
      </c>
      <c r="B3" s="772"/>
      <c r="C3" s="2920" t="s">
        <v>2054</v>
      </c>
      <c r="D3" s="2921"/>
      <c r="E3" s="2921"/>
      <c r="F3" s="2922"/>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2055</v>
      </c>
      <c r="AA3" s="770" t="s">
        <v>2056</v>
      </c>
      <c r="AB3" s="773" t="s">
        <v>2057</v>
      </c>
      <c r="AC3" s="773" t="s">
        <v>2058</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917" t="s">
        <v>33</v>
      </c>
      <c r="B11" s="824">
        <v>1</v>
      </c>
      <c r="C11" s="2923" t="s">
        <v>1603</v>
      </c>
      <c r="D11" s="2923" t="s">
        <v>1599</v>
      </c>
      <c r="E11" s="2923" t="s">
        <v>1696</v>
      </c>
      <c r="F11" s="2923" t="s">
        <v>2059</v>
      </c>
      <c r="G11" s="2923"/>
      <c r="H11" s="823" t="s">
        <v>2060</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2061</v>
      </c>
      <c r="U11" s="770" t="s">
        <v>2062</v>
      </c>
      <c r="V11" s="770"/>
      <c r="W11" s="770"/>
      <c r="X11" s="770"/>
      <c r="Y11" s="924"/>
      <c r="Z11" s="773" t="s">
        <v>2063</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917"/>
      <c r="B12" s="824">
        <v>2</v>
      </c>
      <c r="C12" s="2924"/>
      <c r="D12" s="2924"/>
      <c r="E12" s="2924"/>
      <c r="F12" s="2924"/>
      <c r="G12" s="2924"/>
      <c r="H12" s="823" t="s">
        <v>2064</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2065</v>
      </c>
      <c r="U12" s="770" t="s">
        <v>2066</v>
      </c>
      <c r="V12" s="770"/>
      <c r="W12" s="770"/>
      <c r="X12" s="770"/>
      <c r="Y12" s="924"/>
      <c r="Z12" s="773" t="s">
        <v>2067</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917"/>
      <c r="B13" s="824">
        <v>3</v>
      </c>
      <c r="C13" s="2924"/>
      <c r="D13" s="2924"/>
      <c r="E13" s="2924"/>
      <c r="F13" s="2924"/>
      <c r="G13" s="2924"/>
      <c r="H13" s="2916" t="s">
        <v>2068</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2069</v>
      </c>
      <c r="U13" s="771" t="s">
        <v>2070</v>
      </c>
      <c r="V13" s="771"/>
      <c r="W13" s="771"/>
      <c r="X13" s="770"/>
      <c r="Y13" s="924"/>
      <c r="Z13" s="773" t="s">
        <v>2071</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917"/>
      <c r="B14" s="824">
        <v>4</v>
      </c>
      <c r="C14" s="2924"/>
      <c r="D14" s="2924"/>
      <c r="E14" s="2924"/>
      <c r="F14" s="2924"/>
      <c r="G14" s="2924"/>
      <c r="H14" s="2916"/>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2072</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2073</v>
      </c>
      <c r="AA14" s="776" t="s">
        <v>2073</v>
      </c>
      <c r="AB14" s="773"/>
      <c r="AC14" s="773"/>
      <c r="AD14" s="773"/>
    </row>
    <row r="15" spans="1:34" ht="108" customHeight="1">
      <c r="A15" s="2917"/>
      <c r="B15" s="824">
        <v>5</v>
      </c>
      <c r="C15" s="2924"/>
      <c r="D15" s="2924"/>
      <c r="E15" s="2924"/>
      <c r="F15" s="2924"/>
      <c r="G15" s="2924"/>
      <c r="H15" s="2918" t="s">
        <v>2074</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2075</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2076</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925"/>
      <c r="D16" s="2925"/>
      <c r="E16" s="2925"/>
      <c r="F16" s="2925"/>
      <c r="G16" s="2925"/>
      <c r="H16" s="2919"/>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2076</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1699</v>
      </c>
      <c r="B18" s="824">
        <v>1</v>
      </c>
      <c r="C18" s="770" t="s">
        <v>2060</v>
      </c>
      <c r="D18" s="892" t="s">
        <v>2060</v>
      </c>
      <c r="E18" s="770" t="s">
        <v>2060</v>
      </c>
      <c r="F18" s="770" t="s">
        <v>2060</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2077</v>
      </c>
      <c r="U18" s="773" t="s">
        <v>2078</v>
      </c>
      <c r="V18" s="773" t="s">
        <v>2079</v>
      </c>
      <c r="W18" s="773" t="s">
        <v>2080</v>
      </c>
      <c r="X18" s="770"/>
      <c r="Y18" s="924"/>
      <c r="Z18" s="773" t="s">
        <v>2081</v>
      </c>
      <c r="AA18" s="776" t="s">
        <v>2082</v>
      </c>
      <c r="AB18" s="776" t="s">
        <v>2082</v>
      </c>
      <c r="AC18" s="776" t="s">
        <v>2082</v>
      </c>
      <c r="AD18" s="773"/>
    </row>
    <row r="19" spans="1:30" ht="36" customHeight="1">
      <c r="A19" s="772"/>
      <c r="B19" s="824">
        <v>2</v>
      </c>
      <c r="C19" s="770" t="s">
        <v>2064</v>
      </c>
      <c r="D19" s="892" t="s">
        <v>2064</v>
      </c>
      <c r="E19" s="770" t="s">
        <v>2064</v>
      </c>
      <c r="F19" s="770" t="s">
        <v>2064</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2083</v>
      </c>
      <c r="U19" s="773" t="s">
        <v>2084</v>
      </c>
      <c r="V19" s="773" t="s">
        <v>2085</v>
      </c>
      <c r="W19" s="773" t="s">
        <v>2086</v>
      </c>
      <c r="X19" s="770"/>
      <c r="Y19" s="924"/>
      <c r="Z19" s="773" t="s">
        <v>2087</v>
      </c>
      <c r="AA19" s="776" t="s">
        <v>2087</v>
      </c>
      <c r="AB19" s="776" t="s">
        <v>2087</v>
      </c>
      <c r="AC19" s="776" t="s">
        <v>2087</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700</v>
      </c>
      <c r="P20" s="882" t="s">
        <v>700</v>
      </c>
      <c r="Q20" s="882" t="s">
        <v>700</v>
      </c>
      <c r="R20" s="882" t="s">
        <v>700</v>
      </c>
      <c r="S20" s="882"/>
      <c r="T20" s="889" t="s">
        <v>2088</v>
      </c>
      <c r="U20" s="773" t="s">
        <v>2089</v>
      </c>
      <c r="V20" s="773" t="s">
        <v>2090</v>
      </c>
      <c r="W20" s="773" t="s">
        <v>2091</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298</v>
      </c>
      <c r="P21" s="882"/>
      <c r="Q21" s="882"/>
      <c r="R21" s="882"/>
      <c r="S21" s="882"/>
      <c r="T21" s="889" t="s">
        <v>2092</v>
      </c>
      <c r="U21" s="773"/>
      <c r="V21" s="773"/>
      <c r="W21" s="773"/>
      <c r="X21" s="770"/>
      <c r="Y21" s="924"/>
      <c r="Z21" s="773" t="s">
        <v>2093</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298</v>
      </c>
      <c r="R22" s="882"/>
      <c r="S22" s="882"/>
      <c r="T22" s="889"/>
      <c r="U22" s="773"/>
      <c r="V22" s="773" t="s">
        <v>2094</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301</v>
      </c>
      <c r="R23" s="882"/>
      <c r="S23" s="882"/>
      <c r="T23" s="889"/>
      <c r="U23" s="773"/>
      <c r="V23" s="773" t="s">
        <v>2095</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720</v>
      </c>
      <c r="R24" s="882"/>
      <c r="S24" s="882"/>
      <c r="T24" s="889"/>
      <c r="U24" s="773"/>
      <c r="V24" s="773" t="s">
        <v>2096</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301</v>
      </c>
      <c r="P25" s="882" t="s">
        <v>298</v>
      </c>
      <c r="Q25" s="882" t="s">
        <v>727</v>
      </c>
      <c r="R25" s="882" t="s">
        <v>298</v>
      </c>
      <c r="S25" s="882"/>
      <c r="T25" s="889" t="s">
        <v>2097</v>
      </c>
      <c r="U25" s="773" t="s">
        <v>2097</v>
      </c>
      <c r="V25" s="773" t="s">
        <v>2097</v>
      </c>
      <c r="W25" s="773" t="s">
        <v>2097</v>
      </c>
      <c r="X25" s="770"/>
      <c r="Y25" s="924"/>
      <c r="Z25" s="773"/>
      <c r="AA25" s="776"/>
      <c r="AB25" s="773"/>
      <c r="AC25" s="773"/>
      <c r="AD25" s="773"/>
    </row>
    <row r="26" spans="1:30" ht="18" customHeight="1">
      <c r="A26" s="772"/>
      <c r="B26" s="824">
        <v>9</v>
      </c>
      <c r="C26" s="770" t="s">
        <v>643</v>
      </c>
      <c r="D26" s="892"/>
      <c r="E26" s="770"/>
      <c r="F26" s="770"/>
      <c r="G26" s="816"/>
      <c r="H26" s="883"/>
      <c r="I26" s="928" t="str">
        <f t="shared" si="1"/>
        <v>2.3.1</v>
      </c>
      <c r="J26" s="928" t="str">
        <f t="shared" si="2"/>
        <v>Средневзвешенная стоимость 1 кВт.ч</v>
      </c>
      <c r="K26" s="928">
        <f t="shared" si="3"/>
        <v>0</v>
      </c>
      <c r="L26" s="771" t="str">
        <f t="shared" si="4"/>
        <v>2.3.1</v>
      </c>
      <c r="M26" s="771" t="str">
        <f t="shared" si="5"/>
        <v>Средневзвешенная стоимость 1 кВт.ч</v>
      </c>
      <c r="N26" s="771" t="str">
        <f t="shared" si="6"/>
        <v/>
      </c>
      <c r="O26" s="882" t="s">
        <v>716</v>
      </c>
      <c r="P26" s="882" t="s">
        <v>710</v>
      </c>
      <c r="Q26" s="882" t="s">
        <v>2098</v>
      </c>
      <c r="R26" s="882" t="s">
        <v>710</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2099</v>
      </c>
      <c r="V26" s="889" t="s">
        <v>2099</v>
      </c>
      <c r="W26" s="889" t="s">
        <v>2099</v>
      </c>
      <c r="X26" s="770"/>
      <c r="Y26" s="924"/>
      <c r="Z26" s="773"/>
      <c r="AA26" s="776"/>
      <c r="AB26" s="773"/>
      <c r="AC26" s="773"/>
      <c r="AD26" s="773"/>
    </row>
    <row r="27" spans="1:30" ht="18" customHeight="1">
      <c r="A27" s="772"/>
      <c r="B27" s="824">
        <v>10</v>
      </c>
      <c r="C27" s="770" t="s">
        <v>647</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718</v>
      </c>
      <c r="P27" s="882" t="s">
        <v>712</v>
      </c>
      <c r="Q27" s="882" t="s">
        <v>2100</v>
      </c>
      <c r="R27" s="882" t="s">
        <v>712</v>
      </c>
      <c r="S27" s="882"/>
      <c r="T27" s="889" t="s">
        <v>2101</v>
      </c>
      <c r="U27" s="889" t="s">
        <v>2101</v>
      </c>
      <c r="V27" s="889" t="s">
        <v>2101</v>
      </c>
      <c r="W27" s="889" t="s">
        <v>2101</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720</v>
      </c>
      <c r="P28" s="882"/>
      <c r="Q28" s="882"/>
      <c r="R28" s="882"/>
      <c r="S28" s="882"/>
      <c r="T28" s="889" t="s">
        <v>2102</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 реагенты, используемые в технологическом процессе</v>
      </c>
      <c r="K29" s="928">
        <f t="shared" si="3"/>
        <v>0</v>
      </c>
      <c r="L29" s="771" t="str">
        <f t="shared" si="4"/>
        <v>2.5</v>
      </c>
      <c r="M29" s="771" t="str">
        <f t="shared" si="5"/>
        <v>Расходы на  хим. реагенты, используемые в технологическом процессе</v>
      </c>
      <c r="N29" s="771" t="str">
        <f t="shared" si="6"/>
        <v/>
      </c>
      <c r="O29" s="882" t="s">
        <v>727</v>
      </c>
      <c r="P29" s="882" t="s">
        <v>301</v>
      </c>
      <c r="Q29" s="882"/>
      <c r="R29" s="882" t="s">
        <v>301</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2103</v>
      </c>
      <c r="V29" s="773"/>
      <c r="W29" s="773" t="s">
        <v>2103</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729</v>
      </c>
      <c r="P30" s="882" t="s">
        <v>720</v>
      </c>
      <c r="Q30" s="882" t="s">
        <v>729</v>
      </c>
      <c r="R30" s="882" t="s">
        <v>720</v>
      </c>
      <c r="S30" s="882"/>
      <c r="T30" s="889" t="s">
        <v>2104</v>
      </c>
      <c r="U30" s="773" t="s">
        <v>2104</v>
      </c>
      <c r="V30" s="773" t="s">
        <v>2104</v>
      </c>
      <c r="W30" s="773" t="s">
        <v>2104</v>
      </c>
      <c r="X30" s="770"/>
      <c r="Y30" s="924"/>
      <c r="Z30" s="773"/>
      <c r="AA30" s="776" t="s">
        <v>2105</v>
      </c>
      <c r="AB30" s="776" t="s">
        <v>2105</v>
      </c>
      <c r="AC30" s="776" t="s">
        <v>2105</v>
      </c>
      <c r="AD30" s="773"/>
    </row>
    <row r="31" spans="1:30" ht="18" customHeight="1">
      <c r="A31" s="772"/>
      <c r="B31" s="824">
        <v>14</v>
      </c>
      <c r="C31" s="770" t="s">
        <v>2106</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2107</v>
      </c>
      <c r="P31" s="882" t="s">
        <v>723</v>
      </c>
      <c r="Q31" s="882" t="s">
        <v>2107</v>
      </c>
      <c r="R31" s="882" t="s">
        <v>723</v>
      </c>
      <c r="S31" s="882"/>
      <c r="T31" s="890" t="s">
        <v>2108</v>
      </c>
      <c r="U31" s="773" t="s">
        <v>2108</v>
      </c>
      <c r="V31" s="773" t="s">
        <v>2108</v>
      </c>
      <c r="W31" s="773" t="s">
        <v>2108</v>
      </c>
      <c r="X31" s="770"/>
      <c r="Y31" s="924"/>
      <c r="Z31" s="773"/>
      <c r="AA31" s="776"/>
      <c r="AB31" s="776"/>
      <c r="AC31" s="776"/>
      <c r="AD31" s="773"/>
    </row>
    <row r="32" spans="1:30" ht="36" customHeight="1">
      <c r="A32" s="772"/>
      <c r="B32" s="824">
        <v>15</v>
      </c>
      <c r="C32" s="770" t="s">
        <v>2109</v>
      </c>
      <c r="D32" s="892"/>
      <c r="E32" s="770"/>
      <c r="F32" s="770"/>
      <c r="G32" s="816"/>
      <c r="H32" s="883"/>
      <c r="I32" s="928" t="str">
        <f t="shared" si="1"/>
        <v>2.6.2</v>
      </c>
      <c r="J32" s="928"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2110</v>
      </c>
      <c r="P32" s="882" t="s">
        <v>725</v>
      </c>
      <c r="Q32" s="882" t="s">
        <v>2110</v>
      </c>
      <c r="R32" s="882" t="s">
        <v>725</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2111</v>
      </c>
      <c r="V32" s="773" t="s">
        <v>2111</v>
      </c>
      <c r="W32" s="773" t="s">
        <v>2111</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1" t="str">
        <f t="shared" si="6"/>
        <v/>
      </c>
      <c r="O33" s="882" t="s">
        <v>731</v>
      </c>
      <c r="P33" s="882" t="s">
        <v>727</v>
      </c>
      <c r="Q33" s="882" t="s">
        <v>731</v>
      </c>
      <c r="R33" s="882" t="s">
        <v>727</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2112</v>
      </c>
      <c r="V33" s="773" t="s">
        <v>2112</v>
      </c>
      <c r="W33" s="773" t="s">
        <v>2113</v>
      </c>
      <c r="X33" s="770"/>
      <c r="Y33" s="924"/>
      <c r="Z33" s="773"/>
      <c r="AA33" s="776" t="s">
        <v>2114</v>
      </c>
      <c r="AB33" s="776" t="s">
        <v>2114</v>
      </c>
      <c r="AC33" s="776" t="s">
        <v>2114</v>
      </c>
      <c r="AD33" s="773"/>
    </row>
    <row r="34" spans="1:30" ht="27" customHeight="1">
      <c r="A34" s="772"/>
      <c r="B34" s="824">
        <v>17</v>
      </c>
      <c r="C34" s="770" t="s">
        <v>2115</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2116</v>
      </c>
      <c r="P34" s="882" t="s">
        <v>2098</v>
      </c>
      <c r="Q34" s="882" t="s">
        <v>2116</v>
      </c>
      <c r="R34" s="882" t="s">
        <v>2098</v>
      </c>
      <c r="S34" s="882"/>
      <c r="T34" s="891" t="s">
        <v>2117</v>
      </c>
      <c r="U34" s="773" t="s">
        <v>2117</v>
      </c>
      <c r="V34" s="773" t="s">
        <v>2117</v>
      </c>
      <c r="W34" s="773" t="s">
        <v>2118</v>
      </c>
      <c r="X34" s="770"/>
      <c r="Y34" s="924"/>
      <c r="Z34" s="773"/>
      <c r="AA34" s="776"/>
      <c r="AB34" s="773"/>
      <c r="AC34" s="773"/>
      <c r="AD34" s="773"/>
    </row>
    <row r="35" spans="1:30" ht="45" customHeight="1">
      <c r="A35" s="772"/>
      <c r="B35" s="824">
        <v>18</v>
      </c>
      <c r="C35" s="770" t="s">
        <v>2119</v>
      </c>
      <c r="D35" s="892"/>
      <c r="E35" s="770"/>
      <c r="F35" s="770"/>
      <c r="G35" s="816"/>
      <c r="H35" s="883"/>
      <c r="I35" s="928" t="str">
        <f t="shared" si="1"/>
        <v>2.7.2</v>
      </c>
      <c r="J35" s="928"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2120</v>
      </c>
      <c r="P35" s="882" t="s">
        <v>2100</v>
      </c>
      <c r="Q35" s="882" t="s">
        <v>2120</v>
      </c>
      <c r="R35" s="882" t="s">
        <v>2100</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2121</v>
      </c>
      <c r="V35" s="773" t="s">
        <v>2121</v>
      </c>
      <c r="W35" s="773" t="s">
        <v>2121</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733</v>
      </c>
      <c r="P36" s="882" t="s">
        <v>729</v>
      </c>
      <c r="Q36" s="882" t="s">
        <v>733</v>
      </c>
      <c r="R36" s="882" t="s">
        <v>729</v>
      </c>
      <c r="S36" s="882"/>
      <c r="T36" s="889" t="s">
        <v>2122</v>
      </c>
      <c r="U36" s="773" t="s">
        <v>2122</v>
      </c>
      <c r="V36" s="773" t="s">
        <v>2122</v>
      </c>
      <c r="W36" s="773" t="s">
        <v>2122</v>
      </c>
      <c r="X36" s="770"/>
      <c r="Y36" s="924"/>
      <c r="Z36" s="773"/>
      <c r="AA36" s="776"/>
      <c r="AB36" s="773"/>
      <c r="AC36" s="773"/>
      <c r="AD36" s="773"/>
    </row>
    <row r="37" spans="1:30" ht="18" customHeight="1">
      <c r="A37" s="772"/>
      <c r="B37" s="824">
        <v>20</v>
      </c>
      <c r="C37" s="770" t="s">
        <v>2123</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2124</v>
      </c>
      <c r="P37" s="882" t="s">
        <v>2107</v>
      </c>
      <c r="Q37" s="882" t="s">
        <v>2124</v>
      </c>
      <c r="R37" s="882" t="s">
        <v>2107</v>
      </c>
      <c r="S37" s="882"/>
      <c r="T37" s="889" t="s">
        <v>2125</v>
      </c>
      <c r="U37" s="773" t="s">
        <v>2125</v>
      </c>
      <c r="V37" s="773" t="s">
        <v>2125</v>
      </c>
      <c r="W37" s="773" t="s">
        <v>2125</v>
      </c>
      <c r="X37" s="770"/>
      <c r="Y37" s="924"/>
      <c r="Z37" s="773"/>
      <c r="AA37" s="776"/>
      <c r="AB37" s="773"/>
      <c r="AC37" s="773"/>
      <c r="AD37" s="773"/>
    </row>
    <row r="38" spans="1:30" ht="18" customHeight="1">
      <c r="A38" s="772"/>
      <c r="B38" s="824">
        <v>21</v>
      </c>
      <c r="C38" s="770" t="s">
        <v>2126</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2127</v>
      </c>
      <c r="P38" s="882" t="s">
        <v>2110</v>
      </c>
      <c r="Q38" s="882" t="s">
        <v>2127</v>
      </c>
      <c r="R38" s="882" t="s">
        <v>2110</v>
      </c>
      <c r="S38" s="882"/>
      <c r="T38" s="889" t="s">
        <v>2128</v>
      </c>
      <c r="U38" s="773" t="s">
        <v>2128</v>
      </c>
      <c r="V38" s="773" t="s">
        <v>2128</v>
      </c>
      <c r="W38" s="773" t="s">
        <v>2128</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737</v>
      </c>
      <c r="P39" s="882" t="s">
        <v>731</v>
      </c>
      <c r="Q39" s="882" t="s">
        <v>737</v>
      </c>
      <c r="R39" s="882" t="s">
        <v>731</v>
      </c>
      <c r="S39" s="882"/>
      <c r="T39" s="889" t="s">
        <v>2129</v>
      </c>
      <c r="U39" s="773" t="s">
        <v>2130</v>
      </c>
      <c r="V39" s="773" t="s">
        <v>2131</v>
      </c>
      <c r="W39" s="773" t="s">
        <v>2132</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2133</v>
      </c>
      <c r="P40" s="882" t="s">
        <v>733</v>
      </c>
      <c r="Q40" s="882" t="s">
        <v>2133</v>
      </c>
      <c r="R40" s="882" t="s">
        <v>733</v>
      </c>
      <c r="S40" s="882"/>
      <c r="T40" s="770" t="s">
        <v>2134</v>
      </c>
      <c r="U40" s="770" t="s">
        <v>2134</v>
      </c>
      <c r="V40" s="770" t="s">
        <v>2134</v>
      </c>
      <c r="W40" s="770" t="s">
        <v>2134</v>
      </c>
      <c r="X40" s="770"/>
      <c r="Y40" s="924"/>
      <c r="Z40" s="773" t="s">
        <v>2135</v>
      </c>
      <c r="AA40" s="776" t="s">
        <v>2135</v>
      </c>
      <c r="AB40" s="776" t="s">
        <v>2135</v>
      </c>
      <c r="AC40" s="776" t="s">
        <v>2135</v>
      </c>
      <c r="AD40" s="773"/>
    </row>
    <row r="41" spans="1:30" ht="27" customHeight="1">
      <c r="A41" s="772"/>
      <c r="B41" s="824">
        <v>24</v>
      </c>
      <c r="C41" s="770" t="s">
        <v>2136</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2137</v>
      </c>
      <c r="P41" s="882" t="s">
        <v>2124</v>
      </c>
      <c r="Q41" s="882" t="s">
        <v>2137</v>
      </c>
      <c r="R41" s="882" t="s">
        <v>2124</v>
      </c>
      <c r="S41" s="882"/>
      <c r="T41" s="770" t="s">
        <v>2138</v>
      </c>
      <c r="U41" s="770" t="s">
        <v>2138</v>
      </c>
      <c r="V41" s="770" t="s">
        <v>2138</v>
      </c>
      <c r="W41" s="770" t="s">
        <v>2138</v>
      </c>
      <c r="X41" s="770"/>
      <c r="Y41" s="924"/>
      <c r="Z41" s="773" t="s">
        <v>2139</v>
      </c>
      <c r="AA41" s="773" t="s">
        <v>2139</v>
      </c>
      <c r="AB41" s="773" t="s">
        <v>2139</v>
      </c>
      <c r="AC41" s="773" t="s">
        <v>2139</v>
      </c>
      <c r="AD41" s="773"/>
    </row>
    <row r="42" spans="1:30" ht="27" customHeight="1">
      <c r="A42" s="772"/>
      <c r="B42" s="824">
        <v>25</v>
      </c>
      <c r="C42" s="770" t="s">
        <v>2140</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2141</v>
      </c>
      <c r="P42" s="882" t="s">
        <v>2127</v>
      </c>
      <c r="Q42" s="882" t="s">
        <v>2141</v>
      </c>
      <c r="R42" s="882" t="s">
        <v>2127</v>
      </c>
      <c r="S42" s="882"/>
      <c r="T42" s="770" t="s">
        <v>2142</v>
      </c>
      <c r="U42" s="770" t="s">
        <v>2142</v>
      </c>
      <c r="V42" s="770" t="s">
        <v>2142</v>
      </c>
      <c r="W42" s="770" t="s">
        <v>2142</v>
      </c>
      <c r="X42" s="770"/>
      <c r="Y42" s="924"/>
      <c r="Z42" s="773" t="s">
        <v>2143</v>
      </c>
      <c r="AA42" s="773" t="s">
        <v>2143</v>
      </c>
      <c r="AB42" s="773" t="s">
        <v>2143</v>
      </c>
      <c r="AC42" s="773" t="s">
        <v>2143</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2144</v>
      </c>
      <c r="P43" s="882" t="s">
        <v>737</v>
      </c>
      <c r="Q43" s="882" t="s">
        <v>2144</v>
      </c>
      <c r="R43" s="882" t="s">
        <v>737</v>
      </c>
      <c r="S43" s="882"/>
      <c r="T43" s="770" t="s">
        <v>2145</v>
      </c>
      <c r="U43" s="770" t="s">
        <v>2145</v>
      </c>
      <c r="V43" s="770" t="s">
        <v>2145</v>
      </c>
      <c r="W43" s="770" t="s">
        <v>2145</v>
      </c>
      <c r="X43" s="770"/>
      <c r="Y43" s="924"/>
      <c r="Z43" s="773" t="s">
        <v>2146</v>
      </c>
      <c r="AA43" s="773" t="s">
        <v>2146</v>
      </c>
      <c r="AB43" s="773" t="s">
        <v>2146</v>
      </c>
      <c r="AC43" s="773" t="s">
        <v>2146</v>
      </c>
      <c r="AD43" s="773"/>
    </row>
    <row r="44" spans="1:30" ht="27" customHeight="1">
      <c r="A44" s="772"/>
      <c r="B44" s="824">
        <v>27</v>
      </c>
      <c r="C44" s="770" t="s">
        <v>2147</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2148</v>
      </c>
      <c r="P44" s="882" t="s">
        <v>2149</v>
      </c>
      <c r="Q44" s="882" t="s">
        <v>2148</v>
      </c>
      <c r="R44" s="882" t="s">
        <v>2149</v>
      </c>
      <c r="S44" s="882"/>
      <c r="T44" s="770" t="s">
        <v>2138</v>
      </c>
      <c r="U44" s="770" t="s">
        <v>2138</v>
      </c>
      <c r="V44" s="770" t="s">
        <v>2138</v>
      </c>
      <c r="W44" s="770" t="s">
        <v>2138</v>
      </c>
      <c r="X44" s="770"/>
      <c r="Y44" s="924"/>
      <c r="Z44" s="773" t="s">
        <v>2150</v>
      </c>
      <c r="AA44" s="773" t="s">
        <v>2150</v>
      </c>
      <c r="AB44" s="773" t="s">
        <v>2150</v>
      </c>
      <c r="AC44" s="773" t="s">
        <v>2150</v>
      </c>
      <c r="AD44" s="773"/>
    </row>
    <row r="45" spans="1:30" ht="27" customHeight="1">
      <c r="A45" s="772"/>
      <c r="B45" s="824">
        <v>28</v>
      </c>
      <c r="C45" s="770" t="s">
        <v>2151</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2152</v>
      </c>
      <c r="P45" s="882" t="s">
        <v>2153</v>
      </c>
      <c r="Q45" s="882" t="s">
        <v>2152</v>
      </c>
      <c r="R45" s="882" t="s">
        <v>2153</v>
      </c>
      <c r="S45" s="882"/>
      <c r="T45" s="770" t="s">
        <v>2142</v>
      </c>
      <c r="U45" s="770" t="s">
        <v>2142</v>
      </c>
      <c r="V45" s="770" t="s">
        <v>2142</v>
      </c>
      <c r="W45" s="770" t="s">
        <v>2142</v>
      </c>
      <c r="X45" s="770"/>
      <c r="Y45" s="924"/>
      <c r="Z45" s="773" t="s">
        <v>2154</v>
      </c>
      <c r="AA45" s="773" t="s">
        <v>2154</v>
      </c>
      <c r="AB45" s="773" t="s">
        <v>2154</v>
      </c>
      <c r="AC45" s="773" t="s">
        <v>2154</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производственных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производственных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2155</v>
      </c>
      <c r="P46" s="882" t="s">
        <v>2133</v>
      </c>
      <c r="Q46" s="882" t="s">
        <v>2155</v>
      </c>
      <c r="R46" s="882" t="s">
        <v>2133</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2156</v>
      </c>
      <c r="V46" s="770" t="s">
        <v>2156</v>
      </c>
      <c r="W46" s="770" t="s">
        <v>2156</v>
      </c>
      <c r="X46" s="770"/>
      <c r="Y46" s="924"/>
      <c r="Z46" s="773" t="s">
        <v>2157</v>
      </c>
      <c r="AA46" s="773" t="s">
        <v>2158</v>
      </c>
      <c r="AB46" s="773" t="s">
        <v>2158</v>
      </c>
      <c r="AC46" s="773" t="s">
        <v>2158</v>
      </c>
      <c r="AD46" s="773"/>
    </row>
    <row r="47" spans="1:30" ht="54" customHeight="1">
      <c r="A47" s="772"/>
      <c r="B47" s="824">
        <v>30</v>
      </c>
      <c r="C47" s="770" t="s">
        <v>2159</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2160</v>
      </c>
      <c r="P47" s="882" t="s">
        <v>2137</v>
      </c>
      <c r="Q47" s="882" t="s">
        <v>2160</v>
      </c>
      <c r="R47" s="882" t="s">
        <v>2137</v>
      </c>
      <c r="S47" s="882"/>
      <c r="T47" s="770" t="s">
        <v>2161</v>
      </c>
      <c r="U47" s="770" t="s">
        <v>2161</v>
      </c>
      <c r="V47" s="770" t="s">
        <v>2161</v>
      </c>
      <c r="W47" s="770" t="s">
        <v>2161</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2144</v>
      </c>
      <c r="Q48" s="882" t="s">
        <v>2162</v>
      </c>
      <c r="R48" s="882" t="s">
        <v>2144</v>
      </c>
      <c r="S48" s="882"/>
      <c r="T48" s="770"/>
      <c r="U48" s="770" t="s">
        <v>2163</v>
      </c>
      <c r="V48" s="770" t="s">
        <v>2164</v>
      </c>
      <c r="W48" s="770" t="s">
        <v>2164</v>
      </c>
      <c r="X48" s="770"/>
      <c r="Y48" s="924"/>
      <c r="Z48" s="773"/>
      <c r="AA48" s="776" t="s">
        <v>2158</v>
      </c>
      <c r="AB48" s="776" t="s">
        <v>2158</v>
      </c>
      <c r="AC48" s="776" t="s">
        <v>2158</v>
      </c>
      <c r="AD48" s="773"/>
    </row>
    <row r="49" spans="1:30" ht="54" customHeight="1">
      <c r="A49" s="772"/>
      <c r="B49" s="824">
        <v>32</v>
      </c>
      <c r="C49" s="770" t="s">
        <v>2165</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2148</v>
      </c>
      <c r="Q49" s="882" t="s">
        <v>2166</v>
      </c>
      <c r="R49" s="882" t="s">
        <v>2148</v>
      </c>
      <c r="S49" s="882"/>
      <c r="T49" s="770"/>
      <c r="U49" s="770" t="s">
        <v>2161</v>
      </c>
      <c r="V49" s="770" t="s">
        <v>2161</v>
      </c>
      <c r="W49" s="770" t="s">
        <v>2161</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2162</v>
      </c>
      <c r="P50" s="882" t="s">
        <v>2155</v>
      </c>
      <c r="Q50" s="882" t="s">
        <v>2167</v>
      </c>
      <c r="R50" s="882" t="s">
        <v>2155</v>
      </c>
      <c r="S50" s="882"/>
      <c r="T50" s="770" t="s">
        <v>2168</v>
      </c>
      <c r="U50" s="770" t="s">
        <v>2169</v>
      </c>
      <c r="V50" s="770" t="s">
        <v>2170</v>
      </c>
      <c r="W50" s="770" t="s">
        <v>2171</v>
      </c>
      <c r="X50" s="770"/>
      <c r="Y50" s="924"/>
      <c r="Z50" s="773" t="s">
        <v>2172</v>
      </c>
      <c r="AA50" s="776" t="s">
        <v>2173</v>
      </c>
      <c r="AB50" s="776" t="s">
        <v>2173</v>
      </c>
      <c r="AC50" s="776" t="s">
        <v>2173</v>
      </c>
      <c r="AD50" s="773"/>
    </row>
    <row r="51" spans="1:30" ht="27" customHeight="1">
      <c r="A51" s="772"/>
      <c r="B51" s="824">
        <v>34</v>
      </c>
      <c r="C51" s="770" t="s">
        <v>2174</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86</v>
      </c>
      <c r="P51" s="882"/>
      <c r="Q51" s="882"/>
      <c r="R51" s="882"/>
      <c r="S51" s="882"/>
      <c r="T51" s="770" t="s">
        <v>2175</v>
      </c>
      <c r="U51" s="770"/>
      <c r="V51" s="770"/>
      <c r="W51" s="770"/>
      <c r="X51" s="770"/>
      <c r="Y51" s="924"/>
      <c r="Z51" s="773"/>
      <c r="AA51" s="776"/>
      <c r="AB51" s="776"/>
      <c r="AC51" s="776"/>
      <c r="AD51" s="773"/>
    </row>
    <row r="52" spans="1:30" ht="36" customHeight="1">
      <c r="A52" s="772"/>
      <c r="B52" s="824">
        <v>35</v>
      </c>
      <c r="C52" s="770" t="s">
        <v>2068</v>
      </c>
      <c r="D52" s="892" t="s">
        <v>2068</v>
      </c>
      <c r="E52" s="770" t="s">
        <v>2068</v>
      </c>
      <c r="F52" s="770" t="s">
        <v>2068</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87</v>
      </c>
      <c r="P52" s="882" t="s">
        <v>86</v>
      </c>
      <c r="Q52" s="882" t="s">
        <v>86</v>
      </c>
      <c r="R52" s="882" t="s">
        <v>86</v>
      </c>
      <c r="S52" s="882"/>
      <c r="T52" s="770" t="s">
        <v>2176</v>
      </c>
      <c r="U52" s="770" t="s">
        <v>2177</v>
      </c>
      <c r="V52" s="770" t="s">
        <v>2178</v>
      </c>
      <c r="W52" s="770" t="s">
        <v>2179</v>
      </c>
      <c r="X52" s="770"/>
      <c r="Y52" s="924"/>
      <c r="Z52" s="773" t="s">
        <v>741</v>
      </c>
      <c r="AA52" s="776" t="s">
        <v>741</v>
      </c>
      <c r="AB52" s="776" t="s">
        <v>741</v>
      </c>
      <c r="AC52" s="776" t="s">
        <v>741</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745</v>
      </c>
      <c r="P53" s="882" t="s">
        <v>315</v>
      </c>
      <c r="Q53" s="882" t="s">
        <v>315</v>
      </c>
      <c r="R53" s="882" t="s">
        <v>315</v>
      </c>
      <c r="S53" s="882"/>
      <c r="T53" s="770" t="s">
        <v>2180</v>
      </c>
      <c r="U53" s="770" t="s">
        <v>2180</v>
      </c>
      <c r="V53" s="770" t="s">
        <v>2180</v>
      </c>
      <c r="W53" s="770" t="s">
        <v>2180</v>
      </c>
      <c r="X53" s="770"/>
      <c r="Y53" s="924"/>
      <c r="Z53" s="773"/>
      <c r="AA53" s="776"/>
      <c r="AB53" s="773"/>
      <c r="AC53" s="773"/>
      <c r="AD53" s="773"/>
    </row>
    <row r="54" spans="1:30" ht="18" customHeight="1">
      <c r="A54" s="772"/>
      <c r="B54" s="824">
        <v>37</v>
      </c>
      <c r="C54" s="770" t="s">
        <v>2074</v>
      </c>
      <c r="D54" s="892" t="s">
        <v>2074</v>
      </c>
      <c r="E54" s="770" t="s">
        <v>2074</v>
      </c>
      <c r="F54" s="770" t="s">
        <v>2074</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104</v>
      </c>
      <c r="P54" s="882" t="s">
        <v>87</v>
      </c>
      <c r="Q54" s="882" t="s">
        <v>87</v>
      </c>
      <c r="R54" s="882" t="s">
        <v>87</v>
      </c>
      <c r="S54" s="882"/>
      <c r="T54" s="770" t="s">
        <v>743</v>
      </c>
      <c r="U54" s="770" t="s">
        <v>743</v>
      </c>
      <c r="V54" s="770" t="s">
        <v>743</v>
      </c>
      <c r="W54" s="770" t="s">
        <v>743</v>
      </c>
      <c r="X54" s="770"/>
      <c r="Y54" s="924"/>
      <c r="Z54" s="773" t="s">
        <v>744</v>
      </c>
      <c r="AA54" s="773" t="s">
        <v>744</v>
      </c>
      <c r="AB54" s="773" t="s">
        <v>744</v>
      </c>
      <c r="AC54" s="773" t="s">
        <v>744</v>
      </c>
      <c r="AD54" s="773"/>
    </row>
    <row r="55" spans="1:30" ht="36" customHeight="1">
      <c r="A55" s="772"/>
      <c r="B55" s="824">
        <v>38</v>
      </c>
      <c r="C55" s="770">
        <v>1</v>
      </c>
      <c r="D55" s="892"/>
      <c r="E55" s="770"/>
      <c r="F55" s="770"/>
      <c r="G55" s="770"/>
      <c r="H55" s="816"/>
      <c r="I55" s="928" t="str">
        <f t="shared" si="7"/>
        <v>5.1</v>
      </c>
      <c r="J55" s="928" t="str">
        <f t="shared" si="8"/>
        <v>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304</v>
      </c>
      <c r="P55" s="882" t="s">
        <v>745</v>
      </c>
      <c r="Q55" s="882" t="s">
        <v>745</v>
      </c>
      <c r="R55" s="882" t="s">
        <v>745</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2181</v>
      </c>
      <c r="V55" s="770" t="s">
        <v>2181</v>
      </c>
      <c r="W55" s="770" t="s">
        <v>2181</v>
      </c>
      <c r="X55" s="770"/>
      <c r="Y55" s="924"/>
      <c r="Z55" s="773" t="s">
        <v>2182</v>
      </c>
      <c r="AA55" s="773" t="s">
        <v>2182</v>
      </c>
      <c r="AB55" s="773" t="s">
        <v>2182</v>
      </c>
      <c r="AC55" s="773" t="s">
        <v>2182</v>
      </c>
      <c r="AD55" s="773"/>
    </row>
    <row r="56" spans="1:30" ht="27" customHeight="1">
      <c r="A56" s="772"/>
      <c r="B56" s="824">
        <v>39</v>
      </c>
      <c r="C56" s="770" t="s">
        <v>1073</v>
      </c>
      <c r="D56" s="892"/>
      <c r="E56" s="770"/>
      <c r="F56" s="770"/>
      <c r="G56" s="770"/>
      <c r="H56" s="816"/>
      <c r="I56" s="928" t="str">
        <f t="shared" si="7"/>
        <v>5.1.1</v>
      </c>
      <c r="J56" s="928" t="str">
        <f t="shared" si="8"/>
        <v>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за счет их ввода в эксплуатацию</v>
      </c>
      <c r="N56" s="771" t="str">
        <f t="shared" si="12"/>
        <v>Указываются изменение стоимости основных фондов за счет их ввода в эксплуатацию.</v>
      </c>
      <c r="O56" s="882" t="s">
        <v>1192</v>
      </c>
      <c r="P56" s="882" t="s">
        <v>748</v>
      </c>
      <c r="Q56" s="882" t="s">
        <v>748</v>
      </c>
      <c r="R56" s="882" t="s">
        <v>748</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2183</v>
      </c>
      <c r="V56" s="770" t="s">
        <v>2183</v>
      </c>
      <c r="W56" s="770" t="s">
        <v>2183</v>
      </c>
      <c r="X56" s="770"/>
      <c r="Y56" s="924"/>
      <c r="Z56" s="773" t="s">
        <v>750</v>
      </c>
      <c r="AA56" s="773" t="s">
        <v>750</v>
      </c>
      <c r="AB56" s="773" t="s">
        <v>750</v>
      </c>
      <c r="AC56" s="773" t="s">
        <v>750</v>
      </c>
      <c r="AD56" s="773"/>
    </row>
    <row r="57" spans="1:30" ht="27" customHeight="1">
      <c r="A57" s="772"/>
      <c r="B57" s="824">
        <v>40</v>
      </c>
      <c r="C57" s="770" t="s">
        <v>1075</v>
      </c>
      <c r="D57" s="892"/>
      <c r="E57" s="770"/>
      <c r="F57" s="770"/>
      <c r="G57" s="770"/>
      <c r="H57" s="816"/>
      <c r="I57" s="928" t="str">
        <f t="shared" si="7"/>
        <v>5.1.2</v>
      </c>
      <c r="J57" s="928" t="str">
        <f t="shared" si="8"/>
        <v>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за счет их вывода в эксплуатацию</v>
      </c>
      <c r="N57" s="771" t="str">
        <f t="shared" si="12"/>
        <v>Указываются изменение стоимости основных фондов за счет их вывода из эксплуатации.</v>
      </c>
      <c r="O57" s="882" t="s">
        <v>2184</v>
      </c>
      <c r="P57" s="882" t="s">
        <v>751</v>
      </c>
      <c r="Q57" s="882" t="s">
        <v>751</v>
      </c>
      <c r="R57" s="882" t="s">
        <v>751</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2185</v>
      </c>
      <c r="V57" s="770" t="s">
        <v>2185</v>
      </c>
      <c r="W57" s="770" t="s">
        <v>2185</v>
      </c>
      <c r="X57" s="770"/>
      <c r="Y57" s="924"/>
      <c r="Z57" s="773" t="s">
        <v>753</v>
      </c>
      <c r="AA57" s="773" t="s">
        <v>753</v>
      </c>
      <c r="AB57" s="773" t="s">
        <v>753</v>
      </c>
      <c r="AC57" s="773" t="s">
        <v>753</v>
      </c>
      <c r="AD57" s="773"/>
    </row>
    <row r="58" spans="1:30" ht="18" customHeight="1">
      <c r="A58" s="772"/>
      <c r="B58" s="824">
        <v>41</v>
      </c>
      <c r="C58" s="770">
        <v>2</v>
      </c>
      <c r="D58" s="892"/>
      <c r="E58" s="770"/>
      <c r="F58" s="770"/>
      <c r="G58" s="770"/>
      <c r="H58" s="816"/>
      <c r="I58" s="928" t="str">
        <f t="shared" si="7"/>
        <v>5.2</v>
      </c>
      <c r="J58" s="928" t="str">
        <f t="shared" si="8"/>
        <v>за счет их переоценки</v>
      </c>
      <c r="K58" s="928">
        <f t="shared" si="9"/>
        <v>0</v>
      </c>
      <c r="L58" s="771" t="str">
        <f t="shared" si="10"/>
        <v>5.2</v>
      </c>
      <c r="M58" s="771" t="str">
        <f t="shared" si="11"/>
        <v>за счет их переоценки</v>
      </c>
      <c r="N58" s="771" t="str">
        <f t="shared" si="12"/>
        <v/>
      </c>
      <c r="O58" s="882" t="s">
        <v>873</v>
      </c>
      <c r="P58" s="882" t="s">
        <v>787</v>
      </c>
      <c r="Q58" s="882" t="s">
        <v>787</v>
      </c>
      <c r="R58" s="882" t="s">
        <v>787</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2186</v>
      </c>
      <c r="V58" s="770" t="s">
        <v>2186</v>
      </c>
      <c r="W58" s="770" t="s">
        <v>2186</v>
      </c>
      <c r="X58" s="770"/>
      <c r="Y58" s="924"/>
      <c r="Z58" s="773"/>
      <c r="AA58" s="776"/>
      <c r="AB58" s="773"/>
      <c r="AC58" s="773"/>
      <c r="AD58" s="773"/>
    </row>
    <row r="59" spans="1:30" ht="36" customHeight="1">
      <c r="A59" s="772"/>
      <c r="B59" s="824">
        <v>42</v>
      </c>
      <c r="C59" s="770">
        <v>3</v>
      </c>
      <c r="D59" s="892" t="s">
        <v>2174</v>
      </c>
      <c r="E59" s="770" t="s">
        <v>2174</v>
      </c>
      <c r="F59" s="770" t="s">
        <v>2174</v>
      </c>
      <c r="G59" s="770"/>
      <c r="H59" s="816"/>
      <c r="I59" s="928">
        <f t="shared" si="7"/>
        <v>0</v>
      </c>
      <c r="J59" s="928">
        <f t="shared" si="8"/>
        <v>0</v>
      </c>
      <c r="K59" s="928">
        <f t="shared" si="9"/>
        <v>0</v>
      </c>
      <c r="L59" s="771" t="str">
        <f t="shared" si="10"/>
        <v/>
      </c>
      <c r="M59" s="771" t="str">
        <f t="shared" si="11"/>
        <v/>
      </c>
      <c r="N59" s="771" t="str">
        <f t="shared" si="12"/>
        <v/>
      </c>
      <c r="O59" s="882"/>
      <c r="P59" s="882" t="s">
        <v>104</v>
      </c>
      <c r="Q59" s="882" t="s">
        <v>104</v>
      </c>
      <c r="R59" s="882" t="s">
        <v>104</v>
      </c>
      <c r="S59" s="882"/>
      <c r="T59" s="770"/>
      <c r="U59" s="770" t="s">
        <v>2187</v>
      </c>
      <c r="V59" s="770" t="s">
        <v>2188</v>
      </c>
      <c r="W59" s="770" t="s">
        <v>2189</v>
      </c>
      <c r="X59" s="770"/>
      <c r="Y59" s="924"/>
      <c r="Z59" s="773"/>
      <c r="AA59" s="776"/>
      <c r="AB59" s="773"/>
      <c r="AC59" s="773"/>
      <c r="AD59" s="773"/>
    </row>
    <row r="60" spans="1:30" ht="81" customHeight="1">
      <c r="A60" s="772"/>
      <c r="B60" s="824">
        <v>43</v>
      </c>
      <c r="C60" s="770" t="s">
        <v>2190</v>
      </c>
      <c r="D60" s="892" t="s">
        <v>2190</v>
      </c>
      <c r="E60" s="770" t="s">
        <v>2190</v>
      </c>
      <c r="F60" s="770" t="s">
        <v>2190</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88</v>
      </c>
      <c r="P60" s="882" t="s">
        <v>88</v>
      </c>
      <c r="Q60" s="882" t="s">
        <v>88</v>
      </c>
      <c r="R60" s="882" t="s">
        <v>88</v>
      </c>
      <c r="S60" s="882"/>
      <c r="T60" s="770" t="s">
        <v>620</v>
      </c>
      <c r="U60" s="770" t="s">
        <v>620</v>
      </c>
      <c r="V60" s="770" t="s">
        <v>620</v>
      </c>
      <c r="W60" s="770" t="s">
        <v>620</v>
      </c>
      <c r="X60" s="770"/>
      <c r="Y60" s="924"/>
      <c r="Z60" s="773" t="s">
        <v>2191</v>
      </c>
      <c r="AA60" s="776" t="s">
        <v>2192</v>
      </c>
      <c r="AB60" s="773" t="s">
        <v>2193</v>
      </c>
      <c r="AC60" s="773" t="s">
        <v>2192</v>
      </c>
      <c r="AD60" s="773"/>
    </row>
    <row r="61" spans="1:30" ht="9" customHeight="1">
      <c r="A61" s="772"/>
      <c r="B61" s="824">
        <v>44</v>
      </c>
      <c r="C61" s="770"/>
      <c r="D61" s="892" t="s">
        <v>2194</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89</v>
      </c>
      <c r="Q61" s="882"/>
      <c r="R61" s="882"/>
      <c r="S61" s="882"/>
      <c r="T61" s="770"/>
      <c r="U61" s="770" t="s">
        <v>2195</v>
      </c>
      <c r="V61" s="770"/>
      <c r="W61" s="770"/>
      <c r="X61" s="770"/>
      <c r="Y61" s="924"/>
      <c r="Z61" s="773"/>
      <c r="AA61" s="776"/>
      <c r="AB61" s="773"/>
      <c r="AC61" s="773"/>
      <c r="AD61" s="773"/>
    </row>
    <row r="62" spans="1:30" ht="9" customHeight="1">
      <c r="A62" s="772"/>
      <c r="B62" s="824">
        <v>45</v>
      </c>
      <c r="C62" s="770"/>
      <c r="D62" s="892" t="s">
        <v>2196</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105</v>
      </c>
      <c r="Q62" s="882"/>
      <c r="R62" s="882"/>
      <c r="S62" s="882"/>
      <c r="T62" s="770"/>
      <c r="U62" s="770" t="s">
        <v>2197</v>
      </c>
      <c r="V62" s="770"/>
      <c r="W62" s="770"/>
      <c r="X62" s="770"/>
      <c r="Y62" s="924"/>
      <c r="Z62" s="773"/>
      <c r="AA62" s="776"/>
      <c r="AB62" s="773"/>
      <c r="AC62" s="773"/>
      <c r="AD62" s="773"/>
    </row>
    <row r="63" spans="1:30" ht="18" customHeight="1">
      <c r="A63" s="772"/>
      <c r="B63" s="824">
        <v>46</v>
      </c>
      <c r="C63" s="770"/>
      <c r="D63" s="892" t="s">
        <v>2198</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141</v>
      </c>
      <c r="Q63" s="882"/>
      <c r="R63" s="882"/>
      <c r="S63" s="882"/>
      <c r="T63" s="770"/>
      <c r="U63" s="770" t="s">
        <v>2199</v>
      </c>
      <c r="V63" s="770"/>
      <c r="W63" s="770"/>
      <c r="X63" s="770"/>
      <c r="Y63" s="924"/>
      <c r="Z63" s="773"/>
      <c r="AA63" s="776"/>
      <c r="AB63" s="773"/>
      <c r="AC63" s="773"/>
      <c r="AD63" s="773"/>
    </row>
    <row r="64" spans="1:30" ht="18" customHeight="1">
      <c r="A64" s="772"/>
      <c r="B64" s="824">
        <v>47</v>
      </c>
      <c r="C64" s="770"/>
      <c r="D64" s="892" t="s">
        <v>2200</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142</v>
      </c>
      <c r="Q64" s="882"/>
      <c r="R64" s="882"/>
      <c r="S64" s="882"/>
      <c r="T64" s="770"/>
      <c r="U64" s="770" t="s">
        <v>2201</v>
      </c>
      <c r="V64" s="770"/>
      <c r="W64" s="770"/>
      <c r="X64" s="770"/>
      <c r="Y64" s="924"/>
      <c r="Z64" s="773"/>
      <c r="AA64" s="776" t="s">
        <v>2202</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2115</v>
      </c>
      <c r="Q65" s="882"/>
      <c r="R65" s="882"/>
      <c r="S65" s="882"/>
      <c r="T65" s="770"/>
      <c r="U65" s="770" t="s">
        <v>2203</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2119</v>
      </c>
      <c r="Q66" s="882"/>
      <c r="R66" s="882"/>
      <c r="S66" s="882"/>
      <c r="T66" s="770"/>
      <c r="U66" s="770" t="s">
        <v>2204</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2205</v>
      </c>
      <c r="Q67" s="882"/>
      <c r="R67" s="882"/>
      <c r="S67" s="882"/>
      <c r="T67" s="770"/>
      <c r="U67" s="770" t="s">
        <v>2206</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2207</v>
      </c>
      <c r="Q68" s="882"/>
      <c r="R68" s="882"/>
      <c r="S68" s="882"/>
      <c r="T68" s="770"/>
      <c r="U68" s="770" t="s">
        <v>2208</v>
      </c>
      <c r="V68" s="770"/>
      <c r="W68" s="770"/>
      <c r="X68" s="770"/>
      <c r="Y68" s="924"/>
      <c r="Z68" s="773"/>
      <c r="AA68" s="776"/>
      <c r="AB68" s="773"/>
      <c r="AC68" s="773"/>
      <c r="AD68" s="773"/>
    </row>
    <row r="69" spans="1:30" ht="9" customHeight="1">
      <c r="A69" s="772"/>
      <c r="B69" s="824">
        <v>52</v>
      </c>
      <c r="C69" s="770"/>
      <c r="D69" s="892" t="s">
        <v>2209</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143</v>
      </c>
      <c r="Q69" s="882"/>
      <c r="R69" s="882"/>
      <c r="S69" s="882"/>
      <c r="T69" s="770"/>
      <c r="U69" s="770" t="s">
        <v>2210</v>
      </c>
      <c r="V69" s="770"/>
      <c r="W69" s="770"/>
      <c r="X69" s="770"/>
      <c r="Y69" s="924"/>
      <c r="Z69" s="773"/>
      <c r="AA69" s="776"/>
      <c r="AB69" s="773"/>
      <c r="AC69" s="773"/>
      <c r="AD69" s="773"/>
    </row>
    <row r="70" spans="1:30" ht="27" customHeight="1">
      <c r="A70" s="772"/>
      <c r="B70" s="824">
        <v>53</v>
      </c>
      <c r="C70" s="770"/>
      <c r="D70" s="892"/>
      <c r="E70" s="770" t="s">
        <v>2194</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89</v>
      </c>
      <c r="R70" s="882"/>
      <c r="S70" s="882"/>
      <c r="T70" s="770"/>
      <c r="U70" s="770"/>
      <c r="V70" s="770" t="s">
        <v>2211</v>
      </c>
      <c r="W70" s="770"/>
      <c r="X70" s="770"/>
      <c r="Y70" s="924"/>
      <c r="Z70" s="773"/>
      <c r="AA70" s="776"/>
      <c r="AB70" s="773"/>
      <c r="AC70" s="773"/>
      <c r="AD70" s="773"/>
    </row>
    <row r="71" spans="1:30" ht="36" customHeight="1">
      <c r="A71" s="772"/>
      <c r="B71" s="824">
        <v>54</v>
      </c>
      <c r="C71" s="770"/>
      <c r="D71" s="892"/>
      <c r="E71" s="770" t="s">
        <v>2196</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105</v>
      </c>
      <c r="R71" s="882"/>
      <c r="S71" s="882"/>
      <c r="T71" s="770"/>
      <c r="U71" s="770"/>
      <c r="V71" s="770" t="s">
        <v>2212</v>
      </c>
      <c r="W71" s="770"/>
      <c r="X71" s="770"/>
      <c r="Y71" s="924"/>
      <c r="Z71" s="773"/>
      <c r="AA71" s="776"/>
      <c r="AB71" s="773"/>
      <c r="AC71" s="773"/>
      <c r="AD71" s="773"/>
    </row>
    <row r="72" spans="1:30" ht="27" customHeight="1">
      <c r="A72" s="772"/>
      <c r="B72" s="824">
        <v>55</v>
      </c>
      <c r="C72" s="770"/>
      <c r="D72" s="892"/>
      <c r="E72" s="770" t="s">
        <v>2198</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141</v>
      </c>
      <c r="R72" s="882"/>
      <c r="S72" s="882"/>
      <c r="T72" s="770"/>
      <c r="U72" s="770"/>
      <c r="V72" s="770" t="s">
        <v>2213</v>
      </c>
      <c r="W72" s="770"/>
      <c r="X72" s="770"/>
      <c r="Y72" s="924"/>
      <c r="Z72" s="773"/>
      <c r="AA72" s="776"/>
      <c r="AB72" s="773"/>
      <c r="AC72" s="773"/>
      <c r="AD72" s="773"/>
    </row>
    <row r="73" spans="1:30" ht="36" customHeight="1">
      <c r="A73" s="772"/>
      <c r="B73" s="824">
        <v>56</v>
      </c>
      <c r="C73" s="770"/>
      <c r="D73" s="892"/>
      <c r="E73" s="770" t="s">
        <v>2200</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142</v>
      </c>
      <c r="R73" s="882"/>
      <c r="S73" s="882"/>
      <c r="T73" s="770"/>
      <c r="U73" s="770"/>
      <c r="V73" s="770" t="s">
        <v>2214</v>
      </c>
      <c r="W73" s="770"/>
      <c r="X73" s="770"/>
      <c r="Y73" s="924"/>
      <c r="Z73" s="773"/>
      <c r="AA73" s="776"/>
      <c r="AB73" s="773"/>
      <c r="AC73" s="773"/>
      <c r="AD73" s="773"/>
    </row>
    <row r="74" spans="1:30" ht="18" customHeight="1">
      <c r="A74" s="772"/>
      <c r="B74" s="824">
        <v>57</v>
      </c>
      <c r="C74" s="770"/>
      <c r="D74" s="892"/>
      <c r="E74" s="770" t="s">
        <v>2209</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143</v>
      </c>
      <c r="R74" s="882"/>
      <c r="S74" s="882"/>
      <c r="T74" s="770"/>
      <c r="U74" s="770"/>
      <c r="V74" s="770" t="s">
        <v>2215</v>
      </c>
      <c r="W74" s="770"/>
      <c r="X74" s="770"/>
      <c r="Y74" s="924"/>
      <c r="Z74" s="773"/>
      <c r="AA74" s="776"/>
      <c r="AB74" s="773"/>
      <c r="AC74" s="773"/>
      <c r="AD74" s="773"/>
    </row>
    <row r="75" spans="1:30" ht="18" customHeight="1">
      <c r="A75" s="772"/>
      <c r="B75" s="824">
        <v>58</v>
      </c>
      <c r="C75" s="770"/>
      <c r="D75" s="892"/>
      <c r="E75" s="770"/>
      <c r="F75" s="770" t="s">
        <v>2194</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89</v>
      </c>
      <c r="S75" s="882"/>
      <c r="T75" s="770"/>
      <c r="U75" s="770"/>
      <c r="V75" s="770"/>
      <c r="W75" s="770" t="s">
        <v>2216</v>
      </c>
      <c r="X75" s="770"/>
      <c r="Y75" s="924"/>
      <c r="Z75" s="773"/>
      <c r="AA75" s="776"/>
      <c r="AB75" s="773"/>
      <c r="AC75" s="773"/>
      <c r="AD75" s="773"/>
    </row>
    <row r="76" spans="1:30" ht="36" customHeight="1">
      <c r="A76" s="772"/>
      <c r="B76" s="824">
        <v>59</v>
      </c>
      <c r="C76" s="770"/>
      <c r="D76" s="892"/>
      <c r="E76" s="770"/>
      <c r="F76" s="770" t="s">
        <v>2196</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105</v>
      </c>
      <c r="S76" s="882"/>
      <c r="T76" s="770"/>
      <c r="U76" s="770"/>
      <c r="V76" s="770"/>
      <c r="W76" s="770" t="s">
        <v>2217</v>
      </c>
      <c r="X76" s="770"/>
      <c r="Y76" s="924"/>
      <c r="Z76" s="773"/>
      <c r="AA76" s="776"/>
      <c r="AB76" s="773"/>
      <c r="AC76" s="773"/>
      <c r="AD76" s="773"/>
    </row>
    <row r="77" spans="1:30" ht="18" customHeight="1">
      <c r="A77" s="772"/>
      <c r="B77" s="824">
        <v>60</v>
      </c>
      <c r="C77" s="770"/>
      <c r="D77" s="892"/>
      <c r="E77" s="770"/>
      <c r="F77" s="770" t="s">
        <v>2198</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141</v>
      </c>
      <c r="S77" s="882"/>
      <c r="T77" s="770"/>
      <c r="U77" s="770"/>
      <c r="V77" s="770"/>
      <c r="W77" s="770" t="s">
        <v>2218</v>
      </c>
      <c r="X77" s="770"/>
      <c r="Y77" s="924"/>
      <c r="Z77" s="773"/>
      <c r="AA77" s="776"/>
      <c r="AB77" s="773"/>
      <c r="AC77" s="773"/>
      <c r="AD77" s="773"/>
    </row>
    <row r="78" spans="1:30" ht="72" customHeight="1">
      <c r="A78" s="772"/>
      <c r="B78" s="824">
        <v>61</v>
      </c>
      <c r="C78" s="770" t="s">
        <v>2194</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89</v>
      </c>
      <c r="P78" s="882"/>
      <c r="Q78" s="882"/>
      <c r="R78" s="882"/>
      <c r="S78" s="882"/>
      <c r="T78" s="770" t="s">
        <v>625</v>
      </c>
      <c r="U78" s="770"/>
      <c r="V78" s="770"/>
      <c r="W78" s="770"/>
      <c r="X78" s="770"/>
      <c r="Y78" s="924"/>
      <c r="Z78" s="773" t="s">
        <v>2219</v>
      </c>
      <c r="AA78" s="776"/>
      <c r="AB78" s="773"/>
      <c r="AC78" s="773"/>
      <c r="AD78" s="773"/>
    </row>
    <row r="79" spans="1:30" ht="36" customHeight="1">
      <c r="A79" s="772"/>
      <c r="B79" s="824">
        <v>62</v>
      </c>
      <c r="C79" s="770" t="s">
        <v>2196</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105</v>
      </c>
      <c r="P79" s="882"/>
      <c r="Q79" s="882"/>
      <c r="R79" s="882"/>
      <c r="S79" s="882"/>
      <c r="T79" s="770" t="s">
        <v>2220</v>
      </c>
      <c r="U79" s="770"/>
      <c r="V79" s="770"/>
      <c r="W79" s="770"/>
      <c r="X79" s="770"/>
      <c r="Y79" s="924"/>
      <c r="Z79" s="773" t="s">
        <v>2221</v>
      </c>
      <c r="AA79" s="776"/>
      <c r="AB79" s="773"/>
      <c r="AC79" s="773"/>
      <c r="AD79" s="773"/>
    </row>
    <row r="80" spans="1:30" ht="45" customHeight="1">
      <c r="A80" s="772"/>
      <c r="B80" s="824">
        <v>63</v>
      </c>
      <c r="C80" s="770" t="s">
        <v>2198</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141</v>
      </c>
      <c r="P80" s="882"/>
      <c r="Q80" s="882"/>
      <c r="R80" s="882"/>
      <c r="S80" s="882"/>
      <c r="T80" s="770" t="s">
        <v>2222</v>
      </c>
      <c r="U80" s="770"/>
      <c r="V80" s="770"/>
      <c r="W80" s="770"/>
      <c r="X80" s="770"/>
      <c r="Y80" s="924"/>
      <c r="Z80" s="773" t="s">
        <v>2223</v>
      </c>
      <c r="AA80" s="776"/>
      <c r="AB80" s="773"/>
      <c r="AC80" s="773"/>
      <c r="AD80" s="773"/>
    </row>
    <row r="81" spans="1:30" ht="36" customHeight="1">
      <c r="A81" s="772"/>
      <c r="B81" s="824">
        <v>64</v>
      </c>
      <c r="C81" s="770" t="s">
        <v>2200</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2106</v>
      </c>
      <c r="P81" s="882"/>
      <c r="Q81" s="882"/>
      <c r="R81" s="882"/>
      <c r="S81" s="882"/>
      <c r="T81" s="770" t="s">
        <v>2224</v>
      </c>
      <c r="U81" s="770"/>
      <c r="V81" s="770"/>
      <c r="W81" s="770"/>
      <c r="X81" s="770"/>
      <c r="Y81" s="924"/>
      <c r="Z81" s="773" t="s">
        <v>2225</v>
      </c>
      <c r="AA81" s="776"/>
      <c r="AB81" s="773"/>
      <c r="AC81" s="773"/>
      <c r="AD81" s="773"/>
    </row>
    <row r="82" spans="1:30" ht="90" customHeight="1">
      <c r="A82" s="772"/>
      <c r="B82" s="824">
        <v>65</v>
      </c>
      <c r="C82" s="770" t="s">
        <v>2209</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142</v>
      </c>
      <c r="P82" s="882"/>
      <c r="Q82" s="882"/>
      <c r="R82" s="882"/>
      <c r="S82" s="882"/>
      <c r="T82" s="770" t="s">
        <v>2226</v>
      </c>
      <c r="U82" s="770"/>
      <c r="V82" s="770"/>
      <c r="W82" s="770"/>
      <c r="X82" s="770"/>
      <c r="Y82" s="924"/>
      <c r="Z82" s="773" t="s">
        <v>2227</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2115</v>
      </c>
      <c r="P83" s="882"/>
      <c r="Q83" s="882"/>
      <c r="R83" s="882"/>
      <c r="S83" s="882"/>
      <c r="T83" s="770" t="s">
        <v>2228</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2229</v>
      </c>
      <c r="P84" s="882"/>
      <c r="Q84" s="882"/>
      <c r="R84" s="882"/>
      <c r="S84" s="882"/>
      <c r="T84" s="770" t="s">
        <v>2230</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2119</v>
      </c>
      <c r="P85" s="882"/>
      <c r="Q85" s="882"/>
      <c r="R85" s="882"/>
      <c r="S85" s="882"/>
      <c r="T85" s="770" t="s">
        <v>2231</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2232</v>
      </c>
      <c r="P86" s="882"/>
      <c r="Q86" s="882"/>
      <c r="R86" s="882"/>
      <c r="S86" s="882"/>
      <c r="T86" s="770" t="s">
        <v>2233</v>
      </c>
      <c r="U86" s="770"/>
      <c r="V86" s="770"/>
      <c r="W86" s="770"/>
      <c r="X86" s="770"/>
      <c r="Y86" s="924"/>
      <c r="Z86" s="773"/>
      <c r="AA86" s="776"/>
      <c r="AB86" s="773"/>
      <c r="AC86" s="773"/>
      <c r="AD86" s="773"/>
    </row>
    <row r="87" spans="1:30" ht="36" customHeight="1">
      <c r="A87" s="772"/>
      <c r="B87" s="824">
        <v>70</v>
      </c>
      <c r="C87" s="770" t="s">
        <v>2234</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143</v>
      </c>
      <c r="P87" s="882"/>
      <c r="Q87" s="882"/>
      <c r="R87" s="882"/>
      <c r="S87" s="882"/>
      <c r="T87" s="770" t="s">
        <v>2235</v>
      </c>
      <c r="U87" s="770"/>
      <c r="V87" s="770"/>
      <c r="W87" s="770"/>
      <c r="X87" s="770"/>
      <c r="Y87" s="924"/>
      <c r="Z87" s="773"/>
      <c r="AA87" s="776"/>
      <c r="AB87" s="773"/>
      <c r="AC87" s="773"/>
      <c r="AD87" s="773"/>
    </row>
    <row r="88" spans="1:30" ht="18" customHeight="1">
      <c r="A88" s="772"/>
      <c r="B88" s="824">
        <v>71</v>
      </c>
      <c r="C88" s="770" t="s">
        <v>2236</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144</v>
      </c>
      <c r="P88" s="882"/>
      <c r="Q88" s="882"/>
      <c r="R88" s="882"/>
      <c r="S88" s="882"/>
      <c r="T88" s="770" t="s">
        <v>657</v>
      </c>
      <c r="U88" s="770"/>
      <c r="V88" s="770"/>
      <c r="W88" s="770"/>
      <c r="X88" s="770"/>
      <c r="Y88" s="924"/>
      <c r="Z88" s="773"/>
      <c r="AA88" s="776"/>
      <c r="AB88" s="773"/>
      <c r="AC88" s="773"/>
      <c r="AD88" s="773"/>
    </row>
    <row r="89" spans="1:30" ht="18" customHeight="1">
      <c r="A89" s="772"/>
      <c r="B89" s="824">
        <v>72</v>
      </c>
      <c r="C89" s="770" t="s">
        <v>2237</v>
      </c>
      <c r="D89" s="892" t="s">
        <v>2234</v>
      </c>
      <c r="E89" s="770" t="s">
        <v>2234</v>
      </c>
      <c r="F89" s="770" t="s">
        <v>2200</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145</v>
      </c>
      <c r="P89" s="882" t="s">
        <v>144</v>
      </c>
      <c r="Q89" s="882" t="s">
        <v>144</v>
      </c>
      <c r="R89" s="882" t="s">
        <v>142</v>
      </c>
      <c r="S89" s="882"/>
      <c r="T89" s="770" t="s">
        <v>665</v>
      </c>
      <c r="U89" s="770" t="s">
        <v>665</v>
      </c>
      <c r="V89" s="770" t="s">
        <v>665</v>
      </c>
      <c r="W89" s="770" t="s">
        <v>665</v>
      </c>
      <c r="X89" s="770"/>
      <c r="Y89" s="924"/>
      <c r="Z89" s="773"/>
      <c r="AA89" s="776"/>
      <c r="AB89" s="773"/>
      <c r="AC89" s="773"/>
      <c r="AD89" s="773"/>
    </row>
    <row r="90" spans="1:30" ht="27" customHeight="1">
      <c r="A90" s="772"/>
      <c r="B90" s="824">
        <v>73</v>
      </c>
      <c r="C90" s="770" t="s">
        <v>2238</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146</v>
      </c>
      <c r="P90" s="882"/>
      <c r="Q90" s="882"/>
      <c r="R90" s="882"/>
      <c r="S90" s="882"/>
      <c r="T90" s="770" t="s">
        <v>667</v>
      </c>
      <c r="U90" s="770"/>
      <c r="V90" s="770"/>
      <c r="W90" s="770"/>
      <c r="X90" s="770"/>
      <c r="Y90" s="924"/>
      <c r="Z90" s="773"/>
      <c r="AA90" s="776"/>
      <c r="AB90" s="773"/>
      <c r="AC90" s="773"/>
      <c r="AD90" s="773"/>
    </row>
    <row r="91" spans="1:30" ht="18" customHeight="1">
      <c r="A91" s="772"/>
      <c r="B91" s="824">
        <v>74</v>
      </c>
      <c r="C91" s="770"/>
      <c r="D91" s="892" t="s">
        <v>2236</v>
      </c>
      <c r="E91" s="770" t="s">
        <v>2236</v>
      </c>
      <c r="F91" s="770"/>
      <c r="G91" s="770"/>
      <c r="H91" s="816"/>
      <c r="I91" s="928">
        <f t="shared" si="13"/>
        <v>0</v>
      </c>
      <c r="J91" s="928">
        <f t="shared" si="14"/>
        <v>0</v>
      </c>
      <c r="K91" s="928">
        <f t="shared" si="15"/>
        <v>0</v>
      </c>
      <c r="L91" s="771" t="str">
        <f t="shared" si="16"/>
        <v/>
      </c>
      <c r="M91" s="771" t="str">
        <f t="shared" si="17"/>
        <v/>
      </c>
      <c r="N91" s="771" t="str">
        <f t="shared" si="18"/>
        <v/>
      </c>
      <c r="O91" s="882"/>
      <c r="P91" s="882" t="s">
        <v>145</v>
      </c>
      <c r="Q91" s="882" t="s">
        <v>145</v>
      </c>
      <c r="R91" s="882"/>
      <c r="S91" s="882"/>
      <c r="T91" s="770"/>
      <c r="U91" s="770" t="s">
        <v>2239</v>
      </c>
      <c r="V91" s="770" t="s">
        <v>2239</v>
      </c>
      <c r="W91" s="770"/>
      <c r="X91" s="770"/>
      <c r="Y91" s="924"/>
      <c r="Z91" s="773"/>
      <c r="AA91" s="776"/>
      <c r="AB91" s="773"/>
      <c r="AC91" s="773"/>
      <c r="AD91" s="773"/>
    </row>
    <row r="92" spans="1:30" ht="27" customHeight="1">
      <c r="A92" s="772"/>
      <c r="B92" s="824">
        <v>75</v>
      </c>
      <c r="C92" s="770"/>
      <c r="D92" s="892" t="s">
        <v>2237</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146</v>
      </c>
      <c r="Q92" s="882"/>
      <c r="R92" s="882"/>
      <c r="S92" s="882"/>
      <c r="T92" s="770"/>
      <c r="U92" s="770" t="s">
        <v>2240</v>
      </c>
      <c r="V92" s="770"/>
      <c r="W92" s="770"/>
      <c r="X92" s="770"/>
      <c r="Y92" s="924"/>
      <c r="Z92" s="773"/>
      <c r="AA92" s="776" t="s">
        <v>2241</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2147</v>
      </c>
      <c r="Q93" s="882"/>
      <c r="R93" s="882"/>
      <c r="S93" s="882"/>
      <c r="T93" s="770"/>
      <c r="U93" s="770" t="s">
        <v>2242</v>
      </c>
      <c r="V93" s="770"/>
      <c r="W93" s="770"/>
      <c r="X93" s="770"/>
      <c r="Y93" s="924"/>
      <c r="Z93" s="773"/>
      <c r="AA93" s="776" t="s">
        <v>2243</v>
      </c>
      <c r="AB93" s="773"/>
      <c r="AC93" s="773"/>
      <c r="AD93" s="773"/>
    </row>
    <row r="94" spans="1:30" ht="45" customHeight="1">
      <c r="A94" s="772"/>
      <c r="B94" s="824">
        <v>77</v>
      </c>
      <c r="C94" s="770"/>
      <c r="D94" s="892" t="s">
        <v>2238</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1510</v>
      </c>
      <c r="Q94" s="882"/>
      <c r="R94" s="882"/>
      <c r="S94" s="882"/>
      <c r="T94" s="770"/>
      <c r="U94" s="770" t="s">
        <v>2244</v>
      </c>
      <c r="V94" s="770"/>
      <c r="W94" s="770"/>
      <c r="X94" s="770"/>
      <c r="Y94" s="924"/>
      <c r="Z94" s="773"/>
      <c r="AA94" s="776" t="s">
        <v>2245</v>
      </c>
      <c r="AB94" s="773"/>
      <c r="AC94" s="773"/>
      <c r="AD94" s="773"/>
    </row>
    <row r="95" spans="1:30" ht="99" customHeight="1">
      <c r="A95" s="772"/>
      <c r="B95" s="824">
        <v>78</v>
      </c>
      <c r="C95" s="770" t="s">
        <v>2246</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1510</v>
      </c>
      <c r="P95" s="882"/>
      <c r="Q95" s="882"/>
      <c r="R95" s="882"/>
      <c r="S95" s="882"/>
      <c r="T95" s="770" t="s">
        <v>2247</v>
      </c>
      <c r="U95" s="770"/>
      <c r="V95" s="770"/>
      <c r="W95" s="770"/>
      <c r="X95" s="770"/>
      <c r="Y95" s="924"/>
      <c r="Z95" s="773"/>
      <c r="AA95" s="776"/>
      <c r="AB95" s="773"/>
      <c r="AC95" s="773"/>
      <c r="AD95" s="773"/>
    </row>
    <row r="96" spans="1:30" ht="99" customHeight="1">
      <c r="A96" s="772"/>
      <c r="B96" s="824">
        <v>79</v>
      </c>
      <c r="C96" s="770" t="s">
        <v>1201</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1516</v>
      </c>
      <c r="P96" s="882"/>
      <c r="Q96" s="882"/>
      <c r="R96" s="882"/>
      <c r="S96" s="882"/>
      <c r="T96" s="770" t="s">
        <v>2248</v>
      </c>
      <c r="U96" s="770"/>
      <c r="V96" s="770"/>
      <c r="W96" s="770"/>
      <c r="X96" s="770"/>
      <c r="Y96" s="924"/>
      <c r="Z96" s="773" t="s">
        <v>2249</v>
      </c>
      <c r="AA96" s="776"/>
      <c r="AB96" s="773"/>
      <c r="AC96" s="773"/>
      <c r="AD96" s="773"/>
    </row>
    <row r="97" spans="1:30" ht="63" customHeight="1">
      <c r="A97" s="772"/>
      <c r="B97" s="824">
        <v>80</v>
      </c>
      <c r="C97" s="770" t="s">
        <v>2250</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1527</v>
      </c>
      <c r="P97" s="882"/>
      <c r="Q97" s="882"/>
      <c r="R97" s="882"/>
      <c r="S97" s="882"/>
      <c r="T97" s="770" t="s">
        <v>2251</v>
      </c>
      <c r="U97" s="770"/>
      <c r="V97" s="770"/>
      <c r="W97" s="770"/>
      <c r="X97" s="770"/>
      <c r="Y97" s="924"/>
      <c r="Z97" s="773" t="s">
        <v>2252</v>
      </c>
      <c r="AA97" s="776"/>
      <c r="AB97" s="773"/>
      <c r="AC97" s="773"/>
      <c r="AD97" s="773"/>
    </row>
    <row r="98" spans="1:30" ht="63" customHeight="1">
      <c r="A98" s="772"/>
      <c r="B98" s="824">
        <v>81</v>
      </c>
      <c r="C98" s="770" t="s">
        <v>2253</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1541</v>
      </c>
      <c r="P98" s="882"/>
      <c r="Q98" s="882"/>
      <c r="R98" s="882"/>
      <c r="S98" s="882"/>
      <c r="T98" s="770" t="s">
        <v>2254</v>
      </c>
      <c r="U98" s="770"/>
      <c r="V98" s="770"/>
      <c r="W98" s="770"/>
      <c r="X98" s="770"/>
      <c r="Y98" s="924"/>
      <c r="Z98" s="773" t="s">
        <v>2252</v>
      </c>
      <c r="AA98" s="776"/>
      <c r="AB98" s="773"/>
      <c r="AC98" s="773"/>
      <c r="AD98" s="773"/>
    </row>
    <row r="99" spans="1:30" ht="90" customHeight="1">
      <c r="A99" s="772"/>
      <c r="B99" s="824">
        <v>82</v>
      </c>
      <c r="C99" s="770" t="s">
        <v>2255</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1553</v>
      </c>
      <c r="P99" s="882"/>
      <c r="Q99" s="882"/>
      <c r="R99" s="882"/>
      <c r="S99" s="882"/>
      <c r="T99" s="770" t="s">
        <v>2256</v>
      </c>
      <c r="U99" s="770"/>
      <c r="V99" s="770"/>
      <c r="W99" s="770"/>
      <c r="X99" s="770"/>
      <c r="Y99" s="924"/>
      <c r="Z99" s="773" t="s">
        <v>622</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2257</v>
      </c>
      <c r="P100" s="882"/>
      <c r="Q100" s="882"/>
      <c r="R100" s="882"/>
      <c r="S100" s="882"/>
      <c r="T100" s="770" t="s">
        <v>2258</v>
      </c>
      <c r="U100" s="770"/>
      <c r="V100" s="770"/>
      <c r="W100" s="770"/>
      <c r="X100" s="770"/>
      <c r="Y100" s="924"/>
      <c r="Z100" s="773" t="s">
        <v>622</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2259</v>
      </c>
      <c r="P101" s="882"/>
      <c r="Q101" s="882"/>
      <c r="R101" s="882"/>
      <c r="S101" s="882"/>
      <c r="T101" s="770" t="s">
        <v>2260</v>
      </c>
      <c r="U101" s="770"/>
      <c r="V101" s="770"/>
      <c r="W101" s="770"/>
      <c r="X101" s="770"/>
      <c r="Y101" s="924"/>
      <c r="Z101" s="773" t="s">
        <v>622</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1705</v>
      </c>
      <c r="B148" s="772"/>
      <c r="C148" s="770" t="s">
        <v>2261</v>
      </c>
      <c r="D148" s="770" t="s">
        <v>1608</v>
      </c>
      <c r="E148" s="770" t="s">
        <v>1707</v>
      </c>
      <c r="F148" s="770" t="s">
        <v>2262</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2263</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2264</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1709</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1712</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1717</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406" hidden="1"/>
    <col min="2" max="2" width="11" style="2406" hidden="1" customWidth="1"/>
    <col min="3" max="3" width="10.5703125" style="2406" hidden="1"/>
    <col min="4" max="4" width="11.85546875" style="2406" hidden="1" customWidth="1"/>
    <col min="5" max="5" width="12.28515625" style="2406" hidden="1" customWidth="1"/>
    <col min="6" max="8" width="12.28515625" style="2433" hidden="1" customWidth="1"/>
    <col min="9" max="9" width="3" style="2434" customWidth="1"/>
    <col min="10" max="11" width="3" style="2435" customWidth="1"/>
    <col min="12" max="12" width="12" style="2436" customWidth="1"/>
    <col min="13" max="13" width="31" style="2400" customWidth="1"/>
    <col min="14" max="14" width="1" style="2400" customWidth="1"/>
    <col min="15" max="18" width="24" style="2400" customWidth="1"/>
    <col min="19" max="19" width="11" style="2400" customWidth="1"/>
    <col min="20" max="20" width="3.7109375" style="2400" customWidth="1"/>
    <col min="21" max="21" width="11" style="2400" customWidth="1"/>
    <col min="22" max="22" width="8.5703125" style="2400" customWidth="1"/>
    <col min="23" max="23" width="4" style="2400" customWidth="1"/>
    <col min="24" max="24" width="115" style="2400" customWidth="1"/>
    <col min="25" max="29" width="10" style="2407" customWidth="1"/>
    <col min="30" max="30" width="10.5703125" style="2400" hidden="1"/>
  </cols>
  <sheetData>
    <row r="1" spans="1:30" ht="22.5" hidden="1" customHeight="1">
      <c r="R1" s="264"/>
      <c r="S1" s="264"/>
      <c r="AD1" s="1073" t="s">
        <v>14</v>
      </c>
    </row>
    <row r="2" spans="1:30" ht="14.25" hidden="1" customHeight="1">
      <c r="V2" s="264"/>
      <c r="AD2" s="1073">
        <v>0</v>
      </c>
    </row>
    <row r="3" spans="1:30" ht="14.25" hidden="1" customHeight="1">
      <c r="AD3" s="1073">
        <v>0</v>
      </c>
    </row>
    <row r="4" spans="1:30" ht="14.65" customHeight="1">
      <c r="J4" s="312"/>
      <c r="K4" s="312"/>
      <c r="L4" s="1193"/>
      <c r="M4" s="299"/>
      <c r="N4" s="299"/>
      <c r="O4" s="445"/>
      <c r="P4" s="445"/>
      <c r="Q4" s="445"/>
      <c r="R4" s="445"/>
      <c r="S4" s="445"/>
      <c r="T4" s="445"/>
      <c r="U4" s="445"/>
      <c r="V4" s="445"/>
      <c r="AD4" s="1073">
        <v>14</v>
      </c>
    </row>
    <row r="5" spans="1:30" ht="67.150000000000006" customHeight="1">
      <c r="J5" s="312"/>
      <c r="K5" s="312"/>
      <c r="L5" s="2928" t="s">
        <v>2265</v>
      </c>
      <c r="M5" s="2928"/>
      <c r="N5" s="2928"/>
      <c r="O5" s="2928"/>
      <c r="P5" s="2928"/>
      <c r="Q5" s="2928"/>
      <c r="R5" s="2928"/>
      <c r="S5" s="2928"/>
      <c r="T5" s="2928"/>
      <c r="U5" s="2928"/>
      <c r="V5" s="1161"/>
      <c r="AD5" s="1073">
        <v>64</v>
      </c>
    </row>
    <row r="6" spans="1:30" ht="14.65" customHeight="1">
      <c r="J6" s="312"/>
      <c r="K6" s="312"/>
      <c r="L6" s="2929" t="str">
        <f>IF(org=0,"Не определено",org)</f>
        <v>ПАО "ТГК-1" (филиал "Кольский")</v>
      </c>
      <c r="M6" s="2929"/>
      <c r="N6" s="2929"/>
      <c r="O6" s="2929"/>
      <c r="P6" s="2929"/>
      <c r="Q6" s="2929"/>
      <c r="R6" s="2929"/>
      <c r="S6" s="2929"/>
      <c r="T6" s="2929"/>
      <c r="U6" s="2929"/>
      <c r="V6" s="1161"/>
      <c r="AD6" s="1073">
        <v>14</v>
      </c>
    </row>
    <row r="7" spans="1:30" ht="14.65" customHeight="1">
      <c r="J7" s="312"/>
      <c r="K7" s="312"/>
      <c r="L7" s="1193"/>
      <c r="M7" s="299"/>
      <c r="N7" s="299"/>
      <c r="O7" s="259"/>
      <c r="P7" s="259"/>
      <c r="Q7" s="259"/>
      <c r="R7" s="259"/>
      <c r="S7" s="259"/>
      <c r="T7" s="259"/>
      <c r="U7" s="259"/>
      <c r="V7" s="259"/>
      <c r="W7" s="445"/>
      <c r="AD7" s="1073">
        <v>14</v>
      </c>
    </row>
    <row r="8" spans="1:30" s="2416" customFormat="1" ht="48.2" customHeight="1">
      <c r="A8" s="1286"/>
      <c r="B8" s="1286"/>
      <c r="C8" s="1286"/>
      <c r="D8" s="1286"/>
      <c r="E8" s="1286"/>
      <c r="F8" s="1286"/>
      <c r="G8" s="1286"/>
      <c r="H8" s="1286"/>
      <c r="L8" s="1194"/>
      <c r="M8" s="232" t="s">
        <v>41</v>
      </c>
      <c r="N8" s="241"/>
      <c r="O8" s="2635" t="str">
        <f>IF(TITLE_NAME_OR_PR_CHANGE="",IF(TITLE_NAME_OR_PR="","",TITLE_NAME_OR_PR),TITLE_NAME_OR_PR_CHANGE)</f>
        <v/>
      </c>
      <c r="P8" s="2635"/>
      <c r="Q8" s="2635"/>
      <c r="R8" s="2635"/>
      <c r="S8" s="2635"/>
      <c r="T8" s="2635"/>
      <c r="U8" s="2635"/>
      <c r="V8" s="263"/>
      <c r="W8" s="263"/>
      <c r="X8" s="217"/>
      <c r="Y8" s="304"/>
      <c r="Z8" s="304"/>
      <c r="AA8" s="304"/>
      <c r="AB8" s="304"/>
      <c r="AC8" s="304"/>
      <c r="AD8" s="354">
        <v>46</v>
      </c>
    </row>
    <row r="9" spans="1:30" s="2416" customFormat="1" ht="24" customHeight="1">
      <c r="A9" s="1286"/>
      <c r="B9" s="1286"/>
      <c r="C9" s="1286"/>
      <c r="D9" s="1286"/>
      <c r="E9" s="1286"/>
      <c r="F9" s="1286"/>
      <c r="G9" s="1286"/>
      <c r="H9" s="1286"/>
      <c r="L9" s="1194"/>
      <c r="M9" s="232" t="s">
        <v>414</v>
      </c>
      <c r="N9" s="241"/>
      <c r="O9" s="2635" t="str">
        <f>IF(TITLE_DATE_CHANGE_PERIOD="",IF(TITLE_DATE_PR="","",TITLE_DATE_PR),TITLE_DATE_CHANGE_PERIOD)</f>
        <v/>
      </c>
      <c r="P9" s="2635"/>
      <c r="Q9" s="2635"/>
      <c r="R9" s="2635"/>
      <c r="S9" s="2635"/>
      <c r="T9" s="2635"/>
      <c r="U9" s="2635"/>
      <c r="V9" s="263"/>
      <c r="W9" s="263"/>
      <c r="X9" s="217"/>
      <c r="Y9" s="304"/>
      <c r="Z9" s="304"/>
      <c r="AA9" s="304"/>
      <c r="AB9" s="304"/>
      <c r="AC9" s="304"/>
      <c r="AD9" s="354">
        <v>23</v>
      </c>
    </row>
    <row r="10" spans="1:30" s="2416" customFormat="1" ht="24" customHeight="1">
      <c r="A10" s="1286"/>
      <c r="B10" s="1286"/>
      <c r="C10" s="1286"/>
      <c r="D10" s="1286"/>
      <c r="E10" s="1286"/>
      <c r="F10" s="1286"/>
      <c r="G10" s="1286"/>
      <c r="H10" s="1286"/>
      <c r="L10" s="1168"/>
      <c r="M10" s="232" t="s">
        <v>415</v>
      </c>
      <c r="N10" s="241"/>
      <c r="O10" s="2635" t="str">
        <f>IF(TITLE_NUMBER_PR_CHANGE="",IF(TITLE_NUMBER_PR="","",TITLE_NUMBER_PR),TITLE_NUMBER_PR_CHANGE)</f>
        <v/>
      </c>
      <c r="P10" s="2635"/>
      <c r="Q10" s="2635"/>
      <c r="R10" s="2635"/>
      <c r="S10" s="2635"/>
      <c r="T10" s="2635"/>
      <c r="U10" s="2635"/>
      <c r="V10" s="263"/>
      <c r="W10" s="263"/>
      <c r="X10" s="217"/>
      <c r="Y10" s="304"/>
      <c r="Z10" s="304"/>
      <c r="AA10" s="304"/>
      <c r="AB10" s="304"/>
      <c r="AC10" s="304"/>
      <c r="AD10" s="354">
        <v>23</v>
      </c>
    </row>
    <row r="11" spans="1:30" s="2416" customFormat="1" ht="24" customHeight="1">
      <c r="A11" s="1286"/>
      <c r="B11" s="1286"/>
      <c r="C11" s="1286"/>
      <c r="D11" s="1286"/>
      <c r="E11" s="1286"/>
      <c r="F11" s="1286"/>
      <c r="G11" s="1286"/>
      <c r="H11" s="1286"/>
      <c r="L11" s="1168"/>
      <c r="M11" s="232" t="s">
        <v>42</v>
      </c>
      <c r="N11" s="241"/>
      <c r="O11" s="2635" t="str">
        <f>IF(TITLE_IST_PUB_CHANGE="",IF(TITLE_IST_PUB="","",TITLE_IST_PUB),TITLE_IST_PUB_CHANGE)</f>
        <v/>
      </c>
      <c r="P11" s="2635"/>
      <c r="Q11" s="2635"/>
      <c r="R11" s="2635"/>
      <c r="S11" s="2635"/>
      <c r="T11" s="2635"/>
      <c r="U11" s="2635"/>
      <c r="V11" s="263"/>
      <c r="W11" s="263"/>
      <c r="X11" s="217"/>
      <c r="Y11" s="304"/>
      <c r="Z11" s="304"/>
      <c r="AA11" s="304"/>
      <c r="AB11" s="304"/>
      <c r="AC11" s="304"/>
      <c r="AD11" s="354">
        <v>23</v>
      </c>
    </row>
    <row r="12" spans="1:30" s="2416" customFormat="1" ht="11.25" hidden="1" customHeight="1">
      <c r="A12" s="1286"/>
      <c r="B12" s="1286"/>
      <c r="C12" s="1286"/>
      <c r="D12" s="1286"/>
      <c r="E12" s="1286"/>
      <c r="F12" s="1286"/>
      <c r="G12" s="1286"/>
      <c r="H12" s="1286"/>
      <c r="L12" s="2927"/>
      <c r="M12" s="2927"/>
      <c r="N12" s="1205"/>
      <c r="O12" s="263"/>
      <c r="P12" s="263"/>
      <c r="Q12" s="263"/>
      <c r="R12" s="263"/>
      <c r="S12" s="263"/>
      <c r="T12" s="263"/>
      <c r="U12" s="263"/>
      <c r="V12" s="215" t="s">
        <v>418</v>
      </c>
      <c r="Y12" s="304"/>
      <c r="Z12" s="304"/>
      <c r="AA12" s="304"/>
      <c r="AB12" s="304"/>
      <c r="AC12" s="304"/>
      <c r="AD12" s="354">
        <v>0</v>
      </c>
    </row>
    <row r="13" spans="1:30" ht="14.65" customHeight="1">
      <c r="J13" s="312"/>
      <c r="K13" s="312"/>
      <c r="L13" s="1193"/>
      <c r="M13" s="299"/>
      <c r="N13" s="1162"/>
      <c r="O13" s="2654"/>
      <c r="P13" s="2654"/>
      <c r="Q13" s="2654"/>
      <c r="R13" s="2654"/>
      <c r="S13" s="2654"/>
      <c r="T13" s="2654"/>
      <c r="U13" s="2654"/>
      <c r="V13" s="2654"/>
      <c r="AD13" s="1073">
        <v>14</v>
      </c>
    </row>
    <row r="14" spans="1:30" ht="14.65" customHeight="1">
      <c r="J14" s="312"/>
      <c r="K14" s="312"/>
      <c r="L14" s="2514" t="s">
        <v>291</v>
      </c>
      <c r="M14" s="2514"/>
      <c r="N14" s="2514"/>
      <c r="O14" s="2514"/>
      <c r="P14" s="2514"/>
      <c r="Q14" s="2514"/>
      <c r="R14" s="2514"/>
      <c r="S14" s="2514"/>
      <c r="T14" s="2514"/>
      <c r="U14" s="2514"/>
      <c r="V14" s="2514"/>
      <c r="W14" s="2514"/>
      <c r="X14" s="2514" t="s">
        <v>292</v>
      </c>
      <c r="AD14" s="1073">
        <v>14</v>
      </c>
    </row>
    <row r="15" spans="1:30" ht="14.65" customHeight="1">
      <c r="J15" s="312"/>
      <c r="K15" s="312"/>
      <c r="L15" s="2655" t="s">
        <v>84</v>
      </c>
      <c r="M15" s="2603" t="s">
        <v>419</v>
      </c>
      <c r="N15" s="238"/>
      <c r="O15" s="2656" t="s">
        <v>2266</v>
      </c>
      <c r="P15" s="2657"/>
      <c r="Q15" s="2657"/>
      <c r="R15" s="2657"/>
      <c r="S15" s="2657"/>
      <c r="T15" s="2657"/>
      <c r="U15" s="2658"/>
      <c r="V15" s="2659" t="s">
        <v>421</v>
      </c>
      <c r="W15" s="2662" t="s">
        <v>1198</v>
      </c>
      <c r="X15" s="2514"/>
      <c r="AD15" s="1073">
        <v>14</v>
      </c>
    </row>
    <row r="16" spans="1:30" ht="35.65" customHeight="1">
      <c r="J16" s="312"/>
      <c r="K16" s="312"/>
      <c r="L16" s="2655"/>
      <c r="M16" s="2603"/>
      <c r="N16" s="954"/>
      <c r="O16" s="2573" t="s">
        <v>424</v>
      </c>
      <c r="P16" s="2573" t="s">
        <v>425</v>
      </c>
      <c r="Q16" s="2496" t="s">
        <v>426</v>
      </c>
      <c r="R16" s="2495"/>
      <c r="S16" s="2496" t="s">
        <v>440</v>
      </c>
      <c r="T16" s="2501"/>
      <c r="U16" s="2495"/>
      <c r="V16" s="2660"/>
      <c r="W16" s="2663"/>
      <c r="X16" s="2514"/>
      <c r="AD16" s="1073">
        <v>34</v>
      </c>
    </row>
    <row r="17" spans="1:30" ht="35.65" customHeight="1">
      <c r="A17" s="1288" t="s">
        <v>127</v>
      </c>
      <c r="B17" s="1288" t="s">
        <v>128</v>
      </c>
      <c r="C17" s="1288" t="s">
        <v>129</v>
      </c>
      <c r="D17" s="1288" t="s">
        <v>130</v>
      </c>
      <c r="E17" s="1288"/>
      <c r="J17" s="312"/>
      <c r="K17" s="312"/>
      <c r="L17" s="2655"/>
      <c r="M17" s="2603"/>
      <c r="N17" s="239"/>
      <c r="O17" s="2628"/>
      <c r="P17" s="2628"/>
      <c r="Q17" s="1140" t="s">
        <v>435</v>
      </c>
      <c r="R17" s="1140" t="s">
        <v>436</v>
      </c>
      <c r="S17" s="1210" t="s">
        <v>437</v>
      </c>
      <c r="T17" s="2608" t="s">
        <v>438</v>
      </c>
      <c r="U17" s="2622"/>
      <c r="V17" s="2661"/>
      <c r="W17" s="2664"/>
      <c r="X17" s="2514"/>
      <c r="AD17" s="1073">
        <v>34</v>
      </c>
    </row>
    <row r="18" spans="1:30" s="2431" customFormat="1" ht="11.45" customHeight="1">
      <c r="A18" s="1288"/>
      <c r="B18" s="1288"/>
      <c r="C18" s="1288"/>
      <c r="D18" s="1288"/>
      <c r="E18" s="1288"/>
      <c r="F18" s="1280"/>
      <c r="G18" s="1280"/>
      <c r="H18" s="1280"/>
      <c r="I18" s="1164"/>
      <c r="J18" s="1165"/>
      <c r="K18" s="1172">
        <v>1</v>
      </c>
      <c r="L18" s="1195" t="s">
        <v>102</v>
      </c>
      <c r="M18" s="1173" t="s">
        <v>103</v>
      </c>
      <c r="N18" s="1163" t="str">
        <f ca="1">OFFSET(N18,0,-1)</f>
        <v>2</v>
      </c>
      <c r="O18" s="1207">
        <f ca="1">OFFSET(O18,0,-1)+1</f>
        <v>3</v>
      </c>
      <c r="P18" s="1207"/>
      <c r="Q18" s="1207">
        <f ca="1">OFFSET(Q18,0,-1)+1</f>
        <v>1</v>
      </c>
      <c r="R18" s="1207">
        <f ca="1">OFFSET(R18,0,-1)+1</f>
        <v>2</v>
      </c>
      <c r="S18" s="1207">
        <f ca="1">OFFSET(S18,0,-1)+1</f>
        <v>3</v>
      </c>
      <c r="T18" s="2653">
        <f ca="1">OFFSET(T18,0,-1)+1</f>
        <v>4</v>
      </c>
      <c r="U18" s="2653"/>
      <c r="V18" s="1207">
        <f ca="1">OFFSET(V18,0,-2)+1</f>
        <v>5</v>
      </c>
      <c r="W18" s="1163">
        <f ca="1">OFFSET(W18,0,-1)</f>
        <v>5</v>
      </c>
      <c r="X18" s="1207">
        <f ca="1">OFFSET(X18,0,-1)+1</f>
        <v>6</v>
      </c>
      <c r="Y18" s="447"/>
      <c r="Z18" s="447"/>
      <c r="AA18" s="447"/>
      <c r="AB18" s="447"/>
      <c r="AC18" s="447"/>
      <c r="AD18" s="432">
        <v>11</v>
      </c>
    </row>
    <row r="19" spans="1:30" ht="21" customHeight="1">
      <c r="A19" s="1281" t="s">
        <v>161</v>
      </c>
      <c r="B19" s="1281" t="s">
        <v>162</v>
      </c>
      <c r="C19" s="1281" t="s">
        <v>163</v>
      </c>
      <c r="D19" s="1281" t="s">
        <v>164</v>
      </c>
      <c r="E19" s="1281"/>
      <c r="F19" s="1283"/>
      <c r="G19" s="1283"/>
      <c r="H19" s="1283"/>
      <c r="I19" s="297"/>
      <c r="J19" s="296"/>
      <c r="K19" s="291"/>
      <c r="L19" s="1211">
        <f>INDEX(PT_DIFFERENTIATION_NUM_NTAR,MATCH(A19,PT_DIFFERENTIATION_NTAR_ID,0))</f>
        <v>0</v>
      </c>
      <c r="M19" s="235" t="s">
        <v>116</v>
      </c>
      <c r="N19" s="237"/>
      <c r="O19" s="2926" t="str">
        <f>INDEX(PT_DIFFERENTIATION_NTAR,MATCH(A19,PT_DIFFERENTIATION_NTAR_ID,0))</f>
        <v/>
      </c>
      <c r="P19" s="2926"/>
      <c r="Q19" s="2926"/>
      <c r="R19" s="2926"/>
      <c r="S19" s="2926"/>
      <c r="T19" s="2926"/>
      <c r="U19" s="2926"/>
      <c r="V19" s="2926"/>
      <c r="W19" s="2926"/>
      <c r="X19" s="1176" t="s">
        <v>387</v>
      </c>
      <c r="Z19" s="436"/>
      <c r="AA19" s="436" t="str">
        <f t="shared" ref="AA19:AA32" si="0">IF(M19="","",M19)</f>
        <v>Наименование тарифа</v>
      </c>
      <c r="AB19" s="436"/>
      <c r="AC19" s="436"/>
      <c r="AD19" s="1073">
        <v>20</v>
      </c>
    </row>
    <row r="20" spans="1:30" ht="21" customHeight="1">
      <c r="A20" s="1281" t="s">
        <v>161</v>
      </c>
      <c r="B20" s="1281" t="s">
        <v>162</v>
      </c>
      <c r="C20" s="1281" t="s">
        <v>163</v>
      </c>
      <c r="D20" s="1281" t="s">
        <v>164</v>
      </c>
      <c r="E20" s="1281"/>
      <c r="F20" s="1283"/>
      <c r="G20" s="1283"/>
      <c r="H20" s="1283"/>
      <c r="I20" s="1208"/>
      <c r="J20" s="288"/>
      <c r="K20" s="289"/>
      <c r="L20" s="1211" t="str">
        <f>INDEX(PT_DIFFERENTIATION_NUM_TER,MATCH(B19,PT_DIFFERENTIATION_TER_ID,0))</f>
        <v>.</v>
      </c>
      <c r="M20" s="245" t="s">
        <v>388</v>
      </c>
      <c r="N20" s="237"/>
      <c r="O20" s="2926" t="str">
        <f>INDEX(PT_DIFFERENTIATION_TER,MATCH(B19,PT_DIFFERENTIATION_TER_ID,0))</f>
        <v/>
      </c>
      <c r="P20" s="2926"/>
      <c r="Q20" s="2926"/>
      <c r="R20" s="2926"/>
      <c r="S20" s="2926"/>
      <c r="T20" s="2926"/>
      <c r="U20" s="2926"/>
      <c r="V20" s="2926"/>
      <c r="W20" s="2926"/>
      <c r="X20" s="1176" t="s">
        <v>389</v>
      </c>
      <c r="Z20" s="436"/>
      <c r="AA20" s="436" t="str">
        <f t="shared" si="0"/>
        <v>Территория действия тарифа</v>
      </c>
      <c r="AB20" s="436"/>
      <c r="AC20" s="436"/>
      <c r="AD20" s="1073">
        <v>20</v>
      </c>
    </row>
    <row r="21" spans="1:30" ht="24" customHeight="1">
      <c r="A21" s="1281" t="s">
        <v>161</v>
      </c>
      <c r="B21" s="1281" t="s">
        <v>162</v>
      </c>
      <c r="C21" s="1281" t="s">
        <v>163</v>
      </c>
      <c r="D21" s="1281" t="s">
        <v>164</v>
      </c>
      <c r="E21" s="1281"/>
      <c r="F21" s="1283"/>
      <c r="G21" s="1283"/>
      <c r="H21" s="1283"/>
      <c r="I21" s="290"/>
      <c r="J21" s="288"/>
      <c r="K21" s="289"/>
      <c r="L21" s="1211" t="str">
        <f>INDEX(PT_DIFFERENTIATION_NUM_CS,MATCH(C19,PT_DIFFERENTIATION_CS_ID,0))</f>
        <v>..</v>
      </c>
      <c r="M21" s="246" t="s">
        <v>390</v>
      </c>
      <c r="N21" s="237"/>
      <c r="O21" s="2926" t="str">
        <f>INDEX(PT_DIFFERENTIATION_CS,MATCH(C19,PT_DIFFERENTIATION_CS_ID,0))</f>
        <v/>
      </c>
      <c r="P21" s="2926"/>
      <c r="Q21" s="2926"/>
      <c r="R21" s="2926"/>
      <c r="S21" s="2926"/>
      <c r="T21" s="2926"/>
      <c r="U21" s="2926"/>
      <c r="V21" s="2926"/>
      <c r="W21" s="2926"/>
      <c r="X21" s="1176" t="s">
        <v>391</v>
      </c>
      <c r="Z21" s="436"/>
      <c r="AA21" s="436" t="str">
        <f t="shared" si="0"/>
        <v xml:space="preserve">Наименование системы теплоснабжения </v>
      </c>
      <c r="AB21" s="436"/>
      <c r="AC21" s="436"/>
      <c r="AD21" s="1073">
        <v>23</v>
      </c>
    </row>
    <row r="22" spans="1:30" ht="21" customHeight="1">
      <c r="A22" s="1281" t="s">
        <v>161</v>
      </c>
      <c r="B22" s="1281" t="s">
        <v>162</v>
      </c>
      <c r="C22" s="1281" t="s">
        <v>163</v>
      </c>
      <c r="D22" s="1281" t="s">
        <v>164</v>
      </c>
      <c r="E22" s="1281"/>
      <c r="F22" s="1283"/>
      <c r="G22" s="1283"/>
      <c r="H22" s="1283"/>
      <c r="I22" s="290"/>
      <c r="J22" s="288"/>
      <c r="K22" s="289"/>
      <c r="L22" s="1211" t="str">
        <f>INDEX(PT_DIFFERENTIATION_NUM_IST_TE,MATCH(D19,PT_DIFFERENTIATION_IST_TE_ID,0))</f>
        <v>...</v>
      </c>
      <c r="M22" s="247" t="s">
        <v>392</v>
      </c>
      <c r="N22" s="237"/>
      <c r="O22" s="2926" t="str">
        <f>INDEX(PT_DIFFERENTIATION_IST_TE,MATCH(D19,PT_DIFFERENTIATION_IST_TE_ID,0))</f>
        <v/>
      </c>
      <c r="P22" s="2926"/>
      <c r="Q22" s="2926"/>
      <c r="R22" s="2926"/>
      <c r="S22" s="2926"/>
      <c r="T22" s="2926"/>
      <c r="U22" s="2926"/>
      <c r="V22" s="2926"/>
      <c r="W22" s="2926"/>
      <c r="X22" s="1176" t="s">
        <v>393</v>
      </c>
      <c r="Z22" s="436"/>
      <c r="AA22" s="436" t="str">
        <f t="shared" si="0"/>
        <v xml:space="preserve">Источник тепловой энергии  </v>
      </c>
      <c r="AB22" s="436"/>
      <c r="AC22" s="436"/>
      <c r="AD22" s="1073">
        <v>20</v>
      </c>
    </row>
    <row r="23" spans="1:30" ht="96.75" customHeight="1">
      <c r="A23" s="1281" t="s">
        <v>161</v>
      </c>
      <c r="B23" s="1281" t="s">
        <v>162</v>
      </c>
      <c r="C23" s="1281" t="s">
        <v>163</v>
      </c>
      <c r="D23" s="1281" t="s">
        <v>164</v>
      </c>
      <c r="E23" s="1281"/>
      <c r="F23" s="2620" t="str">
        <f>L22&amp;".1"</f>
        <v>....1</v>
      </c>
      <c r="I23" s="2646">
        <v>1</v>
      </c>
      <c r="J23" s="1209"/>
      <c r="K23" s="292"/>
      <c r="L23" s="1211" t="str">
        <f>$F$23</f>
        <v>....1</v>
      </c>
      <c r="M23" s="222" t="s">
        <v>395</v>
      </c>
      <c r="N23" s="237"/>
      <c r="O23" s="2676"/>
      <c r="P23" s="2676"/>
      <c r="Q23" s="2676"/>
      <c r="R23" s="2676"/>
      <c r="S23" s="2676"/>
      <c r="T23" s="2676"/>
      <c r="U23" s="2676"/>
      <c r="V23" s="2676"/>
      <c r="W23" s="2676"/>
      <c r="X23" s="1176" t="s">
        <v>396</v>
      </c>
      <c r="Z23" s="436"/>
      <c r="AA23" s="436" t="str">
        <f t="shared" si="0"/>
        <v>Схема подключения теплопотребляющей установки к коллектору источника тепловой энергии</v>
      </c>
      <c r="AB23" s="436"/>
      <c r="AC23" s="436"/>
      <c r="AD23" s="1073">
        <v>92</v>
      </c>
    </row>
    <row r="24" spans="1:30" ht="86.25" customHeight="1">
      <c r="A24" s="1281" t="s">
        <v>161</v>
      </c>
      <c r="B24" s="1281" t="s">
        <v>162</v>
      </c>
      <c r="C24" s="1281" t="s">
        <v>163</v>
      </c>
      <c r="D24" s="1281" t="s">
        <v>164</v>
      </c>
      <c r="E24" s="1281"/>
      <c r="F24" s="2620"/>
      <c r="G24" s="2620" t="str">
        <f>F23&amp;".1"</f>
        <v>....1.1</v>
      </c>
      <c r="I24" s="2646"/>
      <c r="J24" s="2646">
        <v>1</v>
      </c>
      <c r="K24" s="293"/>
      <c r="L24" s="1211" t="str">
        <f>$G$24</f>
        <v>....1.1</v>
      </c>
      <c r="M24" s="223" t="s">
        <v>398</v>
      </c>
      <c r="N24" s="237"/>
      <c r="O24" s="2630"/>
      <c r="P24" s="2631"/>
      <c r="Q24" s="2631"/>
      <c r="R24" s="2631"/>
      <c r="S24" s="2631"/>
      <c r="T24" s="2631"/>
      <c r="U24" s="2631"/>
      <c r="V24" s="2631"/>
      <c r="W24" s="2632"/>
      <c r="X24" s="1176" t="s">
        <v>399</v>
      </c>
      <c r="Z24" s="436"/>
      <c r="AA24" s="436" t="str">
        <f t="shared" si="0"/>
        <v>Группа потребителей</v>
      </c>
      <c r="AB24" s="436"/>
      <c r="AC24" s="436"/>
      <c r="AD24" s="1073">
        <v>82</v>
      </c>
    </row>
    <row r="25" spans="1:30" ht="11.45" customHeight="1">
      <c r="A25" s="1281" t="s">
        <v>161</v>
      </c>
      <c r="B25" s="1281" t="s">
        <v>162</v>
      </c>
      <c r="C25" s="1281" t="s">
        <v>163</v>
      </c>
      <c r="D25" s="1281" t="s">
        <v>164</v>
      </c>
      <c r="E25" s="1281"/>
      <c r="F25" s="2620"/>
      <c r="G25" s="2620"/>
      <c r="H25" s="2620" t="str">
        <f>G24&amp;".1"</f>
        <v>....1.1.1</v>
      </c>
      <c r="I25" s="2646"/>
      <c r="J25" s="2646"/>
      <c r="K25" s="293">
        <v>1</v>
      </c>
      <c r="L25" s="1211" t="str">
        <f>$H$25</f>
        <v>....1.1.1</v>
      </c>
      <c r="M25" s="1265"/>
      <c r="N25" s="237"/>
      <c r="O25" s="687"/>
      <c r="P25" s="262"/>
      <c r="Q25" s="687"/>
      <c r="R25" s="1175"/>
      <c r="S25" s="2647"/>
      <c r="T25" s="2524" t="s">
        <v>65</v>
      </c>
      <c r="U25" s="2647"/>
      <c r="V25" s="2524" t="s">
        <v>19</v>
      </c>
      <c r="W25" s="262"/>
      <c r="X25" s="2665" t="s">
        <v>401</v>
      </c>
      <c r="Y25" s="447" t="e">
        <f ca="1">STRCHECKDATE(O26:W26)</f>
        <v>#NAME?</v>
      </c>
      <c r="Z25" s="436"/>
      <c r="AA25" s="436" t="str">
        <f t="shared" si="0"/>
        <v/>
      </c>
      <c r="AB25" s="436"/>
      <c r="AC25" s="436"/>
      <c r="AD25" s="1073">
        <v>11</v>
      </c>
    </row>
    <row r="26" spans="1:30" ht="11.45" customHeight="1">
      <c r="A26" s="1281" t="s">
        <v>161</v>
      </c>
      <c r="B26" s="1281" t="s">
        <v>162</v>
      </c>
      <c r="C26" s="1281" t="s">
        <v>163</v>
      </c>
      <c r="D26" s="1281" t="s">
        <v>164</v>
      </c>
      <c r="E26" s="1281"/>
      <c r="F26" s="2620"/>
      <c r="G26" s="2620"/>
      <c r="H26" s="2620"/>
      <c r="I26" s="2646"/>
      <c r="J26" s="2646"/>
      <c r="K26" s="293"/>
      <c r="L26" s="1212"/>
      <c r="M26" s="237"/>
      <c r="N26" s="237"/>
      <c r="O26" s="262"/>
      <c r="P26" s="262"/>
      <c r="Q26" s="262"/>
      <c r="R26" s="265" t="str">
        <f>S25&amp;"-"&amp;U25</f>
        <v>-</v>
      </c>
      <c r="S26" s="2648"/>
      <c r="T26" s="2524"/>
      <c r="U26" s="2648"/>
      <c r="V26" s="2524"/>
      <c r="W26" s="262"/>
      <c r="X26" s="2666"/>
      <c r="Z26" s="436"/>
      <c r="AA26" s="436" t="str">
        <f t="shared" si="0"/>
        <v/>
      </c>
      <c r="AB26" s="436"/>
      <c r="AC26" s="436"/>
      <c r="AD26" s="1073">
        <v>11</v>
      </c>
    </row>
    <row r="27" spans="1:30" ht="15.75" customHeight="1">
      <c r="A27" s="1281" t="s">
        <v>161</v>
      </c>
      <c r="B27" s="1281" t="s">
        <v>162</v>
      </c>
      <c r="C27" s="1281" t="s">
        <v>163</v>
      </c>
      <c r="D27" s="1281" t="s">
        <v>164</v>
      </c>
      <c r="E27" s="1281"/>
      <c r="F27" s="2620"/>
      <c r="G27" s="2620"/>
      <c r="I27" s="2646"/>
      <c r="J27" s="2646"/>
      <c r="K27" s="292"/>
      <c r="L27" s="1196"/>
      <c r="M27" s="225" t="s">
        <v>402</v>
      </c>
      <c r="N27" s="303"/>
      <c r="O27" s="303"/>
      <c r="P27" s="303"/>
      <c r="Q27" s="303"/>
      <c r="R27" s="303"/>
      <c r="S27" s="303"/>
      <c r="T27" s="303"/>
      <c r="U27" s="303"/>
      <c r="V27" s="303"/>
      <c r="W27" s="261"/>
      <c r="X27" s="2667"/>
      <c r="Z27" s="436"/>
      <c r="AA27" s="436" t="str">
        <f t="shared" si="0"/>
        <v>Добавить вид теплоносителя (параметры теплоносителя)</v>
      </c>
      <c r="AB27" s="436"/>
      <c r="AC27" s="436"/>
      <c r="AD27" s="1073">
        <v>15</v>
      </c>
    </row>
    <row r="28" spans="1:30" ht="15.75" customHeight="1">
      <c r="A28" s="1281" t="s">
        <v>161</v>
      </c>
      <c r="B28" s="1281" t="s">
        <v>162</v>
      </c>
      <c r="C28" s="1281" t="s">
        <v>163</v>
      </c>
      <c r="D28" s="1281" t="s">
        <v>164</v>
      </c>
      <c r="E28" s="1281"/>
      <c r="F28" s="2620"/>
      <c r="I28" s="2646"/>
      <c r="J28" s="1209"/>
      <c r="K28" s="292"/>
      <c r="L28" s="1196"/>
      <c r="M28" s="224" t="s">
        <v>403</v>
      </c>
      <c r="N28" s="303"/>
      <c r="O28" s="303"/>
      <c r="P28" s="303"/>
      <c r="Q28" s="303"/>
      <c r="R28" s="303"/>
      <c r="S28" s="303"/>
      <c r="T28" s="303"/>
      <c r="U28" s="303"/>
      <c r="V28" s="302"/>
      <c r="W28" s="303"/>
      <c r="X28" s="240"/>
      <c r="Z28" s="436"/>
      <c r="AA28" s="436" t="str">
        <f t="shared" si="0"/>
        <v>Добавить группу потребителей</v>
      </c>
      <c r="AB28" s="436"/>
      <c r="AC28" s="436"/>
      <c r="AD28" s="1073">
        <v>15</v>
      </c>
    </row>
    <row r="29" spans="1:30" ht="14.65" customHeight="1">
      <c r="A29" s="1281" t="s">
        <v>161</v>
      </c>
      <c r="B29" s="1281" t="s">
        <v>162</v>
      </c>
      <c r="C29" s="1281" t="s">
        <v>163</v>
      </c>
      <c r="D29" s="1281" t="s">
        <v>164</v>
      </c>
      <c r="E29" s="1281"/>
      <c r="F29" s="1283"/>
      <c r="G29" s="1283"/>
      <c r="H29" s="473"/>
      <c r="I29" s="296"/>
      <c r="J29" s="311"/>
      <c r="K29" s="291"/>
      <c r="L29" s="1196"/>
      <c r="M29" s="301" t="s">
        <v>404</v>
      </c>
      <c r="N29" s="303"/>
      <c r="O29" s="303"/>
      <c r="P29" s="303"/>
      <c r="Q29" s="303"/>
      <c r="R29" s="303"/>
      <c r="S29" s="303"/>
      <c r="T29" s="303"/>
      <c r="U29" s="303"/>
      <c r="V29" s="302"/>
      <c r="W29" s="303"/>
      <c r="X29" s="240"/>
      <c r="Z29" s="436"/>
      <c r="AA29" s="436" t="str">
        <f t="shared" si="0"/>
        <v>Добавить схему подключения</v>
      </c>
      <c r="AB29" s="436"/>
      <c r="AC29" s="436"/>
      <c r="AD29" s="1073">
        <v>14</v>
      </c>
    </row>
    <row r="30" spans="1:30" ht="14.65" customHeight="1">
      <c r="A30" s="1281" t="s">
        <v>161</v>
      </c>
      <c r="B30" s="1281" t="s">
        <v>162</v>
      </c>
      <c r="C30" s="1281" t="s">
        <v>163</v>
      </c>
      <c r="D30" s="1281"/>
      <c r="E30" s="1281" t="s">
        <v>577</v>
      </c>
      <c r="F30" s="1283"/>
      <c r="G30" s="1283"/>
      <c r="H30" s="473"/>
      <c r="I30" s="296"/>
      <c r="J30" s="311"/>
      <c r="K30" s="291"/>
      <c r="L30" s="1197"/>
      <c r="M30" s="1186"/>
      <c r="N30" s="1187"/>
      <c r="O30" s="1187"/>
      <c r="P30" s="1187"/>
      <c r="Q30" s="1187"/>
      <c r="R30" s="1187"/>
      <c r="S30" s="1187"/>
      <c r="T30" s="1187"/>
      <c r="U30" s="1187"/>
      <c r="V30" s="1188"/>
      <c r="W30" s="1187"/>
      <c r="X30" s="1189"/>
      <c r="Z30" s="436"/>
      <c r="AA30" s="436" t="str">
        <f t="shared" si="0"/>
        <v/>
      </c>
      <c r="AB30" s="436"/>
      <c r="AC30" s="436"/>
      <c r="AD30" s="1073">
        <v>14</v>
      </c>
    </row>
    <row r="31" spans="1:30" ht="14.65" customHeight="1">
      <c r="A31" s="1281" t="s">
        <v>161</v>
      </c>
      <c r="B31" s="1281" t="s">
        <v>162</v>
      </c>
      <c r="C31" s="1281"/>
      <c r="D31" s="1281"/>
      <c r="E31" s="1281" t="s">
        <v>2267</v>
      </c>
      <c r="F31" s="1435"/>
      <c r="G31" s="1435"/>
      <c r="H31" s="473"/>
      <c r="I31" s="294"/>
      <c r="J31" s="311"/>
      <c r="K31" s="295"/>
      <c r="L31" s="1197"/>
      <c r="M31" s="1190"/>
      <c r="N31" s="1187"/>
      <c r="O31" s="1187"/>
      <c r="P31" s="1187"/>
      <c r="Q31" s="1187"/>
      <c r="R31" s="1187"/>
      <c r="S31" s="1187"/>
      <c r="T31" s="1187"/>
      <c r="U31" s="1187"/>
      <c r="V31" s="1188"/>
      <c r="W31" s="1187"/>
      <c r="X31" s="1189"/>
      <c r="Z31" s="436"/>
      <c r="AA31" s="436" t="str">
        <f t="shared" si="0"/>
        <v/>
      </c>
      <c r="AB31" s="436"/>
      <c r="AC31" s="436"/>
      <c r="AD31" s="1073">
        <v>14</v>
      </c>
    </row>
    <row r="32" spans="1:30" ht="14.65" customHeight="1">
      <c r="A32" s="1281" t="s">
        <v>2268</v>
      </c>
      <c r="B32" s="1281"/>
      <c r="C32" s="1281"/>
      <c r="D32" s="1281"/>
      <c r="E32" s="1281" t="s">
        <v>97</v>
      </c>
      <c r="F32" s="1435"/>
      <c r="G32" s="1435"/>
      <c r="H32" s="473"/>
      <c r="I32" s="296"/>
      <c r="J32" s="311"/>
      <c r="K32" s="291"/>
      <c r="L32" s="1197"/>
      <c r="M32" s="1191"/>
      <c r="N32" s="1187"/>
      <c r="O32" s="1187"/>
      <c r="P32" s="1187"/>
      <c r="Q32" s="1187"/>
      <c r="R32" s="1187"/>
      <c r="S32" s="1187"/>
      <c r="T32" s="1187"/>
      <c r="U32" s="1187"/>
      <c r="V32" s="1188"/>
      <c r="W32" s="1187"/>
      <c r="X32" s="1189"/>
      <c r="Z32" s="436"/>
      <c r="AA32" s="436" t="str">
        <f t="shared" si="0"/>
        <v/>
      </c>
      <c r="AB32" s="436"/>
      <c r="AC32" s="436"/>
      <c r="AD32" s="1073">
        <v>14</v>
      </c>
    </row>
    <row r="33" spans="1:30" s="2410" customFormat="1" ht="11.45" customHeight="1">
      <c r="A33" s="1281"/>
      <c r="B33" s="1281"/>
      <c r="C33" s="1281"/>
      <c r="D33" s="1281"/>
      <c r="E33" s="1281" t="s">
        <v>439</v>
      </c>
      <c r="F33" s="1436"/>
      <c r="G33" s="1437"/>
      <c r="H33" s="473"/>
      <c r="L33" s="1198"/>
      <c r="M33" s="1192"/>
      <c r="N33" s="1187"/>
      <c r="O33" s="1187"/>
      <c r="P33" s="1187"/>
      <c r="Q33" s="1187"/>
      <c r="R33" s="1187"/>
      <c r="S33" s="1187"/>
      <c r="T33" s="1187"/>
      <c r="U33" s="1187"/>
      <c r="V33" s="1188"/>
      <c r="W33" s="1187"/>
      <c r="X33" s="1189"/>
      <c r="Y33" s="315"/>
      <c r="Z33" s="315"/>
      <c r="AA33" s="315"/>
      <c r="AB33" s="315"/>
      <c r="AC33" s="315"/>
      <c r="AD33" s="309">
        <v>11</v>
      </c>
    </row>
    <row r="34" spans="1:30" ht="11.45" customHeight="1">
      <c r="F34" s="1078"/>
      <c r="G34" s="1078"/>
      <c r="H34" s="473"/>
      <c r="I34" s="1073"/>
      <c r="J34" s="1073"/>
      <c r="K34" s="1073"/>
      <c r="Y34" s="1073"/>
      <c r="Z34" s="1073"/>
      <c r="AA34" s="1073"/>
      <c r="AB34" s="1073"/>
      <c r="AC34" s="1073"/>
      <c r="AD34" s="1073">
        <v>11</v>
      </c>
    </row>
    <row r="35" spans="1:30" ht="28.5" customHeight="1">
      <c r="H35" s="473"/>
      <c r="L35" s="1206" t="s">
        <v>795</v>
      </c>
      <c r="M35" s="2641" t="s">
        <v>2269</v>
      </c>
      <c r="N35" s="2641"/>
      <c r="O35" s="2641"/>
      <c r="P35" s="2641"/>
      <c r="Q35" s="2641"/>
      <c r="R35" s="2641"/>
      <c r="S35" s="2641"/>
      <c r="T35" s="2641"/>
      <c r="U35" s="2641"/>
      <c r="V35" s="2641"/>
      <c r="W35" s="2641"/>
      <c r="X35" s="2641"/>
      <c r="AD35" s="1073">
        <v>27</v>
      </c>
    </row>
    <row r="36" spans="1:30" ht="109.15" customHeight="1">
      <c r="H36" s="473"/>
      <c r="I36" s="1221"/>
      <c r="M36" s="2641" t="s">
        <v>2270</v>
      </c>
      <c r="N36" s="2641"/>
      <c r="O36" s="2641"/>
      <c r="P36" s="2641"/>
      <c r="Q36" s="2641"/>
      <c r="R36" s="2641"/>
      <c r="S36" s="2641"/>
      <c r="T36" s="2641"/>
      <c r="U36" s="2641"/>
      <c r="V36" s="2641"/>
      <c r="W36" s="2641"/>
      <c r="X36" s="2641"/>
      <c r="AD36" s="1073">
        <v>104</v>
      </c>
    </row>
    <row r="37" spans="1:30" ht="14.65" customHeight="1">
      <c r="H37" s="473"/>
      <c r="AD37" s="1073">
        <v>14</v>
      </c>
    </row>
    <row r="38" spans="1:30" ht="14.65" customHeight="1">
      <c r="H38" s="473"/>
      <c r="AD38" s="1073">
        <v>14</v>
      </c>
    </row>
    <row r="39" spans="1:30" ht="14.65" customHeight="1">
      <c r="H39" s="473"/>
      <c r="AD39" s="1073">
        <v>14</v>
      </c>
    </row>
    <row r="40" spans="1:30" ht="14.65" customHeight="1">
      <c r="H40" s="473"/>
      <c r="AD40" s="1073">
        <v>14</v>
      </c>
    </row>
    <row r="41" spans="1:30" ht="22.5" hidden="1" customHeight="1">
      <c r="A41" s="1078" t="s">
        <v>78</v>
      </c>
      <c r="B41" s="1078">
        <v>0</v>
      </c>
      <c r="C41" s="1078">
        <v>0</v>
      </c>
      <c r="D41" s="1078">
        <v>0</v>
      </c>
      <c r="E41" s="1078">
        <v>0</v>
      </c>
      <c r="F41" s="1280">
        <v>0</v>
      </c>
      <c r="G41" s="1280">
        <v>0</v>
      </c>
      <c r="H41" s="1280">
        <v>0</v>
      </c>
      <c r="I41" s="1204">
        <v>3</v>
      </c>
      <c r="J41" s="281">
        <v>3</v>
      </c>
      <c r="K41" s="281">
        <v>3</v>
      </c>
      <c r="L41" s="517">
        <v>12</v>
      </c>
      <c r="M41" s="1073">
        <v>31</v>
      </c>
      <c r="N41" s="1073">
        <v>1</v>
      </c>
      <c r="O41" s="1073">
        <v>24</v>
      </c>
      <c r="P41" s="1073">
        <v>24</v>
      </c>
      <c r="Q41" s="1073">
        <v>24</v>
      </c>
      <c r="R41" s="1073">
        <v>24</v>
      </c>
      <c r="S41" s="1073">
        <v>11</v>
      </c>
      <c r="T41" s="1073">
        <v>3</v>
      </c>
      <c r="U41" s="1073">
        <v>11</v>
      </c>
      <c r="V41" s="1073">
        <v>8</v>
      </c>
      <c r="W41" s="1073">
        <v>4</v>
      </c>
      <c r="X41" s="1073">
        <v>115</v>
      </c>
      <c r="Y41" s="447">
        <v>10</v>
      </c>
      <c r="Z41" s="447">
        <v>10</v>
      </c>
      <c r="AA41" s="447">
        <v>10</v>
      </c>
      <c r="AB41" s="447">
        <v>10</v>
      </c>
      <c r="AC41" s="447">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427" hidden="1" customWidth="1"/>
    <col min="2" max="2" width="15" style="2425" hidden="1" customWidth="1"/>
    <col min="3" max="3" width="3" style="2428" customWidth="1"/>
    <col min="4" max="4" width="6" style="2429" customWidth="1"/>
    <col min="5" max="5" width="52" style="2428" customWidth="1"/>
    <col min="6" max="6" width="48" style="2428" customWidth="1"/>
    <col min="7" max="7" width="121" style="2428" customWidth="1"/>
    <col min="8" max="8" width="8" style="2428" customWidth="1"/>
    <col min="9" max="9" width="64" style="2428" customWidth="1"/>
    <col min="10" max="10" width="9.140625" style="2428" hidden="1"/>
  </cols>
  <sheetData>
    <row r="1" spans="1:10" ht="11.25" hidden="1" customHeight="1">
      <c r="A1" s="1604" t="s">
        <v>290</v>
      </c>
      <c r="J1" s="391" t="s">
        <v>14</v>
      </c>
    </row>
    <row r="2" spans="1:10" ht="11.25" hidden="1" customHeight="1">
      <c r="J2" s="391">
        <v>0</v>
      </c>
    </row>
    <row r="3" spans="1:10" s="2424" customFormat="1" ht="11.45" customHeight="1">
      <c r="A3" s="1604"/>
      <c r="B3" s="437"/>
      <c r="D3" s="414"/>
      <c r="J3" s="413">
        <v>11</v>
      </c>
    </row>
    <row r="4" spans="1:10" ht="27.4" customHeight="1">
      <c r="D4" s="256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65"/>
      <c r="F4" s="2566"/>
      <c r="I4" s="651"/>
      <c r="J4" s="391">
        <v>26</v>
      </c>
    </row>
    <row r="5" spans="1:10" ht="18" customHeight="1">
      <c r="D5" s="2595" t="str">
        <f>IF(org=0,"Не определено",org)</f>
        <v>ПАО "ТГК-1" (филиал "Кольский")</v>
      </c>
      <c r="E5" s="2595"/>
      <c r="F5" s="2595"/>
      <c r="I5" s="651"/>
      <c r="J5" s="391">
        <v>17</v>
      </c>
    </row>
    <row r="6" spans="1:10" s="2424" customFormat="1" ht="11.45" customHeight="1">
      <c r="A6" s="1604"/>
      <c r="B6" s="437"/>
      <c r="D6" s="650"/>
      <c r="E6" s="650"/>
      <c r="F6" s="688"/>
      <c r="G6" s="650"/>
      <c r="J6" s="413">
        <v>11</v>
      </c>
    </row>
    <row r="7" spans="1:10" ht="11.25" hidden="1" customHeight="1">
      <c r="A7" s="393"/>
      <c r="B7" s="438"/>
      <c r="C7" s="393"/>
      <c r="D7" s="399"/>
      <c r="E7" s="2601"/>
      <c r="F7" s="2601"/>
      <c r="J7" s="391">
        <v>0</v>
      </c>
    </row>
    <row r="8" spans="1:10" ht="11.45" customHeight="1">
      <c r="A8" s="393"/>
      <c r="B8" s="438"/>
      <c r="C8" s="393"/>
      <c r="D8" s="2598" t="s">
        <v>291</v>
      </c>
      <c r="E8" s="2599"/>
      <c r="F8" s="2599"/>
      <c r="G8" s="2602" t="s">
        <v>292</v>
      </c>
      <c r="J8" s="391">
        <v>11</v>
      </c>
    </row>
    <row r="9" spans="1:10" ht="11.45" customHeight="1">
      <c r="A9" s="393"/>
      <c r="B9" s="438"/>
      <c r="C9" s="393"/>
      <c r="D9" s="408" t="s">
        <v>84</v>
      </c>
      <c r="E9" s="382" t="s">
        <v>293</v>
      </c>
      <c r="F9" s="382" t="s">
        <v>294</v>
      </c>
      <c r="G9" s="2603"/>
      <c r="J9" s="391">
        <v>11</v>
      </c>
    </row>
    <row r="10" spans="1:10" ht="12" hidden="1" customHeight="1">
      <c r="A10" s="393"/>
      <c r="B10" s="438"/>
      <c r="C10" s="393"/>
      <c r="D10" s="400"/>
      <c r="E10" s="400"/>
      <c r="F10" s="400"/>
      <c r="G10" s="400"/>
      <c r="J10" s="391">
        <v>0</v>
      </c>
    </row>
    <row r="11" spans="1:10" ht="22.5" hidden="1" customHeight="1">
      <c r="A11" s="393"/>
      <c r="B11" s="438"/>
      <c r="C11" s="393"/>
      <c r="D11" s="932" t="s">
        <v>102</v>
      </c>
      <c r="E11" s="935" t="s">
        <v>295</v>
      </c>
      <c r="F11" s="934" t="str">
        <f>IF(region_name="","",region_name)</f>
        <v>Мурманская область</v>
      </c>
      <c r="G11" s="935" t="s">
        <v>296</v>
      </c>
      <c r="H11" s="411"/>
      <c r="J11" s="391">
        <v>0</v>
      </c>
    </row>
    <row r="12" spans="1:10" ht="22.5" hidden="1" customHeight="1">
      <c r="A12" s="393"/>
      <c r="B12" s="438"/>
      <c r="C12" s="393"/>
      <c r="D12" s="381" t="s">
        <v>102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297</v>
      </c>
      <c r="G12" s="410"/>
      <c r="H12" s="411"/>
      <c r="J12" s="391">
        <v>0</v>
      </c>
    </row>
    <row r="13" spans="1:10" ht="23.25" customHeight="1">
      <c r="A13" s="393"/>
      <c r="B13" s="438"/>
      <c r="C13" s="393"/>
      <c r="D13" s="381" t="s">
        <v>102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298</v>
      </c>
      <c r="E14" s="933" t="s">
        <v>299</v>
      </c>
      <c r="F14" s="934" t="str">
        <f>IF(inn="","",inn)</f>
        <v>7841312071</v>
      </c>
      <c r="G14" s="935" t="s">
        <v>300</v>
      </c>
      <c r="H14" s="411"/>
      <c r="J14" s="391">
        <v>0</v>
      </c>
    </row>
    <row r="15" spans="1:10" ht="22.5" hidden="1" customHeight="1">
      <c r="A15" s="393"/>
      <c r="B15" s="438"/>
      <c r="C15" s="393"/>
      <c r="D15" s="932" t="s">
        <v>301</v>
      </c>
      <c r="E15" s="933" t="s">
        <v>302</v>
      </c>
      <c r="F15" s="934" t="str">
        <f>IF(kpp="","",kpp)</f>
        <v>519001001</v>
      </c>
      <c r="G15" s="935" t="s">
        <v>303</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86</v>
      </c>
      <c r="E17" s="378" t="str">
        <f>"Дата присвоения ОГРН"&amp;IF(TEMPLATE_SPHERE="TKO",""," (ОГРНИП)")</f>
        <v>Дата присвоения ОГРН (ОГРНИП)</v>
      </c>
      <c r="F17" s="1649"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87</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2596" t="s">
        <v>304</v>
      </c>
      <c r="B19" s="438"/>
      <c r="C19" s="2607"/>
      <c r="D19" s="381" t="str">
        <f>A19</f>
        <v>5.1</v>
      </c>
      <c r="E19" s="378" t="s">
        <v>305</v>
      </c>
      <c r="F19" s="379" t="s">
        <v>297</v>
      </c>
      <c r="G19" s="380" t="s">
        <v>306</v>
      </c>
      <c r="H19" s="411"/>
      <c r="I19" s="778"/>
      <c r="J19" s="391">
        <v>0</v>
      </c>
    </row>
    <row r="20" spans="1:10" ht="24" customHeight="1">
      <c r="A20" s="2596"/>
      <c r="B20" s="438"/>
      <c r="C20" s="2607"/>
      <c r="D20" s="376" t="str">
        <f>D19&amp;".1"</f>
        <v>5.1.1</v>
      </c>
      <c r="E20" s="375" t="s">
        <v>307</v>
      </c>
      <c r="F20" s="2006" t="s">
        <v>22</v>
      </c>
      <c r="G20" s="410"/>
      <c r="H20" s="411"/>
      <c r="I20" s="778"/>
      <c r="J20" s="391">
        <v>0</v>
      </c>
    </row>
    <row r="21" spans="1:10" ht="22.5" customHeight="1">
      <c r="A21" s="2596"/>
      <c r="B21" s="438"/>
      <c r="C21" s="2607"/>
      <c r="D21" s="376" t="str">
        <f>D19&amp;".2"</f>
        <v>5.1.2</v>
      </c>
      <c r="E21" s="375" t="s">
        <v>308</v>
      </c>
      <c r="F21" s="2003" t="s">
        <v>22</v>
      </c>
      <c r="G21" s="380" t="s">
        <v>309</v>
      </c>
      <c r="H21" s="411"/>
      <c r="I21" s="778"/>
      <c r="J21" s="391">
        <v>0</v>
      </c>
    </row>
    <row r="22" spans="1:10" ht="22.5" customHeight="1">
      <c r="A22" s="2596"/>
      <c r="B22" s="438"/>
      <c r="C22" s="2607"/>
      <c r="D22" s="376" t="str">
        <f>D19&amp;".3"</f>
        <v>5.1.3</v>
      </c>
      <c r="E22" s="375" t="s">
        <v>310</v>
      </c>
      <c r="F22" s="2006" t="s">
        <v>22</v>
      </c>
      <c r="G22" s="410"/>
      <c r="H22" s="411"/>
      <c r="I22" s="778"/>
      <c r="J22" s="391">
        <v>0</v>
      </c>
    </row>
    <row r="23" spans="1:10" ht="22.5" customHeight="1">
      <c r="A23" s="2596"/>
      <c r="B23" s="438"/>
      <c r="C23" s="2607"/>
      <c r="D23" s="376" t="str">
        <f>D19&amp;".4"</f>
        <v>5.1.4</v>
      </c>
      <c r="E23" s="375" t="s">
        <v>311</v>
      </c>
      <c r="F23" s="2006" t="s">
        <v>22</v>
      </c>
      <c r="G23" s="380" t="s">
        <v>312</v>
      </c>
      <c r="H23" s="411"/>
      <c r="I23" s="778"/>
      <c r="J23" s="391">
        <v>0</v>
      </c>
    </row>
    <row r="24" spans="1:10" ht="22.5" customHeight="1">
      <c r="A24" s="1890"/>
      <c r="B24" s="438"/>
      <c r="C24" s="428"/>
      <c r="D24" s="403"/>
      <c r="E24" s="1086" t="s">
        <v>313</v>
      </c>
      <c r="F24" s="404"/>
      <c r="G24" s="405"/>
      <c r="H24" s="411"/>
      <c r="I24" s="778"/>
      <c r="J24" s="391">
        <v>0</v>
      </c>
    </row>
    <row r="25" spans="1:10" s="2425" customFormat="1" ht="24.75" hidden="1" customHeight="1">
      <c r="A25" s="393"/>
      <c r="B25" s="438"/>
      <c r="C25" s="438"/>
      <c r="D25" s="929" t="s">
        <v>86</v>
      </c>
      <c r="E25" s="931" t="s">
        <v>314</v>
      </c>
      <c r="F25" s="936" t="s">
        <v>297</v>
      </c>
      <c r="G25" s="931"/>
      <c r="J25" s="437">
        <v>0</v>
      </c>
    </row>
    <row r="26" spans="1:10" s="2425" customFormat="1" ht="11.25" hidden="1" customHeight="1">
      <c r="A26" s="393"/>
      <c r="B26" s="438"/>
      <c r="C26" s="438"/>
      <c r="D26" s="929" t="s">
        <v>315</v>
      </c>
      <c r="E26" s="930" t="s">
        <v>316</v>
      </c>
      <c r="F26" s="936" t="s">
        <v>297</v>
      </c>
      <c r="G26" s="931"/>
      <c r="J26" s="437">
        <v>0</v>
      </c>
    </row>
    <row r="27" spans="1:10" s="2425" customFormat="1" ht="11.25" hidden="1" customHeight="1">
      <c r="A27" s="393"/>
      <c r="B27" s="438"/>
      <c r="C27" s="438"/>
      <c r="D27" s="929" t="s">
        <v>317</v>
      </c>
      <c r="E27" s="937" t="s">
        <v>318</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425" customFormat="1" ht="11.25" hidden="1" customHeight="1">
      <c r="A28" s="393"/>
      <c r="B28" s="438"/>
      <c r="C28" s="438"/>
      <c r="D28" s="929" t="s">
        <v>319</v>
      </c>
      <c r="E28" s="937" t="s">
        <v>320</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425" customFormat="1" ht="11.25" hidden="1" customHeight="1">
      <c r="A29" s="393"/>
      <c r="B29" s="438"/>
      <c r="C29" s="438"/>
      <c r="D29" s="929" t="s">
        <v>321</v>
      </c>
      <c r="E29" s="937" t="s">
        <v>322</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425" customFormat="1" ht="11.25" hidden="1" customHeight="1">
      <c r="A30" s="393"/>
      <c r="B30" s="438"/>
      <c r="C30" s="438"/>
      <c r="D30" s="929" t="s">
        <v>323</v>
      </c>
      <c r="E30" s="930" t="s">
        <v>324</v>
      </c>
      <c r="F30" s="938"/>
      <c r="G30" s="931"/>
      <c r="J30" s="437">
        <v>0</v>
      </c>
    </row>
    <row r="31" spans="1:10" s="2425" customFormat="1" ht="11.25" hidden="1" customHeight="1">
      <c r="A31" s="393"/>
      <c r="B31" s="438"/>
      <c r="C31" s="438"/>
      <c r="D31" s="929" t="s">
        <v>325</v>
      </c>
      <c r="E31" s="930" t="s">
        <v>326</v>
      </c>
      <c r="F31" s="938"/>
      <c r="G31" s="931"/>
      <c r="J31" s="437">
        <v>0</v>
      </c>
    </row>
    <row r="32" spans="1:10" s="2425" customFormat="1" ht="11.25" hidden="1" customHeight="1">
      <c r="A32" s="393"/>
      <c r="B32" s="438"/>
      <c r="C32" s="438"/>
      <c r="D32" s="929" t="s">
        <v>327</v>
      </c>
      <c r="E32" s="930" t="s">
        <v>328</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297</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329</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329</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297</v>
      </c>
      <c r="G39" s="260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3"/>
      <c r="F40" s="806"/>
      <c r="G40" s="2605"/>
      <c r="H40" s="411"/>
      <c r="J40" s="391">
        <v>0</v>
      </c>
    </row>
    <row r="41" spans="1:10" ht="23.25" customHeight="1">
      <c r="A41" s="393"/>
      <c r="B41" s="393"/>
      <c r="C41" s="1606"/>
      <c r="D41" s="376" t="str">
        <f>D39&amp;".1"</f>
        <v>9.1</v>
      </c>
      <c r="E41" s="786"/>
      <c r="F41" s="787"/>
      <c r="G41" s="2605"/>
      <c r="H41" s="411"/>
      <c r="J41" s="391">
        <v>22</v>
      </c>
    </row>
    <row r="42" spans="1:10" ht="15.75" customHeight="1">
      <c r="A42" s="393"/>
      <c r="B42" s="438"/>
      <c r="C42" s="393"/>
      <c r="D42" s="403"/>
      <c r="E42" s="351" t="s">
        <v>330</v>
      </c>
      <c r="F42" s="405"/>
      <c r="G42" s="2606"/>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331</v>
      </c>
      <c r="H44" s="411"/>
      <c r="J44" s="391">
        <v>22</v>
      </c>
    </row>
    <row r="45" spans="1:10" ht="23.25" customHeight="1">
      <c r="A45" s="393"/>
      <c r="B45" s="438"/>
      <c r="C45" s="393"/>
      <c r="D45" s="376">
        <f>D44+1</f>
        <v>12</v>
      </c>
      <c r="E45" s="374" t="s">
        <v>332</v>
      </c>
      <c r="F45" s="379" t="s">
        <v>297</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2"/>
      <c r="G46" s="373" t="s">
        <v>333</v>
      </c>
      <c r="H46" s="411"/>
      <c r="J46" s="391">
        <v>23</v>
      </c>
    </row>
    <row r="47" spans="1:10" ht="24" customHeight="1">
      <c r="A47" s="2596"/>
      <c r="B47" s="438"/>
      <c r="C47" s="428"/>
      <c r="D47" s="376" t="str">
        <f>D45&amp;".2"</f>
        <v>12.2</v>
      </c>
      <c r="E47" s="378" t="s">
        <v>334</v>
      </c>
      <c r="F47" s="426"/>
      <c r="G47" s="373" t="s">
        <v>335</v>
      </c>
      <c r="H47" s="411"/>
      <c r="J47" s="391">
        <v>23</v>
      </c>
    </row>
    <row r="48" spans="1:10" ht="24" customHeight="1">
      <c r="A48" s="2596"/>
      <c r="B48" s="438"/>
      <c r="C48" s="428"/>
      <c r="D48" s="376" t="str">
        <f>D45&amp;".3"</f>
        <v>12.3</v>
      </c>
      <c r="E48" s="378" t="s">
        <v>336</v>
      </c>
      <c r="F48" s="426"/>
      <c r="G48" s="373" t="s">
        <v>337</v>
      </c>
      <c r="H48" s="411"/>
      <c r="J48" s="391">
        <v>23</v>
      </c>
    </row>
    <row r="49" spans="1:10" ht="24" customHeight="1">
      <c r="A49" s="2596"/>
      <c r="B49" s="438"/>
      <c r="C49" s="428"/>
      <c r="D49" s="376" t="str">
        <f>IF(TEMPLATE_SPHERE="TKO",D45&amp;".0",D45&amp;".4")</f>
        <v>12.4</v>
      </c>
      <c r="E49" s="372" t="s">
        <v>338</v>
      </c>
      <c r="F49" s="1603"/>
      <c r="G49" s="1679" t="s">
        <v>339</v>
      </c>
      <c r="H49" s="411"/>
      <c r="J49" s="391">
        <v>23</v>
      </c>
    </row>
    <row r="50" spans="1:10" ht="24" customHeight="1">
      <c r="A50" s="393"/>
      <c r="B50" s="438"/>
      <c r="C50" s="393"/>
      <c r="D50" s="403"/>
      <c r="E50" s="351" t="s">
        <v>340</v>
      </c>
      <c r="F50" s="404"/>
      <c r="G50" s="1679" t="s">
        <v>341</v>
      </c>
      <c r="H50" s="412"/>
      <c r="J50" s="391">
        <v>23</v>
      </c>
    </row>
    <row r="51" spans="1:10" ht="24" customHeight="1">
      <c r="A51" s="784"/>
      <c r="B51" s="438"/>
      <c r="C51" s="428"/>
      <c r="D51" s="376">
        <f>D45+1</f>
        <v>13</v>
      </c>
      <c r="E51" s="464" t="s">
        <v>342</v>
      </c>
      <c r="F51" s="426"/>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426" customFormat="1" ht="31.5" customHeight="1">
      <c r="A53" s="1605"/>
      <c r="B53" s="439"/>
      <c r="C53" s="2597"/>
      <c r="D53" s="260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00"/>
      <c r="F53" s="2600"/>
      <c r="G53" s="2600"/>
      <c r="H53" s="390"/>
      <c r="I53" s="390"/>
      <c r="J53" s="396">
        <v>30</v>
      </c>
    </row>
    <row r="54" spans="1:10" s="2426" customFormat="1" ht="42" customHeight="1">
      <c r="A54" s="393"/>
      <c r="B54" s="438"/>
      <c r="C54" s="2597"/>
      <c r="D54" s="260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00"/>
      <c r="F54" s="2600"/>
      <c r="G54" s="2600"/>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4" t="s">
        <v>78</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474" customWidth="1"/>
    <col min="2" max="2" width="8.7109375" style="2474" customWidth="1"/>
    <col min="3" max="3" width="18.140625" style="2474" customWidth="1"/>
    <col min="4" max="4" width="12.5703125" style="2474" customWidth="1"/>
  </cols>
  <sheetData>
    <row r="1" spans="1:5" ht="11.25" customHeight="1">
      <c r="A1" s="1990" t="s">
        <v>2271</v>
      </c>
      <c r="B1" s="1991" t="s">
        <v>2272</v>
      </c>
      <c r="C1" s="2930" t="s">
        <v>2273</v>
      </c>
      <c r="D1" s="2931"/>
      <c r="E1" s="766" t="s">
        <v>2274</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1705</v>
      </c>
      <c r="C4" s="689"/>
      <c r="D4" s="698"/>
      <c r="E4" s="766"/>
    </row>
    <row r="5" spans="1:5" ht="11.25" customHeight="1">
      <c r="A5" s="1996"/>
      <c r="B5" s="700" t="s">
        <v>1699</v>
      </c>
      <c r="C5" s="1997" t="s">
        <v>2038</v>
      </c>
      <c r="D5" s="1998" t="s">
        <v>2275</v>
      </c>
      <c r="E5" s="766"/>
    </row>
    <row r="6" spans="1:5" s="2410" customFormat="1" ht="11.25" customHeight="1">
      <c r="A6" s="1999"/>
      <c r="B6" s="700" t="s">
        <v>1709</v>
      </c>
      <c r="C6" s="689"/>
      <c r="D6" s="698"/>
      <c r="E6" s="766"/>
    </row>
    <row r="7" spans="1:5" ht="11.25" customHeight="1">
      <c r="A7" s="2000"/>
      <c r="B7" s="700" t="s">
        <v>1717</v>
      </c>
      <c r="C7" s="689"/>
      <c r="D7" s="698"/>
      <c r="E7" s="766"/>
    </row>
    <row r="8" spans="1:5" ht="11.25" customHeight="1">
      <c r="A8" s="691"/>
      <c r="B8" s="700" t="s">
        <v>1712</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9"/>
  <sheetViews>
    <sheetView showGridLines="0" workbookViewId="0"/>
  </sheetViews>
  <sheetFormatPr defaultColWidth="9.140625" defaultRowHeight="11.25" customHeight="1"/>
  <cols>
    <col min="1" max="2" width="9.140625" style="2410"/>
    <col min="3" max="3" width="20.7109375" style="2410" customWidth="1"/>
    <col min="4" max="4" width="25.140625" style="2410" customWidth="1"/>
    <col min="5" max="9" width="9.140625" style="2410"/>
  </cols>
  <sheetData>
    <row r="1" spans="1:9" ht="11.25" customHeight="1">
      <c r="A1" s="8" t="s">
        <v>2276</v>
      </c>
      <c r="B1" s="8" t="s">
        <v>2277</v>
      </c>
      <c r="C1" s="8" t="s">
        <v>2278</v>
      </c>
      <c r="D1" s="8" t="s">
        <v>2279</v>
      </c>
      <c r="E1" s="8" t="s">
        <v>2280</v>
      </c>
      <c r="F1" s="8" t="s">
        <v>2281</v>
      </c>
      <c r="G1" s="8" t="s">
        <v>2282</v>
      </c>
      <c r="H1" s="8" t="s">
        <v>2283</v>
      </c>
      <c r="I1" s="8" t="s">
        <v>2284</v>
      </c>
    </row>
    <row r="2" spans="1:9" ht="11.25" customHeight="1">
      <c r="A2" s="2007" t="s">
        <v>2285</v>
      </c>
      <c r="B2" s="2007" t="s">
        <v>16</v>
      </c>
      <c r="C2" s="2007" t="s">
        <v>2286</v>
      </c>
      <c r="D2" s="2007" t="s">
        <v>2287</v>
      </c>
      <c r="E2" s="2007" t="s">
        <v>2288</v>
      </c>
      <c r="F2" s="2007" t="s">
        <v>2289</v>
      </c>
      <c r="G2" s="2007" t="s">
        <v>2290</v>
      </c>
      <c r="H2" s="2007" t="s">
        <v>22</v>
      </c>
      <c r="I2" s="2007" t="s">
        <v>799</v>
      </c>
    </row>
    <row r="3" spans="1:9" ht="11.25" customHeight="1">
      <c r="A3" s="2007" t="s">
        <v>2285</v>
      </c>
      <c r="B3" s="2007" t="s">
        <v>16</v>
      </c>
      <c r="C3" s="2007" t="s">
        <v>2291</v>
      </c>
      <c r="D3" s="2007" t="s">
        <v>2287</v>
      </c>
      <c r="E3" s="2007" t="s">
        <v>2288</v>
      </c>
      <c r="F3" s="2007" t="s">
        <v>2292</v>
      </c>
      <c r="G3" s="2007" t="s">
        <v>2293</v>
      </c>
      <c r="H3" s="2007" t="s">
        <v>22</v>
      </c>
      <c r="I3" s="2007" t="s">
        <v>799</v>
      </c>
    </row>
    <row r="4" spans="1:9" ht="11.25" customHeight="1">
      <c r="A4" s="2007" t="s">
        <v>2285</v>
      </c>
      <c r="B4" s="2007" t="s">
        <v>16</v>
      </c>
      <c r="C4" s="2007" t="s">
        <v>2294</v>
      </c>
      <c r="D4" s="2007" t="s">
        <v>2295</v>
      </c>
      <c r="E4" s="2007" t="s">
        <v>2296</v>
      </c>
      <c r="F4" s="2007" t="s">
        <v>2297</v>
      </c>
      <c r="G4" s="2007" t="s">
        <v>22</v>
      </c>
      <c r="H4" s="2007" t="s">
        <v>22</v>
      </c>
      <c r="I4" s="2007" t="s">
        <v>799</v>
      </c>
    </row>
    <row r="5" spans="1:9" ht="11.25" customHeight="1">
      <c r="A5" s="2007" t="s">
        <v>2285</v>
      </c>
      <c r="B5" s="2007" t="s">
        <v>16</v>
      </c>
      <c r="C5" s="2007" t="s">
        <v>2298</v>
      </c>
      <c r="D5" s="2007" t="s">
        <v>2299</v>
      </c>
      <c r="E5" s="2007" t="s">
        <v>2300</v>
      </c>
      <c r="F5" s="2007" t="s">
        <v>50</v>
      </c>
      <c r="G5" s="2007" t="s">
        <v>2301</v>
      </c>
      <c r="H5" s="2007" t="s">
        <v>22</v>
      </c>
      <c r="I5" s="2007" t="s">
        <v>799</v>
      </c>
    </row>
    <row r="6" spans="1:9" ht="11.25" customHeight="1">
      <c r="A6" s="2007" t="s">
        <v>2285</v>
      </c>
      <c r="B6" s="2007" t="s">
        <v>16</v>
      </c>
      <c r="C6" s="2007" t="s">
        <v>2302</v>
      </c>
      <c r="D6" s="2007" t="s">
        <v>2303</v>
      </c>
      <c r="E6" s="2007" t="s">
        <v>2304</v>
      </c>
      <c r="F6" s="2007" t="s">
        <v>2305</v>
      </c>
      <c r="G6" s="2007" t="s">
        <v>22</v>
      </c>
      <c r="H6" s="2007" t="s">
        <v>22</v>
      </c>
      <c r="I6" s="2007" t="s">
        <v>799</v>
      </c>
    </row>
    <row r="7" spans="1:9" ht="11.25" customHeight="1">
      <c r="A7" s="2007" t="s">
        <v>2285</v>
      </c>
      <c r="B7" s="2007" t="s">
        <v>16</v>
      </c>
      <c r="C7" s="2007" t="s">
        <v>2306</v>
      </c>
      <c r="D7" s="2007" t="s">
        <v>2307</v>
      </c>
      <c r="E7" s="2007" t="s">
        <v>2308</v>
      </c>
      <c r="F7" s="2007" t="s">
        <v>2305</v>
      </c>
      <c r="G7" s="2007" t="s">
        <v>2309</v>
      </c>
      <c r="H7" s="2007" t="s">
        <v>22</v>
      </c>
      <c r="I7" s="2007" t="s">
        <v>799</v>
      </c>
    </row>
    <row r="8" spans="1:9" ht="11.25" customHeight="1">
      <c r="A8" s="2007" t="s">
        <v>2285</v>
      </c>
      <c r="B8" s="2007" t="s">
        <v>16</v>
      </c>
      <c r="C8" s="2007" t="s">
        <v>2310</v>
      </c>
      <c r="D8" s="2007" t="s">
        <v>2311</v>
      </c>
      <c r="E8" s="2007" t="s">
        <v>2312</v>
      </c>
      <c r="F8" s="2007" t="s">
        <v>2313</v>
      </c>
      <c r="G8" s="2007" t="s">
        <v>22</v>
      </c>
      <c r="H8" s="2007" t="s">
        <v>22</v>
      </c>
      <c r="I8" s="2007" t="s">
        <v>799</v>
      </c>
    </row>
    <row r="9" spans="1:9" ht="11.25" customHeight="1">
      <c r="A9" s="2007" t="s">
        <v>2285</v>
      </c>
      <c r="B9" s="2007" t="s">
        <v>16</v>
      </c>
      <c r="C9" s="2007" t="s">
        <v>2314</v>
      </c>
      <c r="D9" s="2007" t="s">
        <v>2315</v>
      </c>
      <c r="E9" s="2007" t="s">
        <v>2316</v>
      </c>
      <c r="F9" s="2007" t="s">
        <v>50</v>
      </c>
      <c r="G9" s="2007" t="s">
        <v>22</v>
      </c>
      <c r="H9" s="2007" t="s">
        <v>22</v>
      </c>
      <c r="I9" s="2007" t="s">
        <v>799</v>
      </c>
    </row>
    <row r="10" spans="1:9" ht="11.25" customHeight="1">
      <c r="A10" s="2007" t="s">
        <v>2285</v>
      </c>
      <c r="B10" s="2007" t="s">
        <v>16</v>
      </c>
      <c r="C10" s="2007" t="s">
        <v>2317</v>
      </c>
      <c r="D10" s="2007" t="s">
        <v>2318</v>
      </c>
      <c r="E10" s="2007" t="s">
        <v>2319</v>
      </c>
      <c r="F10" s="2007" t="s">
        <v>50</v>
      </c>
      <c r="G10" s="2007" t="s">
        <v>2320</v>
      </c>
      <c r="H10" s="2007" t="s">
        <v>22</v>
      </c>
      <c r="I10" s="2007" t="s">
        <v>799</v>
      </c>
    </row>
    <row r="11" spans="1:9" ht="11.25" customHeight="1">
      <c r="A11" s="2007" t="s">
        <v>2285</v>
      </c>
      <c r="B11" s="2007" t="s">
        <v>16</v>
      </c>
      <c r="C11" s="2007" t="s">
        <v>2321</v>
      </c>
      <c r="D11" s="2007" t="s">
        <v>2322</v>
      </c>
      <c r="E11" s="2007" t="s">
        <v>2323</v>
      </c>
      <c r="F11" s="2007" t="s">
        <v>50</v>
      </c>
      <c r="G11" s="2007" t="s">
        <v>22</v>
      </c>
      <c r="H11" s="2007" t="s">
        <v>22</v>
      </c>
      <c r="I11" s="2007" t="s">
        <v>799</v>
      </c>
    </row>
    <row r="12" spans="1:9" ht="11.25" customHeight="1">
      <c r="A12" s="2007" t="s">
        <v>2285</v>
      </c>
      <c r="B12" s="2007" t="s">
        <v>16</v>
      </c>
      <c r="C12" s="2007" t="s">
        <v>2324</v>
      </c>
      <c r="D12" s="2007" t="s">
        <v>2325</v>
      </c>
      <c r="E12" s="2007" t="s">
        <v>2326</v>
      </c>
      <c r="F12" s="2007" t="s">
        <v>2327</v>
      </c>
      <c r="G12" s="2007" t="s">
        <v>22</v>
      </c>
      <c r="H12" s="2007" t="s">
        <v>22</v>
      </c>
      <c r="I12" s="2007" t="s">
        <v>799</v>
      </c>
    </row>
    <row r="13" spans="1:9" ht="11.25" customHeight="1">
      <c r="A13" s="2007" t="s">
        <v>2285</v>
      </c>
      <c r="B13" s="2007" t="s">
        <v>16</v>
      </c>
      <c r="C13" s="2007" t="s">
        <v>2328</v>
      </c>
      <c r="D13" s="2007" t="s">
        <v>2329</v>
      </c>
      <c r="E13" s="2007" t="s">
        <v>2330</v>
      </c>
      <c r="F13" s="2007" t="s">
        <v>2331</v>
      </c>
      <c r="G13" s="2007" t="s">
        <v>2332</v>
      </c>
      <c r="H13" s="2007" t="s">
        <v>22</v>
      </c>
      <c r="I13" s="2007" t="s">
        <v>799</v>
      </c>
    </row>
    <row r="14" spans="1:9" ht="11.25" customHeight="1">
      <c r="A14" s="2007" t="s">
        <v>2285</v>
      </c>
      <c r="B14" s="2007" t="s">
        <v>16</v>
      </c>
      <c r="C14" s="2007" t="s">
        <v>2333</v>
      </c>
      <c r="D14" s="2007" t="s">
        <v>2334</v>
      </c>
      <c r="E14" s="2007" t="s">
        <v>2335</v>
      </c>
      <c r="F14" s="2007" t="s">
        <v>2336</v>
      </c>
      <c r="G14" s="2007" t="s">
        <v>22</v>
      </c>
      <c r="H14" s="2007" t="s">
        <v>22</v>
      </c>
      <c r="I14" s="2007" t="s">
        <v>799</v>
      </c>
    </row>
    <row r="15" spans="1:9" ht="11.25" customHeight="1">
      <c r="A15" s="2007" t="s">
        <v>2285</v>
      </c>
      <c r="B15" s="2007" t="s">
        <v>16</v>
      </c>
      <c r="C15" s="2007" t="s">
        <v>2337</v>
      </c>
      <c r="D15" s="2007" t="s">
        <v>2338</v>
      </c>
      <c r="E15" s="2007" t="s">
        <v>2339</v>
      </c>
      <c r="F15" s="2007" t="s">
        <v>2340</v>
      </c>
      <c r="G15" s="2007" t="s">
        <v>2341</v>
      </c>
      <c r="H15" s="2007" t="s">
        <v>22</v>
      </c>
      <c r="I15" s="2007" t="s">
        <v>799</v>
      </c>
    </row>
    <row r="16" spans="1:9" ht="11.25" customHeight="1">
      <c r="A16" s="2007" t="s">
        <v>2285</v>
      </c>
      <c r="B16" s="2007" t="s">
        <v>16</v>
      </c>
      <c r="C16" s="2007" t="s">
        <v>2342</v>
      </c>
      <c r="D16" s="2007" t="s">
        <v>2343</v>
      </c>
      <c r="E16" s="2007" t="s">
        <v>2344</v>
      </c>
      <c r="F16" s="2007" t="s">
        <v>2345</v>
      </c>
      <c r="G16" s="2007" t="s">
        <v>22</v>
      </c>
      <c r="H16" s="2007" t="s">
        <v>22</v>
      </c>
      <c r="I16" s="2007" t="s">
        <v>799</v>
      </c>
    </row>
    <row r="17" spans="1:9" ht="11.25" customHeight="1">
      <c r="A17" s="2007" t="s">
        <v>2285</v>
      </c>
      <c r="B17" s="2007" t="s">
        <v>16</v>
      </c>
      <c r="C17" s="2007" t="s">
        <v>2346</v>
      </c>
      <c r="D17" s="2007" t="s">
        <v>2347</v>
      </c>
      <c r="E17" s="2007" t="s">
        <v>2348</v>
      </c>
      <c r="F17" s="2007" t="s">
        <v>50</v>
      </c>
      <c r="G17" s="2007" t="s">
        <v>2349</v>
      </c>
      <c r="H17" s="2007" t="s">
        <v>22</v>
      </c>
      <c r="I17" s="2007" t="s">
        <v>799</v>
      </c>
    </row>
    <row r="18" spans="1:9" ht="11.25" customHeight="1">
      <c r="A18" s="2007" t="s">
        <v>2285</v>
      </c>
      <c r="B18" s="2007" t="s">
        <v>16</v>
      </c>
      <c r="C18" s="2007" t="s">
        <v>2350</v>
      </c>
      <c r="D18" s="2007" t="s">
        <v>2351</v>
      </c>
      <c r="E18" s="2007" t="s">
        <v>2352</v>
      </c>
      <c r="F18" s="2007" t="s">
        <v>2353</v>
      </c>
      <c r="G18" s="2007" t="s">
        <v>22</v>
      </c>
      <c r="H18" s="2007" t="s">
        <v>22</v>
      </c>
      <c r="I18" s="2007" t="s">
        <v>799</v>
      </c>
    </row>
    <row r="19" spans="1:9" ht="11.25" customHeight="1">
      <c r="A19" s="2007" t="s">
        <v>2285</v>
      </c>
      <c r="B19" s="2007" t="s">
        <v>16</v>
      </c>
      <c r="C19" s="2007" t="s">
        <v>2354</v>
      </c>
      <c r="D19" s="2007" t="s">
        <v>2355</v>
      </c>
      <c r="E19" s="2007" t="s">
        <v>2356</v>
      </c>
      <c r="F19" s="2007" t="s">
        <v>50</v>
      </c>
      <c r="G19" s="2007" t="s">
        <v>22</v>
      </c>
      <c r="H19" s="2007" t="s">
        <v>22</v>
      </c>
      <c r="I19" s="2007" t="s">
        <v>799</v>
      </c>
    </row>
    <row r="20" spans="1:9" ht="11.25" customHeight="1">
      <c r="A20" s="2007" t="s">
        <v>2285</v>
      </c>
      <c r="B20" s="2007" t="s">
        <v>16</v>
      </c>
      <c r="C20" s="2007" t="s">
        <v>2357</v>
      </c>
      <c r="D20" s="2007" t="s">
        <v>2358</v>
      </c>
      <c r="E20" s="2007" t="s">
        <v>2359</v>
      </c>
      <c r="F20" s="2007" t="s">
        <v>50</v>
      </c>
      <c r="G20" s="2007" t="s">
        <v>2360</v>
      </c>
      <c r="H20" s="2007" t="s">
        <v>22</v>
      </c>
      <c r="I20" s="2007" t="s">
        <v>799</v>
      </c>
    </row>
    <row r="21" spans="1:9" ht="11.25" customHeight="1">
      <c r="A21" s="2007" t="s">
        <v>2285</v>
      </c>
      <c r="B21" s="2007" t="s">
        <v>16</v>
      </c>
      <c r="C21" s="2007" t="s">
        <v>2361</v>
      </c>
      <c r="D21" s="2007" t="s">
        <v>2362</v>
      </c>
      <c r="E21" s="2007" t="s">
        <v>2363</v>
      </c>
      <c r="F21" s="2007" t="s">
        <v>2364</v>
      </c>
      <c r="G21" s="2007" t="s">
        <v>22</v>
      </c>
      <c r="H21" s="2007" t="s">
        <v>22</v>
      </c>
      <c r="I21" s="2007" t="s">
        <v>799</v>
      </c>
    </row>
    <row r="22" spans="1:9" ht="11.25" customHeight="1">
      <c r="A22" s="2007" t="s">
        <v>2285</v>
      </c>
      <c r="B22" s="2007" t="s">
        <v>16</v>
      </c>
      <c r="C22" s="2007" t="s">
        <v>22</v>
      </c>
      <c r="D22" s="2007" t="s">
        <v>2365</v>
      </c>
      <c r="E22" s="2007" t="s">
        <v>2366</v>
      </c>
      <c r="F22" s="2007" t="s">
        <v>50</v>
      </c>
      <c r="G22" s="2007" t="s">
        <v>22</v>
      </c>
      <c r="H22" s="2007" t="s">
        <v>22</v>
      </c>
      <c r="I22" s="2007" t="s">
        <v>799</v>
      </c>
    </row>
    <row r="23" spans="1:9" ht="11.25" customHeight="1">
      <c r="A23" s="2007" t="s">
        <v>2285</v>
      </c>
      <c r="B23" s="2007" t="s">
        <v>16</v>
      </c>
      <c r="C23" s="2007" t="s">
        <v>2367</v>
      </c>
      <c r="D23" s="2007" t="s">
        <v>2368</v>
      </c>
      <c r="E23" s="2007" t="s">
        <v>2369</v>
      </c>
      <c r="F23" s="2007" t="s">
        <v>2370</v>
      </c>
      <c r="G23" s="2007" t="s">
        <v>22</v>
      </c>
      <c r="H23" s="2007" t="s">
        <v>22</v>
      </c>
      <c r="I23" s="2007" t="s">
        <v>799</v>
      </c>
    </row>
    <row r="24" spans="1:9" ht="11.25" customHeight="1">
      <c r="A24" s="2007" t="s">
        <v>2285</v>
      </c>
      <c r="B24" s="2007" t="s">
        <v>16</v>
      </c>
      <c r="C24" s="2007" t="s">
        <v>2371</v>
      </c>
      <c r="D24" s="2007" t="s">
        <v>2372</v>
      </c>
      <c r="E24" s="2007" t="s">
        <v>2373</v>
      </c>
      <c r="F24" s="2007" t="s">
        <v>2297</v>
      </c>
      <c r="G24" s="2007" t="s">
        <v>22</v>
      </c>
      <c r="H24" s="2007" t="s">
        <v>22</v>
      </c>
      <c r="I24" s="2007" t="s">
        <v>799</v>
      </c>
    </row>
    <row r="25" spans="1:9" ht="11.25" customHeight="1">
      <c r="A25" s="2007" t="s">
        <v>2285</v>
      </c>
      <c r="B25" s="2007" t="s">
        <v>16</v>
      </c>
      <c r="C25" s="2007" t="s">
        <v>2374</v>
      </c>
      <c r="D25" s="2007" t="s">
        <v>2375</v>
      </c>
      <c r="E25" s="2007" t="s">
        <v>2376</v>
      </c>
      <c r="F25" s="2007" t="s">
        <v>2370</v>
      </c>
      <c r="G25" s="2007" t="s">
        <v>2377</v>
      </c>
      <c r="H25" s="2007" t="s">
        <v>22</v>
      </c>
      <c r="I25" s="2007" t="s">
        <v>799</v>
      </c>
    </row>
    <row r="26" spans="1:9" ht="11.25" customHeight="1">
      <c r="A26" s="2007" t="s">
        <v>2285</v>
      </c>
      <c r="B26" s="2007" t="s">
        <v>16</v>
      </c>
      <c r="C26" s="2007" t="s">
        <v>2378</v>
      </c>
      <c r="D26" s="2007" t="s">
        <v>2379</v>
      </c>
      <c r="E26" s="2007" t="s">
        <v>2380</v>
      </c>
      <c r="F26" s="2007" t="s">
        <v>2370</v>
      </c>
      <c r="G26" s="2007" t="s">
        <v>2381</v>
      </c>
      <c r="H26" s="2007" t="s">
        <v>22</v>
      </c>
      <c r="I26" s="2007" t="s">
        <v>799</v>
      </c>
    </row>
    <row r="27" spans="1:9" ht="11.25" customHeight="1">
      <c r="A27" s="2007" t="s">
        <v>2285</v>
      </c>
      <c r="B27" s="2007" t="s">
        <v>16</v>
      </c>
      <c r="C27" s="2007" t="s">
        <v>2382</v>
      </c>
      <c r="D27" s="2007" t="s">
        <v>2383</v>
      </c>
      <c r="E27" s="2007" t="s">
        <v>2384</v>
      </c>
      <c r="F27" s="2007" t="s">
        <v>2385</v>
      </c>
      <c r="G27" s="2007" t="s">
        <v>2386</v>
      </c>
      <c r="H27" s="2007" t="s">
        <v>22</v>
      </c>
      <c r="I27" s="2007" t="s">
        <v>799</v>
      </c>
    </row>
    <row r="28" spans="1:9" ht="11.25" customHeight="1">
      <c r="A28" s="2007" t="s">
        <v>2285</v>
      </c>
      <c r="B28" s="2007" t="s">
        <v>16</v>
      </c>
      <c r="C28" s="2007" t="s">
        <v>2387</v>
      </c>
      <c r="D28" s="2007" t="s">
        <v>2388</v>
      </c>
      <c r="E28" s="2007" t="s">
        <v>2389</v>
      </c>
      <c r="F28" s="2007" t="s">
        <v>2390</v>
      </c>
      <c r="G28" s="2007" t="s">
        <v>22</v>
      </c>
      <c r="H28" s="2007" t="s">
        <v>22</v>
      </c>
      <c r="I28" s="2007" t="s">
        <v>799</v>
      </c>
    </row>
    <row r="29" spans="1:9" ht="11.25" customHeight="1">
      <c r="A29" s="2007" t="s">
        <v>2285</v>
      </c>
      <c r="B29" s="2007" t="s">
        <v>16</v>
      </c>
      <c r="C29" s="2007" t="s">
        <v>2391</v>
      </c>
      <c r="D29" s="2007" t="s">
        <v>2392</v>
      </c>
      <c r="E29" s="2007" t="s">
        <v>2393</v>
      </c>
      <c r="F29" s="2007" t="s">
        <v>2331</v>
      </c>
      <c r="G29" s="2007" t="s">
        <v>22</v>
      </c>
      <c r="H29" s="2007" t="s">
        <v>22</v>
      </c>
      <c r="I29" s="2007" t="s">
        <v>799</v>
      </c>
    </row>
    <row r="30" spans="1:9" ht="11.25" customHeight="1">
      <c r="A30" s="2007" t="s">
        <v>2285</v>
      </c>
      <c r="B30" s="2007" t="s">
        <v>16</v>
      </c>
      <c r="C30" s="2007" t="s">
        <v>2394</v>
      </c>
      <c r="D30" s="2007" t="s">
        <v>2395</v>
      </c>
      <c r="E30" s="2007" t="s">
        <v>2396</v>
      </c>
      <c r="F30" s="2007" t="s">
        <v>2397</v>
      </c>
      <c r="G30" s="2007" t="s">
        <v>22</v>
      </c>
      <c r="H30" s="2007" t="s">
        <v>22</v>
      </c>
      <c r="I30" s="2007" t="s">
        <v>799</v>
      </c>
    </row>
    <row r="31" spans="1:9" ht="11.25" customHeight="1">
      <c r="A31" s="2007" t="s">
        <v>2285</v>
      </c>
      <c r="B31" s="2007" t="s">
        <v>16</v>
      </c>
      <c r="C31" s="2007" t="s">
        <v>2398</v>
      </c>
      <c r="D31" s="2007" t="s">
        <v>2399</v>
      </c>
      <c r="E31" s="2007" t="s">
        <v>2400</v>
      </c>
      <c r="F31" s="2007" t="s">
        <v>2401</v>
      </c>
      <c r="G31" s="2007" t="s">
        <v>22</v>
      </c>
      <c r="H31" s="2007" t="s">
        <v>22</v>
      </c>
      <c r="I31" s="2007" t="s">
        <v>799</v>
      </c>
    </row>
    <row r="32" spans="1:9" ht="11.25" customHeight="1">
      <c r="A32" s="2007" t="s">
        <v>2285</v>
      </c>
      <c r="B32" s="2007" t="s">
        <v>16</v>
      </c>
      <c r="C32" s="2007" t="s">
        <v>2402</v>
      </c>
      <c r="D32" s="2007" t="s">
        <v>2403</v>
      </c>
      <c r="E32" s="2007" t="s">
        <v>2404</v>
      </c>
      <c r="F32" s="2007" t="s">
        <v>2297</v>
      </c>
      <c r="G32" s="2007" t="s">
        <v>22</v>
      </c>
      <c r="H32" s="2007" t="s">
        <v>22</v>
      </c>
      <c r="I32" s="2007" t="s">
        <v>799</v>
      </c>
    </row>
    <row r="33" spans="1:9" ht="11.25" customHeight="1">
      <c r="A33" s="2007" t="s">
        <v>2285</v>
      </c>
      <c r="B33" s="2007" t="s">
        <v>16</v>
      </c>
      <c r="C33" s="2007" t="s">
        <v>2405</v>
      </c>
      <c r="D33" s="2007" t="s">
        <v>2406</v>
      </c>
      <c r="E33" s="2007" t="s">
        <v>2407</v>
      </c>
      <c r="F33" s="2007" t="s">
        <v>2340</v>
      </c>
      <c r="G33" s="2007" t="s">
        <v>22</v>
      </c>
      <c r="H33" s="2007" t="s">
        <v>2408</v>
      </c>
      <c r="I33" s="2007" t="s">
        <v>799</v>
      </c>
    </row>
    <row r="34" spans="1:9" ht="11.25" customHeight="1">
      <c r="A34" s="2007" t="s">
        <v>2285</v>
      </c>
      <c r="B34" s="2007" t="s">
        <v>16</v>
      </c>
      <c r="C34" s="2007" t="s">
        <v>2409</v>
      </c>
      <c r="D34" s="2007" t="s">
        <v>2410</v>
      </c>
      <c r="E34" s="2007" t="s">
        <v>2411</v>
      </c>
      <c r="F34" s="2007" t="s">
        <v>2297</v>
      </c>
      <c r="G34" s="2007" t="s">
        <v>22</v>
      </c>
      <c r="H34" s="2007" t="s">
        <v>22</v>
      </c>
      <c r="I34" s="2007" t="s">
        <v>799</v>
      </c>
    </row>
    <row r="35" spans="1:9" ht="11.25" customHeight="1">
      <c r="A35" s="2007" t="s">
        <v>2285</v>
      </c>
      <c r="B35" s="2007" t="s">
        <v>16</v>
      </c>
      <c r="C35" s="2007" t="s">
        <v>2412</v>
      </c>
      <c r="D35" s="2007" t="s">
        <v>2413</v>
      </c>
      <c r="E35" s="2007" t="s">
        <v>2414</v>
      </c>
      <c r="F35" s="2007" t="s">
        <v>50</v>
      </c>
      <c r="G35" s="2007" t="s">
        <v>22</v>
      </c>
      <c r="H35" s="2007" t="s">
        <v>22</v>
      </c>
      <c r="I35" s="2007" t="s">
        <v>799</v>
      </c>
    </row>
    <row r="36" spans="1:9" ht="11.25" customHeight="1">
      <c r="A36" s="2007" t="s">
        <v>2285</v>
      </c>
      <c r="B36" s="2007" t="s">
        <v>16</v>
      </c>
      <c r="C36" s="2007" t="s">
        <v>2415</v>
      </c>
      <c r="D36" s="2007" t="s">
        <v>2416</v>
      </c>
      <c r="E36" s="2007" t="s">
        <v>2417</v>
      </c>
      <c r="F36" s="2007" t="s">
        <v>2385</v>
      </c>
      <c r="G36" s="2007" t="s">
        <v>22</v>
      </c>
      <c r="H36" s="2007" t="s">
        <v>22</v>
      </c>
      <c r="I36" s="2007" t="s">
        <v>799</v>
      </c>
    </row>
    <row r="37" spans="1:9" ht="11.25" customHeight="1">
      <c r="A37" s="2007" t="s">
        <v>2285</v>
      </c>
      <c r="B37" s="2007" t="s">
        <v>16</v>
      </c>
      <c r="C37" s="2007" t="s">
        <v>2418</v>
      </c>
      <c r="D37" s="2007" t="s">
        <v>2419</v>
      </c>
      <c r="E37" s="2007" t="s">
        <v>2420</v>
      </c>
      <c r="F37" s="2007" t="s">
        <v>2385</v>
      </c>
      <c r="G37" s="2007" t="s">
        <v>2421</v>
      </c>
      <c r="H37" s="2007" t="s">
        <v>22</v>
      </c>
      <c r="I37" s="2007" t="s">
        <v>799</v>
      </c>
    </row>
    <row r="38" spans="1:9" ht="11.25" customHeight="1">
      <c r="A38" s="2007" t="s">
        <v>2285</v>
      </c>
      <c r="B38" s="2007" t="s">
        <v>16</v>
      </c>
      <c r="C38" s="2007" t="s">
        <v>2422</v>
      </c>
      <c r="D38" s="2007" t="s">
        <v>2423</v>
      </c>
      <c r="E38" s="2007" t="s">
        <v>2424</v>
      </c>
      <c r="F38" s="2007" t="s">
        <v>2425</v>
      </c>
      <c r="G38" s="2007" t="s">
        <v>22</v>
      </c>
      <c r="H38" s="2007" t="s">
        <v>22</v>
      </c>
      <c r="I38" s="2007" t="s">
        <v>799</v>
      </c>
    </row>
    <row r="39" spans="1:9" ht="11.25" customHeight="1">
      <c r="A39" s="2007" t="s">
        <v>2285</v>
      </c>
      <c r="B39" s="2007" t="s">
        <v>16</v>
      </c>
      <c r="C39" s="2007" t="s">
        <v>2426</v>
      </c>
      <c r="D39" s="2007" t="s">
        <v>2427</v>
      </c>
      <c r="E39" s="2007" t="s">
        <v>2428</v>
      </c>
      <c r="F39" s="2007" t="s">
        <v>2370</v>
      </c>
      <c r="G39" s="2007" t="s">
        <v>22</v>
      </c>
      <c r="H39" s="2007" t="s">
        <v>22</v>
      </c>
      <c r="I39" s="2007" t="s">
        <v>799</v>
      </c>
    </row>
    <row r="40" spans="1:9" ht="11.25" customHeight="1">
      <c r="A40" s="2007" t="s">
        <v>2285</v>
      </c>
      <c r="B40" s="2007" t="s">
        <v>16</v>
      </c>
      <c r="C40" s="2007" t="s">
        <v>2429</v>
      </c>
      <c r="D40" s="2007" t="s">
        <v>2430</v>
      </c>
      <c r="E40" s="2007" t="s">
        <v>2431</v>
      </c>
      <c r="F40" s="2007" t="s">
        <v>2297</v>
      </c>
      <c r="G40" s="2007" t="s">
        <v>22</v>
      </c>
      <c r="H40" s="2007" t="s">
        <v>22</v>
      </c>
      <c r="I40" s="2007" t="s">
        <v>799</v>
      </c>
    </row>
    <row r="41" spans="1:9" ht="11.25" customHeight="1">
      <c r="A41" s="2007" t="s">
        <v>2285</v>
      </c>
      <c r="B41" s="2007" t="s">
        <v>16</v>
      </c>
      <c r="C41" s="2007" t="s">
        <v>2432</v>
      </c>
      <c r="D41" s="2007" t="s">
        <v>2433</v>
      </c>
      <c r="E41" s="2007" t="s">
        <v>2434</v>
      </c>
      <c r="F41" s="2007" t="s">
        <v>2340</v>
      </c>
      <c r="G41" s="2007" t="s">
        <v>22</v>
      </c>
      <c r="H41" s="2007" t="s">
        <v>22</v>
      </c>
      <c r="I41" s="2007" t="s">
        <v>799</v>
      </c>
    </row>
    <row r="42" spans="1:9" ht="11.25" customHeight="1">
      <c r="A42" s="2007" t="s">
        <v>2285</v>
      </c>
      <c r="B42" s="2007" t="s">
        <v>16</v>
      </c>
      <c r="C42" s="2007" t="s">
        <v>2435</v>
      </c>
      <c r="D42" s="2007" t="s">
        <v>2436</v>
      </c>
      <c r="E42" s="2007" t="s">
        <v>2437</v>
      </c>
      <c r="F42" s="2007" t="s">
        <v>2438</v>
      </c>
      <c r="G42" s="2007" t="s">
        <v>22</v>
      </c>
      <c r="H42" s="2007" t="s">
        <v>22</v>
      </c>
      <c r="I42" s="2007" t="s">
        <v>799</v>
      </c>
    </row>
    <row r="43" spans="1:9" ht="11.25" customHeight="1">
      <c r="A43" s="2007" t="s">
        <v>2285</v>
      </c>
      <c r="B43" s="2007" t="s">
        <v>16</v>
      </c>
      <c r="C43" s="2007" t="s">
        <v>2439</v>
      </c>
      <c r="D43" s="2007" t="s">
        <v>2440</v>
      </c>
      <c r="E43" s="2007" t="s">
        <v>2441</v>
      </c>
      <c r="F43" s="2007" t="s">
        <v>2297</v>
      </c>
      <c r="G43" s="2007" t="s">
        <v>2442</v>
      </c>
      <c r="H43" s="2007" t="s">
        <v>22</v>
      </c>
      <c r="I43" s="2007" t="s">
        <v>799</v>
      </c>
    </row>
    <row r="44" spans="1:9" ht="11.25" customHeight="1">
      <c r="A44" s="2007" t="s">
        <v>2285</v>
      </c>
      <c r="B44" s="2007" t="s">
        <v>16</v>
      </c>
      <c r="C44" s="2007" t="s">
        <v>2443</v>
      </c>
      <c r="D44" s="2007" t="s">
        <v>2444</v>
      </c>
      <c r="E44" s="2007" t="s">
        <v>2445</v>
      </c>
      <c r="F44" s="2007" t="s">
        <v>2385</v>
      </c>
      <c r="G44" s="2007" t="s">
        <v>2446</v>
      </c>
      <c r="H44" s="2007" t="s">
        <v>22</v>
      </c>
      <c r="I44" s="2007" t="s">
        <v>799</v>
      </c>
    </row>
    <row r="45" spans="1:9" ht="11.25" customHeight="1">
      <c r="A45" s="2007" t="s">
        <v>2285</v>
      </c>
      <c r="B45" s="2007" t="s">
        <v>16</v>
      </c>
      <c r="C45" s="2007" t="s">
        <v>2447</v>
      </c>
      <c r="D45" s="2007" t="s">
        <v>2448</v>
      </c>
      <c r="E45" s="2007" t="s">
        <v>2449</v>
      </c>
      <c r="F45" s="2007" t="s">
        <v>2297</v>
      </c>
      <c r="G45" s="2007" t="s">
        <v>22</v>
      </c>
      <c r="H45" s="2007" t="s">
        <v>22</v>
      </c>
      <c r="I45" s="2007" t="s">
        <v>799</v>
      </c>
    </row>
    <row r="46" spans="1:9" ht="11.25" customHeight="1">
      <c r="A46" s="2007" t="s">
        <v>2285</v>
      </c>
      <c r="B46" s="2007" t="s">
        <v>16</v>
      </c>
      <c r="C46" s="2007" t="s">
        <v>2450</v>
      </c>
      <c r="D46" s="2007" t="s">
        <v>2451</v>
      </c>
      <c r="E46" s="2007" t="s">
        <v>2452</v>
      </c>
      <c r="F46" s="2007" t="s">
        <v>2453</v>
      </c>
      <c r="G46" s="2007" t="s">
        <v>2454</v>
      </c>
      <c r="H46" s="2007" t="s">
        <v>22</v>
      </c>
      <c r="I46" s="2007" t="s">
        <v>799</v>
      </c>
    </row>
    <row r="47" spans="1:9" ht="11.25" customHeight="1">
      <c r="A47" s="2007" t="s">
        <v>2285</v>
      </c>
      <c r="B47" s="2007" t="s">
        <v>16</v>
      </c>
      <c r="C47" s="2007" t="s">
        <v>2455</v>
      </c>
      <c r="D47" s="2007" t="s">
        <v>2456</v>
      </c>
      <c r="E47" s="2007" t="s">
        <v>2457</v>
      </c>
      <c r="F47" s="2007" t="s">
        <v>2458</v>
      </c>
      <c r="G47" s="2007" t="s">
        <v>2459</v>
      </c>
      <c r="H47" s="2007" t="s">
        <v>22</v>
      </c>
      <c r="I47" s="2007" t="s">
        <v>799</v>
      </c>
    </row>
    <row r="48" spans="1:9" ht="11.25" customHeight="1">
      <c r="A48" s="2007" t="s">
        <v>2285</v>
      </c>
      <c r="B48" s="2007" t="s">
        <v>16</v>
      </c>
      <c r="C48" s="2007" t="s">
        <v>2460</v>
      </c>
      <c r="D48" s="2007" t="s">
        <v>2461</v>
      </c>
      <c r="E48" s="2007" t="s">
        <v>2462</v>
      </c>
      <c r="F48" s="2007" t="s">
        <v>2463</v>
      </c>
      <c r="G48" s="2007" t="s">
        <v>22</v>
      </c>
      <c r="H48" s="2007" t="s">
        <v>22</v>
      </c>
      <c r="I48" s="2007" t="s">
        <v>799</v>
      </c>
    </row>
    <row r="49" spans="1:9" ht="11.25" customHeight="1">
      <c r="A49" s="2007" t="s">
        <v>2285</v>
      </c>
      <c r="B49" s="2007" t="s">
        <v>16</v>
      </c>
      <c r="C49" s="2007" t="s">
        <v>2464</v>
      </c>
      <c r="D49" s="2007" t="s">
        <v>2465</v>
      </c>
      <c r="E49" s="2007" t="s">
        <v>2466</v>
      </c>
      <c r="F49" s="2007" t="s">
        <v>2297</v>
      </c>
      <c r="G49" s="2007" t="s">
        <v>22</v>
      </c>
      <c r="H49" s="2007" t="s">
        <v>22</v>
      </c>
      <c r="I49" s="2007" t="s">
        <v>799</v>
      </c>
    </row>
    <row r="50" spans="1:9" ht="11.25" customHeight="1">
      <c r="A50" s="2007" t="s">
        <v>2285</v>
      </c>
      <c r="B50" s="2007" t="s">
        <v>16</v>
      </c>
      <c r="C50" s="2007" t="s">
        <v>2467</v>
      </c>
      <c r="D50" s="2007" t="s">
        <v>2468</v>
      </c>
      <c r="E50" s="2007" t="s">
        <v>2469</v>
      </c>
      <c r="F50" s="2007" t="s">
        <v>2297</v>
      </c>
      <c r="G50" s="2007" t="s">
        <v>22</v>
      </c>
      <c r="H50" s="2007" t="s">
        <v>22</v>
      </c>
      <c r="I50" s="2007" t="s">
        <v>799</v>
      </c>
    </row>
    <row r="51" spans="1:9" ht="11.25" customHeight="1">
      <c r="A51" s="2007" t="s">
        <v>2285</v>
      </c>
      <c r="B51" s="2007" t="s">
        <v>16</v>
      </c>
      <c r="C51" s="2007" t="s">
        <v>2470</v>
      </c>
      <c r="D51" s="2007" t="s">
        <v>2471</v>
      </c>
      <c r="E51" s="2007" t="s">
        <v>2472</v>
      </c>
      <c r="F51" s="2007" t="s">
        <v>2473</v>
      </c>
      <c r="G51" s="2007" t="s">
        <v>2474</v>
      </c>
      <c r="H51" s="2007" t="s">
        <v>22</v>
      </c>
      <c r="I51" s="2007" t="s">
        <v>799</v>
      </c>
    </row>
    <row r="52" spans="1:9" ht="11.25" customHeight="1">
      <c r="A52" s="2007" t="s">
        <v>2285</v>
      </c>
      <c r="B52" s="2007" t="s">
        <v>16</v>
      </c>
      <c r="C52" s="2007" t="s">
        <v>2475</v>
      </c>
      <c r="D52" s="2007" t="s">
        <v>2476</v>
      </c>
      <c r="E52" s="2007" t="s">
        <v>2477</v>
      </c>
      <c r="F52" s="2007" t="s">
        <v>2385</v>
      </c>
      <c r="G52" s="2007" t="s">
        <v>22</v>
      </c>
      <c r="H52" s="2007" t="s">
        <v>22</v>
      </c>
      <c r="I52" s="2007" t="s">
        <v>799</v>
      </c>
    </row>
    <row r="53" spans="1:9" ht="11.25" customHeight="1">
      <c r="A53" s="2007" t="s">
        <v>2285</v>
      </c>
      <c r="B53" s="2007" t="s">
        <v>16</v>
      </c>
      <c r="C53" s="2007" t="s">
        <v>2478</v>
      </c>
      <c r="D53" s="2007" t="s">
        <v>2479</v>
      </c>
      <c r="E53" s="2007" t="s">
        <v>2480</v>
      </c>
      <c r="F53" s="2007" t="s">
        <v>2390</v>
      </c>
      <c r="G53" s="2007" t="s">
        <v>22</v>
      </c>
      <c r="H53" s="2007" t="s">
        <v>22</v>
      </c>
      <c r="I53" s="2007" t="s">
        <v>799</v>
      </c>
    </row>
    <row r="54" spans="1:9" ht="11.25" customHeight="1">
      <c r="A54" s="2007" t="s">
        <v>2285</v>
      </c>
      <c r="B54" s="2007" t="s">
        <v>16</v>
      </c>
      <c r="C54" s="2007" t="s">
        <v>2481</v>
      </c>
      <c r="D54" s="2007" t="s">
        <v>2482</v>
      </c>
      <c r="E54" s="2007" t="s">
        <v>2483</v>
      </c>
      <c r="F54" s="2007" t="s">
        <v>2385</v>
      </c>
      <c r="G54" s="2007" t="s">
        <v>2484</v>
      </c>
      <c r="H54" s="2007" t="s">
        <v>22</v>
      </c>
      <c r="I54" s="2007" t="s">
        <v>799</v>
      </c>
    </row>
    <row r="55" spans="1:9" ht="11.25" customHeight="1">
      <c r="A55" s="2007" t="s">
        <v>2285</v>
      </c>
      <c r="B55" s="2007" t="s">
        <v>16</v>
      </c>
      <c r="C55" s="2007" t="s">
        <v>2485</v>
      </c>
      <c r="D55" s="2007" t="s">
        <v>2486</v>
      </c>
      <c r="E55" s="2007" t="s">
        <v>2487</v>
      </c>
      <c r="F55" s="2007" t="s">
        <v>2401</v>
      </c>
      <c r="G55" s="2007" t="s">
        <v>2488</v>
      </c>
      <c r="H55" s="2007" t="s">
        <v>22</v>
      </c>
      <c r="I55" s="2007" t="s">
        <v>799</v>
      </c>
    </row>
    <row r="56" spans="1:9" ht="11.25" customHeight="1">
      <c r="A56" s="2007" t="s">
        <v>2285</v>
      </c>
      <c r="B56" s="2007" t="s">
        <v>16</v>
      </c>
      <c r="C56" s="2007" t="s">
        <v>2489</v>
      </c>
      <c r="D56" s="2007" t="s">
        <v>2490</v>
      </c>
      <c r="E56" s="2007" t="s">
        <v>2491</v>
      </c>
      <c r="F56" s="2007" t="s">
        <v>2473</v>
      </c>
      <c r="G56" s="2007" t="s">
        <v>22</v>
      </c>
      <c r="H56" s="2007" t="s">
        <v>22</v>
      </c>
      <c r="I56" s="2007" t="s">
        <v>799</v>
      </c>
    </row>
    <row r="57" spans="1:9" ht="11.25" customHeight="1">
      <c r="A57" s="2007" t="s">
        <v>2285</v>
      </c>
      <c r="B57" s="2007" t="s">
        <v>16</v>
      </c>
      <c r="C57" s="2007" t="s">
        <v>2492</v>
      </c>
      <c r="D57" s="2007" t="s">
        <v>2493</v>
      </c>
      <c r="E57" s="2007" t="s">
        <v>2494</v>
      </c>
      <c r="F57" s="2007" t="s">
        <v>2495</v>
      </c>
      <c r="G57" s="2007" t="s">
        <v>2496</v>
      </c>
      <c r="H57" s="2007" t="s">
        <v>22</v>
      </c>
      <c r="I57" s="2007" t="s">
        <v>799</v>
      </c>
    </row>
    <row r="58" spans="1:9" ht="11.25" customHeight="1">
      <c r="A58" s="2007" t="s">
        <v>2285</v>
      </c>
      <c r="B58" s="2007" t="s">
        <v>16</v>
      </c>
      <c r="C58" s="2007" t="s">
        <v>2497</v>
      </c>
      <c r="D58" s="2007" t="s">
        <v>2498</v>
      </c>
      <c r="E58" s="2007" t="s">
        <v>2499</v>
      </c>
      <c r="F58" s="2007" t="s">
        <v>2500</v>
      </c>
      <c r="G58" s="2007" t="s">
        <v>22</v>
      </c>
      <c r="H58" s="2007" t="s">
        <v>22</v>
      </c>
      <c r="I58" s="2007" t="s">
        <v>799</v>
      </c>
    </row>
    <row r="59" spans="1:9" ht="11.25" customHeight="1">
      <c r="A59" s="2007" t="s">
        <v>2285</v>
      </c>
      <c r="B59" s="2007" t="s">
        <v>16</v>
      </c>
      <c r="C59" s="2007" t="s">
        <v>2501</v>
      </c>
      <c r="D59" s="2007" t="s">
        <v>2502</v>
      </c>
      <c r="E59" s="2007" t="s">
        <v>2503</v>
      </c>
      <c r="F59" s="2007" t="s">
        <v>2331</v>
      </c>
      <c r="G59" s="2007" t="s">
        <v>22</v>
      </c>
      <c r="H59" s="2007" t="s">
        <v>22</v>
      </c>
      <c r="I59" s="2007" t="s">
        <v>799</v>
      </c>
    </row>
    <row r="60" spans="1:9" ht="11.25" customHeight="1">
      <c r="A60" s="2007" t="s">
        <v>2285</v>
      </c>
      <c r="B60" s="2007" t="s">
        <v>16</v>
      </c>
      <c r="C60" s="2007" t="s">
        <v>2504</v>
      </c>
      <c r="D60" s="2007" t="s">
        <v>2505</v>
      </c>
      <c r="E60" s="2007" t="s">
        <v>2506</v>
      </c>
      <c r="F60" s="2007" t="s">
        <v>50</v>
      </c>
      <c r="G60" s="2007" t="s">
        <v>22</v>
      </c>
      <c r="H60" s="2007" t="s">
        <v>22</v>
      </c>
      <c r="I60" s="2007" t="s">
        <v>799</v>
      </c>
    </row>
    <row r="61" spans="1:9" ht="11.25" customHeight="1">
      <c r="A61" s="2007" t="s">
        <v>2285</v>
      </c>
      <c r="B61" s="2007" t="s">
        <v>16</v>
      </c>
      <c r="C61" s="2007" t="s">
        <v>2507</v>
      </c>
      <c r="D61" s="2007" t="s">
        <v>2508</v>
      </c>
      <c r="E61" s="2007" t="s">
        <v>2509</v>
      </c>
      <c r="F61" s="2007" t="s">
        <v>2510</v>
      </c>
      <c r="G61" s="2007" t="s">
        <v>2511</v>
      </c>
      <c r="H61" s="2007" t="s">
        <v>22</v>
      </c>
      <c r="I61" s="2007" t="s">
        <v>799</v>
      </c>
    </row>
    <row r="62" spans="1:9" ht="11.25" customHeight="1">
      <c r="A62" s="2007" t="s">
        <v>2285</v>
      </c>
      <c r="B62" s="2007" t="s">
        <v>16</v>
      </c>
      <c r="C62" s="2007" t="s">
        <v>2512</v>
      </c>
      <c r="D62" s="2007" t="s">
        <v>2513</v>
      </c>
      <c r="E62" s="2007" t="s">
        <v>2457</v>
      </c>
      <c r="F62" s="2007" t="s">
        <v>2514</v>
      </c>
      <c r="G62" s="2007" t="s">
        <v>22</v>
      </c>
      <c r="H62" s="2007" t="s">
        <v>22</v>
      </c>
      <c r="I62" s="2007" t="s">
        <v>799</v>
      </c>
    </row>
    <row r="63" spans="1:9" ht="11.25" customHeight="1">
      <c r="A63" s="2007" t="s">
        <v>2285</v>
      </c>
      <c r="B63" s="2007" t="s">
        <v>16</v>
      </c>
      <c r="C63" s="2007" t="s">
        <v>13</v>
      </c>
      <c r="D63" s="2007" t="s">
        <v>45</v>
      </c>
      <c r="E63" s="2007" t="s">
        <v>48</v>
      </c>
      <c r="F63" s="2007" t="s">
        <v>50</v>
      </c>
      <c r="G63" s="2007" t="s">
        <v>22</v>
      </c>
      <c r="H63" s="2007" t="s">
        <v>22</v>
      </c>
      <c r="I63" s="2007" t="s">
        <v>799</v>
      </c>
    </row>
    <row r="64" spans="1:9" ht="11.25" customHeight="1">
      <c r="A64" s="2007" t="s">
        <v>2285</v>
      </c>
      <c r="B64" s="2007" t="s">
        <v>16</v>
      </c>
      <c r="C64" s="2007" t="s">
        <v>2515</v>
      </c>
      <c r="D64" s="2007" t="s">
        <v>2516</v>
      </c>
      <c r="E64" s="2007" t="s">
        <v>2509</v>
      </c>
      <c r="F64" s="2007" t="s">
        <v>2517</v>
      </c>
      <c r="G64" s="2007" t="s">
        <v>2518</v>
      </c>
      <c r="H64" s="2007" t="s">
        <v>22</v>
      </c>
      <c r="I64" s="2007" t="s">
        <v>799</v>
      </c>
    </row>
    <row r="65" spans="1:9" ht="11.25" customHeight="1">
      <c r="A65" s="2007" t="s">
        <v>2285</v>
      </c>
      <c r="B65" s="2007" t="s">
        <v>16</v>
      </c>
      <c r="C65" s="2007" t="s">
        <v>2519</v>
      </c>
      <c r="D65" s="2007" t="s">
        <v>2520</v>
      </c>
      <c r="E65" s="2007" t="s">
        <v>2521</v>
      </c>
      <c r="F65" s="2007" t="s">
        <v>2522</v>
      </c>
      <c r="G65" s="2007" t="s">
        <v>22</v>
      </c>
      <c r="H65" s="2007" t="s">
        <v>22</v>
      </c>
      <c r="I65" s="2007" t="s">
        <v>799</v>
      </c>
    </row>
    <row r="66" spans="1:9" ht="11.25" customHeight="1">
      <c r="A66" s="2007" t="s">
        <v>2285</v>
      </c>
      <c r="B66" s="2007" t="s">
        <v>16</v>
      </c>
      <c r="C66" s="2007" t="s">
        <v>2523</v>
      </c>
      <c r="D66" s="2007" t="s">
        <v>2524</v>
      </c>
      <c r="E66" s="2007" t="s">
        <v>2525</v>
      </c>
      <c r="F66" s="2007" t="s">
        <v>2526</v>
      </c>
      <c r="G66" s="2007" t="s">
        <v>2527</v>
      </c>
      <c r="H66" s="2007" t="s">
        <v>22</v>
      </c>
      <c r="I66" s="2007" t="s">
        <v>799</v>
      </c>
    </row>
    <row r="67" spans="1:9" ht="11.25" customHeight="1">
      <c r="A67" s="2007" t="s">
        <v>2285</v>
      </c>
      <c r="B67" s="2007" t="s">
        <v>16</v>
      </c>
      <c r="C67" s="2007" t="s">
        <v>2528</v>
      </c>
      <c r="D67" s="2007" t="s">
        <v>2529</v>
      </c>
      <c r="E67" s="2007" t="s">
        <v>2530</v>
      </c>
      <c r="F67" s="2007" t="s">
        <v>2297</v>
      </c>
      <c r="G67" s="2007" t="s">
        <v>22</v>
      </c>
      <c r="H67" s="2007" t="s">
        <v>22</v>
      </c>
      <c r="I67" s="2007" t="s">
        <v>799</v>
      </c>
    </row>
    <row r="68" spans="1:9" ht="11.25" customHeight="1">
      <c r="A68" s="2007" t="s">
        <v>2285</v>
      </c>
      <c r="B68" s="2007" t="s">
        <v>16</v>
      </c>
      <c r="C68" s="2007" t="s">
        <v>2531</v>
      </c>
      <c r="D68" s="2007" t="s">
        <v>2532</v>
      </c>
      <c r="E68" s="2007" t="s">
        <v>2533</v>
      </c>
      <c r="F68" s="2007" t="s">
        <v>2463</v>
      </c>
      <c r="G68" s="2007" t="s">
        <v>22</v>
      </c>
      <c r="H68" s="2007" t="s">
        <v>22</v>
      </c>
      <c r="I68" s="2007" t="s">
        <v>799</v>
      </c>
    </row>
    <row r="69" spans="1:9" ht="11.25" customHeight="1">
      <c r="A69" s="2007" t="s">
        <v>2285</v>
      </c>
      <c r="B69" s="2007" t="s">
        <v>16</v>
      </c>
      <c r="C69" s="2007" t="s">
        <v>2286</v>
      </c>
      <c r="D69" s="2007" t="s">
        <v>2287</v>
      </c>
      <c r="E69" s="2007" t="s">
        <v>2288</v>
      </c>
      <c r="F69" s="2007" t="s">
        <v>2289</v>
      </c>
      <c r="G69" s="2007" t="s">
        <v>2290</v>
      </c>
      <c r="H69" s="2007" t="s">
        <v>22</v>
      </c>
      <c r="I69" s="2007" t="s">
        <v>885</v>
      </c>
    </row>
    <row r="70" spans="1:9" ht="11.25" customHeight="1">
      <c r="A70" s="2007" t="s">
        <v>2285</v>
      </c>
      <c r="B70" s="2007" t="s">
        <v>16</v>
      </c>
      <c r="C70" s="2007" t="s">
        <v>2291</v>
      </c>
      <c r="D70" s="2007" t="s">
        <v>2287</v>
      </c>
      <c r="E70" s="2007" t="s">
        <v>2288</v>
      </c>
      <c r="F70" s="2007" t="s">
        <v>2292</v>
      </c>
      <c r="G70" s="2007" t="s">
        <v>2293</v>
      </c>
      <c r="H70" s="2007" t="s">
        <v>22</v>
      </c>
      <c r="I70" s="2007" t="s">
        <v>885</v>
      </c>
    </row>
    <row r="71" spans="1:9" ht="11.25" customHeight="1">
      <c r="A71" s="2007" t="s">
        <v>2285</v>
      </c>
      <c r="B71" s="2007" t="s">
        <v>16</v>
      </c>
      <c r="C71" s="2007" t="s">
        <v>2302</v>
      </c>
      <c r="D71" s="2007" t="s">
        <v>2303</v>
      </c>
      <c r="E71" s="2007" t="s">
        <v>2304</v>
      </c>
      <c r="F71" s="2007" t="s">
        <v>2305</v>
      </c>
      <c r="G71" s="2007" t="s">
        <v>22</v>
      </c>
      <c r="H71" s="2007" t="s">
        <v>22</v>
      </c>
      <c r="I71" s="2007" t="s">
        <v>885</v>
      </c>
    </row>
    <row r="72" spans="1:9" ht="11.25" customHeight="1">
      <c r="A72" s="2007" t="s">
        <v>2285</v>
      </c>
      <c r="B72" s="2007" t="s">
        <v>16</v>
      </c>
      <c r="C72" s="2007" t="s">
        <v>2306</v>
      </c>
      <c r="D72" s="2007" t="s">
        <v>2307</v>
      </c>
      <c r="E72" s="2007" t="s">
        <v>2308</v>
      </c>
      <c r="F72" s="2007" t="s">
        <v>2305</v>
      </c>
      <c r="G72" s="2007" t="s">
        <v>2309</v>
      </c>
      <c r="H72" s="2007" t="s">
        <v>22</v>
      </c>
      <c r="I72" s="2007" t="s">
        <v>885</v>
      </c>
    </row>
    <row r="73" spans="1:9" ht="11.25" customHeight="1">
      <c r="A73" s="2007" t="s">
        <v>2285</v>
      </c>
      <c r="B73" s="2007" t="s">
        <v>16</v>
      </c>
      <c r="C73" s="2007" t="s">
        <v>2310</v>
      </c>
      <c r="D73" s="2007" t="s">
        <v>2311</v>
      </c>
      <c r="E73" s="2007" t="s">
        <v>2312</v>
      </c>
      <c r="F73" s="2007" t="s">
        <v>2313</v>
      </c>
      <c r="G73" s="2007" t="s">
        <v>22</v>
      </c>
      <c r="H73" s="2007" t="s">
        <v>22</v>
      </c>
      <c r="I73" s="2007" t="s">
        <v>885</v>
      </c>
    </row>
    <row r="74" spans="1:9" ht="11.25" customHeight="1">
      <c r="A74" s="2007" t="s">
        <v>2285</v>
      </c>
      <c r="B74" s="2007" t="s">
        <v>16</v>
      </c>
      <c r="C74" s="2007" t="s">
        <v>2314</v>
      </c>
      <c r="D74" s="2007" t="s">
        <v>2315</v>
      </c>
      <c r="E74" s="2007" t="s">
        <v>2316</v>
      </c>
      <c r="F74" s="2007" t="s">
        <v>50</v>
      </c>
      <c r="G74" s="2007" t="s">
        <v>22</v>
      </c>
      <c r="H74" s="2007" t="s">
        <v>22</v>
      </c>
      <c r="I74" s="2007" t="s">
        <v>885</v>
      </c>
    </row>
    <row r="75" spans="1:9" ht="11.25" customHeight="1">
      <c r="A75" s="2007" t="s">
        <v>2285</v>
      </c>
      <c r="B75" s="2007" t="s">
        <v>16</v>
      </c>
      <c r="C75" s="2007" t="s">
        <v>2321</v>
      </c>
      <c r="D75" s="2007" t="s">
        <v>2322</v>
      </c>
      <c r="E75" s="2007" t="s">
        <v>2323</v>
      </c>
      <c r="F75" s="2007" t="s">
        <v>50</v>
      </c>
      <c r="G75" s="2007" t="s">
        <v>22</v>
      </c>
      <c r="H75" s="2007" t="s">
        <v>22</v>
      </c>
      <c r="I75" s="2007" t="s">
        <v>885</v>
      </c>
    </row>
    <row r="76" spans="1:9" ht="11.25" customHeight="1">
      <c r="A76" s="2007" t="s">
        <v>2285</v>
      </c>
      <c r="B76" s="2007" t="s">
        <v>16</v>
      </c>
      <c r="C76" s="2007" t="s">
        <v>2328</v>
      </c>
      <c r="D76" s="2007" t="s">
        <v>2329</v>
      </c>
      <c r="E76" s="2007" t="s">
        <v>2330</v>
      </c>
      <c r="F76" s="2007" t="s">
        <v>2331</v>
      </c>
      <c r="G76" s="2007" t="s">
        <v>2332</v>
      </c>
      <c r="H76" s="2007" t="s">
        <v>22</v>
      </c>
      <c r="I76" s="2007" t="s">
        <v>885</v>
      </c>
    </row>
    <row r="77" spans="1:9" ht="11.25" customHeight="1">
      <c r="A77" s="2007" t="s">
        <v>2285</v>
      </c>
      <c r="B77" s="2007" t="s">
        <v>16</v>
      </c>
      <c r="C77" s="2007" t="s">
        <v>2333</v>
      </c>
      <c r="D77" s="2007" t="s">
        <v>2334</v>
      </c>
      <c r="E77" s="2007" t="s">
        <v>2335</v>
      </c>
      <c r="F77" s="2007" t="s">
        <v>2336</v>
      </c>
      <c r="G77" s="2007" t="s">
        <v>22</v>
      </c>
      <c r="H77" s="2007" t="s">
        <v>22</v>
      </c>
      <c r="I77" s="2007" t="s">
        <v>885</v>
      </c>
    </row>
    <row r="78" spans="1:9" ht="11.25" customHeight="1">
      <c r="A78" s="2007" t="s">
        <v>2285</v>
      </c>
      <c r="B78" s="2007" t="s">
        <v>16</v>
      </c>
      <c r="C78" s="2007" t="s">
        <v>2346</v>
      </c>
      <c r="D78" s="2007" t="s">
        <v>2347</v>
      </c>
      <c r="E78" s="2007" t="s">
        <v>2348</v>
      </c>
      <c r="F78" s="2007" t="s">
        <v>50</v>
      </c>
      <c r="G78" s="2007" t="s">
        <v>2349</v>
      </c>
      <c r="H78" s="2007" t="s">
        <v>22</v>
      </c>
      <c r="I78" s="2007" t="s">
        <v>885</v>
      </c>
    </row>
    <row r="79" spans="1:9" ht="11.25" customHeight="1">
      <c r="A79" s="2007" t="s">
        <v>2285</v>
      </c>
      <c r="B79" s="2007" t="s">
        <v>16</v>
      </c>
      <c r="C79" s="2007" t="s">
        <v>2357</v>
      </c>
      <c r="D79" s="2007" t="s">
        <v>2358</v>
      </c>
      <c r="E79" s="2007" t="s">
        <v>2359</v>
      </c>
      <c r="F79" s="2007" t="s">
        <v>50</v>
      </c>
      <c r="G79" s="2007" t="s">
        <v>2360</v>
      </c>
      <c r="H79" s="2007" t="s">
        <v>22</v>
      </c>
      <c r="I79" s="2007" t="s">
        <v>885</v>
      </c>
    </row>
    <row r="80" spans="1:9" ht="11.25" customHeight="1">
      <c r="A80" s="2007" t="s">
        <v>2285</v>
      </c>
      <c r="B80" s="2007" t="s">
        <v>16</v>
      </c>
      <c r="C80" s="2007" t="s">
        <v>2361</v>
      </c>
      <c r="D80" s="2007" t="s">
        <v>2362</v>
      </c>
      <c r="E80" s="2007" t="s">
        <v>2363</v>
      </c>
      <c r="F80" s="2007" t="s">
        <v>2364</v>
      </c>
      <c r="G80" s="2007" t="s">
        <v>22</v>
      </c>
      <c r="H80" s="2007" t="s">
        <v>22</v>
      </c>
      <c r="I80" s="2007" t="s">
        <v>885</v>
      </c>
    </row>
    <row r="81" spans="1:9" ht="11.25" customHeight="1">
      <c r="A81" s="2007" t="s">
        <v>2285</v>
      </c>
      <c r="B81" s="2007" t="s">
        <v>16</v>
      </c>
      <c r="C81" s="2007" t="s">
        <v>22</v>
      </c>
      <c r="D81" s="2007" t="s">
        <v>2365</v>
      </c>
      <c r="E81" s="2007" t="s">
        <v>2366</v>
      </c>
      <c r="F81" s="2007" t="s">
        <v>50</v>
      </c>
      <c r="G81" s="2007" t="s">
        <v>22</v>
      </c>
      <c r="H81" s="2007" t="s">
        <v>22</v>
      </c>
      <c r="I81" s="2007" t="s">
        <v>885</v>
      </c>
    </row>
    <row r="82" spans="1:9" ht="11.25" customHeight="1">
      <c r="A82" s="2007" t="s">
        <v>2285</v>
      </c>
      <c r="B82" s="2007" t="s">
        <v>16</v>
      </c>
      <c r="C82" s="2007" t="s">
        <v>2367</v>
      </c>
      <c r="D82" s="2007" t="s">
        <v>2368</v>
      </c>
      <c r="E82" s="2007" t="s">
        <v>2369</v>
      </c>
      <c r="F82" s="2007" t="s">
        <v>2370</v>
      </c>
      <c r="G82" s="2007" t="s">
        <v>22</v>
      </c>
      <c r="H82" s="2007" t="s">
        <v>22</v>
      </c>
      <c r="I82" s="2007" t="s">
        <v>885</v>
      </c>
    </row>
    <row r="83" spans="1:9" ht="11.25" customHeight="1">
      <c r="A83" s="2007" t="s">
        <v>2285</v>
      </c>
      <c r="B83" s="2007" t="s">
        <v>16</v>
      </c>
      <c r="C83" s="2007" t="s">
        <v>2387</v>
      </c>
      <c r="D83" s="2007" t="s">
        <v>2388</v>
      </c>
      <c r="E83" s="2007" t="s">
        <v>2389</v>
      </c>
      <c r="F83" s="2007" t="s">
        <v>2390</v>
      </c>
      <c r="G83" s="2007" t="s">
        <v>22</v>
      </c>
      <c r="H83" s="2007" t="s">
        <v>22</v>
      </c>
      <c r="I83" s="2007" t="s">
        <v>885</v>
      </c>
    </row>
    <row r="84" spans="1:9" ht="11.25" customHeight="1">
      <c r="A84" s="2007" t="s">
        <v>2285</v>
      </c>
      <c r="B84" s="2007" t="s">
        <v>16</v>
      </c>
      <c r="C84" s="2007" t="s">
        <v>2394</v>
      </c>
      <c r="D84" s="2007" t="s">
        <v>2395</v>
      </c>
      <c r="E84" s="2007" t="s">
        <v>2396</v>
      </c>
      <c r="F84" s="2007" t="s">
        <v>2397</v>
      </c>
      <c r="G84" s="2007" t="s">
        <v>22</v>
      </c>
      <c r="H84" s="2007" t="s">
        <v>22</v>
      </c>
      <c r="I84" s="2007" t="s">
        <v>885</v>
      </c>
    </row>
    <row r="85" spans="1:9" ht="11.25" customHeight="1">
      <c r="A85" s="2007" t="s">
        <v>2285</v>
      </c>
      <c r="B85" s="2007" t="s">
        <v>16</v>
      </c>
      <c r="C85" s="2007" t="s">
        <v>2398</v>
      </c>
      <c r="D85" s="2007" t="s">
        <v>2399</v>
      </c>
      <c r="E85" s="2007" t="s">
        <v>2400</v>
      </c>
      <c r="F85" s="2007" t="s">
        <v>2401</v>
      </c>
      <c r="G85" s="2007" t="s">
        <v>22</v>
      </c>
      <c r="H85" s="2007" t="s">
        <v>22</v>
      </c>
      <c r="I85" s="2007" t="s">
        <v>885</v>
      </c>
    </row>
    <row r="86" spans="1:9" ht="11.25" customHeight="1">
      <c r="A86" s="2007" t="s">
        <v>2285</v>
      </c>
      <c r="B86" s="2007" t="s">
        <v>16</v>
      </c>
      <c r="C86" s="2007" t="s">
        <v>2402</v>
      </c>
      <c r="D86" s="2007" t="s">
        <v>2403</v>
      </c>
      <c r="E86" s="2007" t="s">
        <v>2404</v>
      </c>
      <c r="F86" s="2007" t="s">
        <v>2297</v>
      </c>
      <c r="G86" s="2007" t="s">
        <v>22</v>
      </c>
      <c r="H86" s="2007" t="s">
        <v>22</v>
      </c>
      <c r="I86" s="2007" t="s">
        <v>885</v>
      </c>
    </row>
    <row r="87" spans="1:9" ht="11.25" customHeight="1">
      <c r="A87" s="2007" t="s">
        <v>2285</v>
      </c>
      <c r="B87" s="2007" t="s">
        <v>16</v>
      </c>
      <c r="C87" s="2007" t="s">
        <v>2405</v>
      </c>
      <c r="D87" s="2007" t="s">
        <v>2406</v>
      </c>
      <c r="E87" s="2007" t="s">
        <v>2407</v>
      </c>
      <c r="F87" s="2007" t="s">
        <v>2340</v>
      </c>
      <c r="G87" s="2007" t="s">
        <v>22</v>
      </c>
      <c r="H87" s="2007" t="s">
        <v>2408</v>
      </c>
      <c r="I87" s="2007" t="s">
        <v>885</v>
      </c>
    </row>
    <row r="88" spans="1:9" ht="11.25" customHeight="1">
      <c r="A88" s="2007" t="s">
        <v>2285</v>
      </c>
      <c r="B88" s="2007" t="s">
        <v>16</v>
      </c>
      <c r="C88" s="2007" t="s">
        <v>2409</v>
      </c>
      <c r="D88" s="2007" t="s">
        <v>2410</v>
      </c>
      <c r="E88" s="2007" t="s">
        <v>2411</v>
      </c>
      <c r="F88" s="2007" t="s">
        <v>2297</v>
      </c>
      <c r="G88" s="2007" t="s">
        <v>22</v>
      </c>
      <c r="H88" s="2007" t="s">
        <v>22</v>
      </c>
      <c r="I88" s="2007" t="s">
        <v>885</v>
      </c>
    </row>
    <row r="89" spans="1:9" ht="11.25" customHeight="1">
      <c r="A89" s="2007" t="s">
        <v>2285</v>
      </c>
      <c r="B89" s="2007" t="s">
        <v>16</v>
      </c>
      <c r="C89" s="2007" t="s">
        <v>2412</v>
      </c>
      <c r="D89" s="2007" t="s">
        <v>2413</v>
      </c>
      <c r="E89" s="2007" t="s">
        <v>2414</v>
      </c>
      <c r="F89" s="2007" t="s">
        <v>50</v>
      </c>
      <c r="G89" s="2007" t="s">
        <v>22</v>
      </c>
      <c r="H89" s="2007" t="s">
        <v>22</v>
      </c>
      <c r="I89" s="2007" t="s">
        <v>885</v>
      </c>
    </row>
    <row r="90" spans="1:9" ht="11.25" customHeight="1">
      <c r="A90" s="2007" t="s">
        <v>2285</v>
      </c>
      <c r="B90" s="2007" t="s">
        <v>16</v>
      </c>
      <c r="C90" s="2007" t="s">
        <v>2426</v>
      </c>
      <c r="D90" s="2007" t="s">
        <v>2427</v>
      </c>
      <c r="E90" s="2007" t="s">
        <v>2428</v>
      </c>
      <c r="F90" s="2007" t="s">
        <v>2370</v>
      </c>
      <c r="G90" s="2007" t="s">
        <v>22</v>
      </c>
      <c r="H90" s="2007" t="s">
        <v>22</v>
      </c>
      <c r="I90" s="2007" t="s">
        <v>885</v>
      </c>
    </row>
    <row r="91" spans="1:9" ht="11.25" customHeight="1">
      <c r="A91" s="2007" t="s">
        <v>2285</v>
      </c>
      <c r="B91" s="2007" t="s">
        <v>16</v>
      </c>
      <c r="C91" s="2007" t="s">
        <v>2429</v>
      </c>
      <c r="D91" s="2007" t="s">
        <v>2430</v>
      </c>
      <c r="E91" s="2007" t="s">
        <v>2431</v>
      </c>
      <c r="F91" s="2007" t="s">
        <v>2297</v>
      </c>
      <c r="G91" s="2007" t="s">
        <v>22</v>
      </c>
      <c r="H91" s="2007" t="s">
        <v>22</v>
      </c>
      <c r="I91" s="2007" t="s">
        <v>885</v>
      </c>
    </row>
    <row r="92" spans="1:9" ht="11.25" customHeight="1">
      <c r="A92" s="2007" t="s">
        <v>2285</v>
      </c>
      <c r="B92" s="2007" t="s">
        <v>16</v>
      </c>
      <c r="C92" s="2007" t="s">
        <v>2432</v>
      </c>
      <c r="D92" s="2007" t="s">
        <v>2433</v>
      </c>
      <c r="E92" s="2007" t="s">
        <v>2434</v>
      </c>
      <c r="F92" s="2007" t="s">
        <v>2340</v>
      </c>
      <c r="G92" s="2007" t="s">
        <v>22</v>
      </c>
      <c r="H92" s="2007" t="s">
        <v>22</v>
      </c>
      <c r="I92" s="2007" t="s">
        <v>885</v>
      </c>
    </row>
    <row r="93" spans="1:9" ht="11.25" customHeight="1">
      <c r="A93" s="2007" t="s">
        <v>2285</v>
      </c>
      <c r="B93" s="2007" t="s">
        <v>16</v>
      </c>
      <c r="C93" s="2007" t="s">
        <v>2435</v>
      </c>
      <c r="D93" s="2007" t="s">
        <v>2436</v>
      </c>
      <c r="E93" s="2007" t="s">
        <v>2437</v>
      </c>
      <c r="F93" s="2007" t="s">
        <v>2438</v>
      </c>
      <c r="G93" s="2007" t="s">
        <v>22</v>
      </c>
      <c r="H93" s="2007" t="s">
        <v>22</v>
      </c>
      <c r="I93" s="2007" t="s">
        <v>885</v>
      </c>
    </row>
    <row r="94" spans="1:9" ht="11.25" customHeight="1">
      <c r="A94" s="2007" t="s">
        <v>2285</v>
      </c>
      <c r="B94" s="2007" t="s">
        <v>16</v>
      </c>
      <c r="C94" s="2007" t="s">
        <v>2447</v>
      </c>
      <c r="D94" s="2007" t="s">
        <v>2448</v>
      </c>
      <c r="E94" s="2007" t="s">
        <v>2449</v>
      </c>
      <c r="F94" s="2007" t="s">
        <v>2297</v>
      </c>
      <c r="G94" s="2007" t="s">
        <v>22</v>
      </c>
      <c r="H94" s="2007" t="s">
        <v>22</v>
      </c>
      <c r="I94" s="2007" t="s">
        <v>885</v>
      </c>
    </row>
    <row r="95" spans="1:9" ht="11.25" customHeight="1">
      <c r="A95" s="2007" t="s">
        <v>2285</v>
      </c>
      <c r="B95" s="2007" t="s">
        <v>16</v>
      </c>
      <c r="C95" s="2007" t="s">
        <v>2450</v>
      </c>
      <c r="D95" s="2007" t="s">
        <v>2451</v>
      </c>
      <c r="E95" s="2007" t="s">
        <v>2452</v>
      </c>
      <c r="F95" s="2007" t="s">
        <v>2453</v>
      </c>
      <c r="G95" s="2007" t="s">
        <v>2454</v>
      </c>
      <c r="H95" s="2007" t="s">
        <v>22</v>
      </c>
      <c r="I95" s="2007" t="s">
        <v>885</v>
      </c>
    </row>
    <row r="96" spans="1:9" ht="11.25" customHeight="1">
      <c r="A96" s="2007" t="s">
        <v>2285</v>
      </c>
      <c r="B96" s="2007" t="s">
        <v>16</v>
      </c>
      <c r="C96" s="2007" t="s">
        <v>2460</v>
      </c>
      <c r="D96" s="2007" t="s">
        <v>2461</v>
      </c>
      <c r="E96" s="2007" t="s">
        <v>2462</v>
      </c>
      <c r="F96" s="2007" t="s">
        <v>2463</v>
      </c>
      <c r="G96" s="2007" t="s">
        <v>22</v>
      </c>
      <c r="H96" s="2007" t="s">
        <v>22</v>
      </c>
      <c r="I96" s="2007" t="s">
        <v>885</v>
      </c>
    </row>
    <row r="97" spans="1:9" ht="11.25" customHeight="1">
      <c r="A97" s="2007" t="s">
        <v>2285</v>
      </c>
      <c r="B97" s="2007" t="s">
        <v>16</v>
      </c>
      <c r="C97" s="2007" t="s">
        <v>2464</v>
      </c>
      <c r="D97" s="2007" t="s">
        <v>2465</v>
      </c>
      <c r="E97" s="2007" t="s">
        <v>2466</v>
      </c>
      <c r="F97" s="2007" t="s">
        <v>2297</v>
      </c>
      <c r="G97" s="2007" t="s">
        <v>22</v>
      </c>
      <c r="H97" s="2007" t="s">
        <v>22</v>
      </c>
      <c r="I97" s="2007" t="s">
        <v>885</v>
      </c>
    </row>
    <row r="98" spans="1:9" ht="11.25" customHeight="1">
      <c r="A98" s="2007" t="s">
        <v>2285</v>
      </c>
      <c r="B98" s="2007" t="s">
        <v>16</v>
      </c>
      <c r="C98" s="2007" t="s">
        <v>2467</v>
      </c>
      <c r="D98" s="2007" t="s">
        <v>2468</v>
      </c>
      <c r="E98" s="2007" t="s">
        <v>2469</v>
      </c>
      <c r="F98" s="2007" t="s">
        <v>2297</v>
      </c>
      <c r="G98" s="2007" t="s">
        <v>22</v>
      </c>
      <c r="H98" s="2007" t="s">
        <v>22</v>
      </c>
      <c r="I98" s="2007" t="s">
        <v>885</v>
      </c>
    </row>
    <row r="99" spans="1:9" ht="11.25" customHeight="1">
      <c r="A99" s="2007" t="s">
        <v>2285</v>
      </c>
      <c r="B99" s="2007" t="s">
        <v>16</v>
      </c>
      <c r="C99" s="2007" t="s">
        <v>2470</v>
      </c>
      <c r="D99" s="2007" t="s">
        <v>2471</v>
      </c>
      <c r="E99" s="2007" t="s">
        <v>2472</v>
      </c>
      <c r="F99" s="2007" t="s">
        <v>2473</v>
      </c>
      <c r="G99" s="2007" t="s">
        <v>2474</v>
      </c>
      <c r="H99" s="2007" t="s">
        <v>22</v>
      </c>
      <c r="I99" s="2007" t="s">
        <v>885</v>
      </c>
    </row>
    <row r="100" spans="1:9" ht="11.25" customHeight="1">
      <c r="A100" s="2007" t="s">
        <v>2285</v>
      </c>
      <c r="B100" s="2007" t="s">
        <v>16</v>
      </c>
      <c r="C100" s="2007" t="s">
        <v>2475</v>
      </c>
      <c r="D100" s="2007" t="s">
        <v>2476</v>
      </c>
      <c r="E100" s="2007" t="s">
        <v>2477</v>
      </c>
      <c r="F100" s="2007" t="s">
        <v>2385</v>
      </c>
      <c r="G100" s="2007" t="s">
        <v>22</v>
      </c>
      <c r="H100" s="2007" t="s">
        <v>22</v>
      </c>
      <c r="I100" s="2007" t="s">
        <v>885</v>
      </c>
    </row>
    <row r="101" spans="1:9" ht="11.25" customHeight="1">
      <c r="A101" s="2007" t="s">
        <v>2285</v>
      </c>
      <c r="B101" s="2007" t="s">
        <v>16</v>
      </c>
      <c r="C101" s="2007" t="s">
        <v>2485</v>
      </c>
      <c r="D101" s="2007" t="s">
        <v>2486</v>
      </c>
      <c r="E101" s="2007" t="s">
        <v>2487</v>
      </c>
      <c r="F101" s="2007" t="s">
        <v>2401</v>
      </c>
      <c r="G101" s="2007" t="s">
        <v>2488</v>
      </c>
      <c r="H101" s="2007" t="s">
        <v>22</v>
      </c>
      <c r="I101" s="2007" t="s">
        <v>885</v>
      </c>
    </row>
    <row r="102" spans="1:9" ht="11.25" customHeight="1">
      <c r="A102" s="2007" t="s">
        <v>2285</v>
      </c>
      <c r="B102" s="2007" t="s">
        <v>16</v>
      </c>
      <c r="C102" s="2007" t="s">
        <v>2489</v>
      </c>
      <c r="D102" s="2007" t="s">
        <v>2490</v>
      </c>
      <c r="E102" s="2007" t="s">
        <v>2491</v>
      </c>
      <c r="F102" s="2007" t="s">
        <v>2473</v>
      </c>
      <c r="G102" s="2007" t="s">
        <v>22</v>
      </c>
      <c r="H102" s="2007" t="s">
        <v>22</v>
      </c>
      <c r="I102" s="2007" t="s">
        <v>885</v>
      </c>
    </row>
    <row r="103" spans="1:9" ht="11.25" customHeight="1">
      <c r="A103" s="2007" t="s">
        <v>2285</v>
      </c>
      <c r="B103" s="2007" t="s">
        <v>16</v>
      </c>
      <c r="C103" s="2007" t="s">
        <v>2497</v>
      </c>
      <c r="D103" s="2007" t="s">
        <v>2498</v>
      </c>
      <c r="E103" s="2007" t="s">
        <v>2499</v>
      </c>
      <c r="F103" s="2007" t="s">
        <v>2500</v>
      </c>
      <c r="G103" s="2007" t="s">
        <v>22</v>
      </c>
      <c r="H103" s="2007" t="s">
        <v>22</v>
      </c>
      <c r="I103" s="2007" t="s">
        <v>885</v>
      </c>
    </row>
    <row r="104" spans="1:9" ht="11.25" customHeight="1">
      <c r="A104" s="2007" t="s">
        <v>2285</v>
      </c>
      <c r="B104" s="2007" t="s">
        <v>16</v>
      </c>
      <c r="C104" s="2007" t="s">
        <v>2501</v>
      </c>
      <c r="D104" s="2007" t="s">
        <v>2502</v>
      </c>
      <c r="E104" s="2007" t="s">
        <v>2503</v>
      </c>
      <c r="F104" s="2007" t="s">
        <v>2331</v>
      </c>
      <c r="G104" s="2007" t="s">
        <v>22</v>
      </c>
      <c r="H104" s="2007" t="s">
        <v>22</v>
      </c>
      <c r="I104" s="2007" t="s">
        <v>885</v>
      </c>
    </row>
    <row r="105" spans="1:9" ht="11.25" customHeight="1">
      <c r="A105" s="2007" t="s">
        <v>2285</v>
      </c>
      <c r="B105" s="2007" t="s">
        <v>16</v>
      </c>
      <c r="C105" s="2007" t="s">
        <v>2504</v>
      </c>
      <c r="D105" s="2007" t="s">
        <v>2505</v>
      </c>
      <c r="E105" s="2007" t="s">
        <v>2506</v>
      </c>
      <c r="F105" s="2007" t="s">
        <v>50</v>
      </c>
      <c r="G105" s="2007" t="s">
        <v>22</v>
      </c>
      <c r="H105" s="2007" t="s">
        <v>22</v>
      </c>
      <c r="I105" s="2007" t="s">
        <v>885</v>
      </c>
    </row>
    <row r="106" spans="1:9" ht="11.25" customHeight="1">
      <c r="A106" s="2007" t="s">
        <v>2285</v>
      </c>
      <c r="B106" s="2007" t="s">
        <v>16</v>
      </c>
      <c r="C106" s="2007" t="s">
        <v>2507</v>
      </c>
      <c r="D106" s="2007" t="s">
        <v>2508</v>
      </c>
      <c r="E106" s="2007" t="s">
        <v>2509</v>
      </c>
      <c r="F106" s="2007" t="s">
        <v>2510</v>
      </c>
      <c r="G106" s="2007" t="s">
        <v>2511</v>
      </c>
      <c r="H106" s="2007" t="s">
        <v>22</v>
      </c>
      <c r="I106" s="2007" t="s">
        <v>885</v>
      </c>
    </row>
    <row r="107" spans="1:9" ht="11.25" customHeight="1">
      <c r="A107" s="2007" t="s">
        <v>2285</v>
      </c>
      <c r="B107" s="2007" t="s">
        <v>16</v>
      </c>
      <c r="C107" s="2007" t="s">
        <v>13</v>
      </c>
      <c r="D107" s="2007" t="s">
        <v>45</v>
      </c>
      <c r="E107" s="2007" t="s">
        <v>48</v>
      </c>
      <c r="F107" s="2007" t="s">
        <v>50</v>
      </c>
      <c r="G107" s="2007" t="s">
        <v>22</v>
      </c>
      <c r="H107" s="2007" t="s">
        <v>22</v>
      </c>
      <c r="I107" s="2007" t="s">
        <v>885</v>
      </c>
    </row>
    <row r="108" spans="1:9" ht="11.25" customHeight="1">
      <c r="A108" s="2007" t="s">
        <v>2285</v>
      </c>
      <c r="B108" s="2007" t="s">
        <v>16</v>
      </c>
      <c r="C108" s="2007" t="s">
        <v>2515</v>
      </c>
      <c r="D108" s="2007" t="s">
        <v>2516</v>
      </c>
      <c r="E108" s="2007" t="s">
        <v>2509</v>
      </c>
      <c r="F108" s="2007" t="s">
        <v>2517</v>
      </c>
      <c r="G108" s="2007" t="s">
        <v>2518</v>
      </c>
      <c r="H108" s="2007" t="s">
        <v>22</v>
      </c>
      <c r="I108" s="2007" t="s">
        <v>885</v>
      </c>
    </row>
    <row r="109" spans="1:9" ht="11.25" customHeight="1">
      <c r="A109" s="2007" t="s">
        <v>2285</v>
      </c>
      <c r="B109" s="2007" t="s">
        <v>16</v>
      </c>
      <c r="C109" s="2007" t="s">
        <v>2519</v>
      </c>
      <c r="D109" s="2007" t="s">
        <v>2520</v>
      </c>
      <c r="E109" s="2007" t="s">
        <v>2521</v>
      </c>
      <c r="F109" s="2007" t="s">
        <v>2522</v>
      </c>
      <c r="G109" s="2007" t="s">
        <v>22</v>
      </c>
      <c r="H109" s="2007" t="s">
        <v>22</v>
      </c>
      <c r="I109" s="2007" t="s">
        <v>885</v>
      </c>
    </row>
    <row r="110" spans="1:9" ht="11.25" customHeight="1">
      <c r="A110" s="2007" t="s">
        <v>2285</v>
      </c>
      <c r="B110" s="2007" t="s">
        <v>16</v>
      </c>
      <c r="C110" s="2007" t="s">
        <v>2286</v>
      </c>
      <c r="D110" s="2007" t="s">
        <v>2287</v>
      </c>
      <c r="E110" s="2007" t="s">
        <v>2288</v>
      </c>
      <c r="F110" s="2007" t="s">
        <v>2289</v>
      </c>
      <c r="G110" s="2007" t="s">
        <v>2290</v>
      </c>
      <c r="H110" s="2007" t="s">
        <v>22</v>
      </c>
      <c r="I110" s="2007" t="s">
        <v>845</v>
      </c>
    </row>
    <row r="111" spans="1:9" ht="11.25" customHeight="1">
      <c r="A111" s="2007" t="s">
        <v>2285</v>
      </c>
      <c r="B111" s="2007" t="s">
        <v>16</v>
      </c>
      <c r="C111" s="2007" t="s">
        <v>2291</v>
      </c>
      <c r="D111" s="2007" t="s">
        <v>2287</v>
      </c>
      <c r="E111" s="2007" t="s">
        <v>2288</v>
      </c>
      <c r="F111" s="2007" t="s">
        <v>2292</v>
      </c>
      <c r="G111" s="2007" t="s">
        <v>2293</v>
      </c>
      <c r="H111" s="2007" t="s">
        <v>22</v>
      </c>
      <c r="I111" s="2007" t="s">
        <v>845</v>
      </c>
    </row>
    <row r="112" spans="1:9" ht="11.25" customHeight="1">
      <c r="A112" s="2007" t="s">
        <v>2285</v>
      </c>
      <c r="B112" s="2007" t="s">
        <v>16</v>
      </c>
      <c r="C112" s="2007" t="s">
        <v>2534</v>
      </c>
      <c r="D112" s="2007" t="s">
        <v>2535</v>
      </c>
      <c r="E112" s="2007" t="s">
        <v>2536</v>
      </c>
      <c r="F112" s="2007" t="s">
        <v>2353</v>
      </c>
      <c r="G112" s="2007" t="s">
        <v>2537</v>
      </c>
      <c r="H112" s="2007" t="s">
        <v>22</v>
      </c>
      <c r="I112" s="2007" t="s">
        <v>845</v>
      </c>
    </row>
    <row r="113" spans="1:9" ht="11.25" customHeight="1">
      <c r="A113" s="2007" t="s">
        <v>2285</v>
      </c>
      <c r="B113" s="2007" t="s">
        <v>16</v>
      </c>
      <c r="C113" s="2007" t="s">
        <v>2294</v>
      </c>
      <c r="D113" s="2007" t="s">
        <v>2295</v>
      </c>
      <c r="E113" s="2007" t="s">
        <v>2296</v>
      </c>
      <c r="F113" s="2007" t="s">
        <v>2297</v>
      </c>
      <c r="G113" s="2007" t="s">
        <v>22</v>
      </c>
      <c r="H113" s="2007" t="s">
        <v>22</v>
      </c>
      <c r="I113" s="2007" t="s">
        <v>845</v>
      </c>
    </row>
    <row r="114" spans="1:9" ht="11.25" customHeight="1">
      <c r="A114" s="2007" t="s">
        <v>2285</v>
      </c>
      <c r="B114" s="2007" t="s">
        <v>16</v>
      </c>
      <c r="C114" s="2007" t="s">
        <v>2538</v>
      </c>
      <c r="D114" s="2007" t="s">
        <v>2539</v>
      </c>
      <c r="E114" s="2007" t="s">
        <v>2540</v>
      </c>
      <c r="F114" s="2007" t="s">
        <v>2297</v>
      </c>
      <c r="G114" s="2007" t="s">
        <v>2541</v>
      </c>
      <c r="H114" s="2007" t="s">
        <v>22</v>
      </c>
      <c r="I114" s="2007" t="s">
        <v>845</v>
      </c>
    </row>
    <row r="115" spans="1:9" ht="11.25" customHeight="1">
      <c r="A115" s="2007" t="s">
        <v>2285</v>
      </c>
      <c r="B115" s="2007" t="s">
        <v>16</v>
      </c>
      <c r="C115" s="2007" t="s">
        <v>2306</v>
      </c>
      <c r="D115" s="2007" t="s">
        <v>2307</v>
      </c>
      <c r="E115" s="2007" t="s">
        <v>2308</v>
      </c>
      <c r="F115" s="2007" t="s">
        <v>2305</v>
      </c>
      <c r="G115" s="2007" t="s">
        <v>2309</v>
      </c>
      <c r="H115" s="2007" t="s">
        <v>22</v>
      </c>
      <c r="I115" s="2007" t="s">
        <v>845</v>
      </c>
    </row>
    <row r="116" spans="1:9" ht="11.25" customHeight="1">
      <c r="A116" s="2007" t="s">
        <v>2285</v>
      </c>
      <c r="B116" s="2007" t="s">
        <v>16</v>
      </c>
      <c r="C116" s="2007" t="s">
        <v>2542</v>
      </c>
      <c r="D116" s="2007" t="s">
        <v>2543</v>
      </c>
      <c r="E116" s="2007" t="s">
        <v>2544</v>
      </c>
      <c r="F116" s="2007" t="s">
        <v>2313</v>
      </c>
      <c r="G116" s="2007" t="s">
        <v>2545</v>
      </c>
      <c r="H116" s="2007" t="s">
        <v>22</v>
      </c>
      <c r="I116" s="2007" t="s">
        <v>845</v>
      </c>
    </row>
    <row r="117" spans="1:9" ht="11.25" customHeight="1">
      <c r="A117" s="2007" t="s">
        <v>2285</v>
      </c>
      <c r="B117" s="2007" t="s">
        <v>16</v>
      </c>
      <c r="C117" s="2007" t="s">
        <v>2317</v>
      </c>
      <c r="D117" s="2007" t="s">
        <v>2318</v>
      </c>
      <c r="E117" s="2007" t="s">
        <v>2319</v>
      </c>
      <c r="F117" s="2007" t="s">
        <v>50</v>
      </c>
      <c r="G117" s="2007" t="s">
        <v>2320</v>
      </c>
      <c r="H117" s="2007" t="s">
        <v>22</v>
      </c>
      <c r="I117" s="2007" t="s">
        <v>845</v>
      </c>
    </row>
    <row r="118" spans="1:9" ht="11.25" customHeight="1">
      <c r="A118" s="2007" t="s">
        <v>2285</v>
      </c>
      <c r="B118" s="2007" t="s">
        <v>16</v>
      </c>
      <c r="C118" s="2007" t="s">
        <v>2324</v>
      </c>
      <c r="D118" s="2007" t="s">
        <v>2325</v>
      </c>
      <c r="E118" s="2007" t="s">
        <v>2326</v>
      </c>
      <c r="F118" s="2007" t="s">
        <v>2327</v>
      </c>
      <c r="G118" s="2007" t="s">
        <v>22</v>
      </c>
      <c r="H118" s="2007" t="s">
        <v>22</v>
      </c>
      <c r="I118" s="2007" t="s">
        <v>845</v>
      </c>
    </row>
    <row r="119" spans="1:9" ht="11.25" customHeight="1">
      <c r="A119" s="2007" t="s">
        <v>2285</v>
      </c>
      <c r="B119" s="2007" t="s">
        <v>16</v>
      </c>
      <c r="C119" s="2007" t="s">
        <v>2328</v>
      </c>
      <c r="D119" s="2007" t="s">
        <v>2329</v>
      </c>
      <c r="E119" s="2007" t="s">
        <v>2330</v>
      </c>
      <c r="F119" s="2007" t="s">
        <v>2331</v>
      </c>
      <c r="G119" s="2007" t="s">
        <v>2332</v>
      </c>
      <c r="H119" s="2007" t="s">
        <v>22</v>
      </c>
      <c r="I119" s="2007" t="s">
        <v>845</v>
      </c>
    </row>
    <row r="120" spans="1:9" ht="11.25" customHeight="1">
      <c r="A120" s="2007" t="s">
        <v>2285</v>
      </c>
      <c r="B120" s="2007" t="s">
        <v>16</v>
      </c>
      <c r="C120" s="2007" t="s">
        <v>2546</v>
      </c>
      <c r="D120" s="2007" t="s">
        <v>2547</v>
      </c>
      <c r="E120" s="2007" t="s">
        <v>2344</v>
      </c>
      <c r="F120" s="2007" t="s">
        <v>2526</v>
      </c>
      <c r="G120" s="2007" t="s">
        <v>2548</v>
      </c>
      <c r="H120" s="2007" t="s">
        <v>22</v>
      </c>
      <c r="I120" s="2007" t="s">
        <v>845</v>
      </c>
    </row>
    <row r="121" spans="1:9" ht="11.25" customHeight="1">
      <c r="A121" s="2007" t="s">
        <v>2285</v>
      </c>
      <c r="B121" s="2007" t="s">
        <v>16</v>
      </c>
      <c r="C121" s="2007" t="s">
        <v>2346</v>
      </c>
      <c r="D121" s="2007" t="s">
        <v>2347</v>
      </c>
      <c r="E121" s="2007" t="s">
        <v>2348</v>
      </c>
      <c r="F121" s="2007" t="s">
        <v>50</v>
      </c>
      <c r="G121" s="2007" t="s">
        <v>2349</v>
      </c>
      <c r="H121" s="2007" t="s">
        <v>22</v>
      </c>
      <c r="I121" s="2007" t="s">
        <v>845</v>
      </c>
    </row>
    <row r="122" spans="1:9" ht="11.25" customHeight="1">
      <c r="A122" s="2007" t="s">
        <v>2285</v>
      </c>
      <c r="B122" s="2007" t="s">
        <v>16</v>
      </c>
      <c r="C122" s="2007" t="s">
        <v>2549</v>
      </c>
      <c r="D122" s="2007" t="s">
        <v>2550</v>
      </c>
      <c r="E122" s="2007" t="s">
        <v>2551</v>
      </c>
      <c r="F122" s="2007" t="s">
        <v>2385</v>
      </c>
      <c r="G122" s="2007" t="s">
        <v>2552</v>
      </c>
      <c r="H122" s="2007" t="s">
        <v>22</v>
      </c>
      <c r="I122" s="2007" t="s">
        <v>845</v>
      </c>
    </row>
    <row r="123" spans="1:9" ht="11.25" customHeight="1">
      <c r="A123" s="2007" t="s">
        <v>2285</v>
      </c>
      <c r="B123" s="2007" t="s">
        <v>16</v>
      </c>
      <c r="C123" s="2007" t="s">
        <v>2357</v>
      </c>
      <c r="D123" s="2007" t="s">
        <v>2358</v>
      </c>
      <c r="E123" s="2007" t="s">
        <v>2359</v>
      </c>
      <c r="F123" s="2007" t="s">
        <v>50</v>
      </c>
      <c r="G123" s="2007" t="s">
        <v>2360</v>
      </c>
      <c r="H123" s="2007" t="s">
        <v>22</v>
      </c>
      <c r="I123" s="2007" t="s">
        <v>845</v>
      </c>
    </row>
    <row r="124" spans="1:9" ht="11.25" customHeight="1">
      <c r="A124" s="2007" t="s">
        <v>2285</v>
      </c>
      <c r="B124" s="2007" t="s">
        <v>16</v>
      </c>
      <c r="C124" s="2007" t="s">
        <v>2361</v>
      </c>
      <c r="D124" s="2007" t="s">
        <v>2362</v>
      </c>
      <c r="E124" s="2007" t="s">
        <v>2363</v>
      </c>
      <c r="F124" s="2007" t="s">
        <v>2364</v>
      </c>
      <c r="G124" s="2007" t="s">
        <v>22</v>
      </c>
      <c r="H124" s="2007" t="s">
        <v>22</v>
      </c>
      <c r="I124" s="2007" t="s">
        <v>845</v>
      </c>
    </row>
    <row r="125" spans="1:9" ht="11.25" customHeight="1">
      <c r="A125" s="2007" t="s">
        <v>2285</v>
      </c>
      <c r="B125" s="2007" t="s">
        <v>16</v>
      </c>
      <c r="C125" s="2007" t="s">
        <v>22</v>
      </c>
      <c r="D125" s="2007" t="s">
        <v>2365</v>
      </c>
      <c r="E125" s="2007" t="s">
        <v>2366</v>
      </c>
      <c r="F125" s="2007" t="s">
        <v>50</v>
      </c>
      <c r="G125" s="2007" t="s">
        <v>22</v>
      </c>
      <c r="H125" s="2007" t="s">
        <v>22</v>
      </c>
      <c r="I125" s="2007" t="s">
        <v>845</v>
      </c>
    </row>
    <row r="126" spans="1:9" ht="11.25" customHeight="1">
      <c r="A126" s="2007" t="s">
        <v>2285</v>
      </c>
      <c r="B126" s="2007" t="s">
        <v>16</v>
      </c>
      <c r="C126" s="2007" t="s">
        <v>2367</v>
      </c>
      <c r="D126" s="2007" t="s">
        <v>2368</v>
      </c>
      <c r="E126" s="2007" t="s">
        <v>2369</v>
      </c>
      <c r="F126" s="2007" t="s">
        <v>2370</v>
      </c>
      <c r="G126" s="2007" t="s">
        <v>22</v>
      </c>
      <c r="H126" s="2007" t="s">
        <v>22</v>
      </c>
      <c r="I126" s="2007" t="s">
        <v>845</v>
      </c>
    </row>
    <row r="127" spans="1:9" ht="11.25" customHeight="1">
      <c r="A127" s="2007" t="s">
        <v>2285</v>
      </c>
      <c r="B127" s="2007" t="s">
        <v>16</v>
      </c>
      <c r="C127" s="2007" t="s">
        <v>2553</v>
      </c>
      <c r="D127" s="2007" t="s">
        <v>2554</v>
      </c>
      <c r="E127" s="2007" t="s">
        <v>2555</v>
      </c>
      <c r="F127" s="2007" t="s">
        <v>2297</v>
      </c>
      <c r="G127" s="2007" t="s">
        <v>22</v>
      </c>
      <c r="H127" s="2007" t="s">
        <v>22</v>
      </c>
      <c r="I127" s="2007" t="s">
        <v>845</v>
      </c>
    </row>
    <row r="128" spans="1:9" ht="11.25" customHeight="1">
      <c r="A128" s="2007" t="s">
        <v>2285</v>
      </c>
      <c r="B128" s="2007" t="s">
        <v>16</v>
      </c>
      <c r="C128" s="2007" t="s">
        <v>2371</v>
      </c>
      <c r="D128" s="2007" t="s">
        <v>2372</v>
      </c>
      <c r="E128" s="2007" t="s">
        <v>2373</v>
      </c>
      <c r="F128" s="2007" t="s">
        <v>2297</v>
      </c>
      <c r="G128" s="2007" t="s">
        <v>22</v>
      </c>
      <c r="H128" s="2007" t="s">
        <v>22</v>
      </c>
      <c r="I128" s="2007" t="s">
        <v>845</v>
      </c>
    </row>
    <row r="129" spans="1:9" ht="11.25" customHeight="1">
      <c r="A129" s="2007" t="s">
        <v>2285</v>
      </c>
      <c r="B129" s="2007" t="s">
        <v>16</v>
      </c>
      <c r="C129" s="2007" t="s">
        <v>2374</v>
      </c>
      <c r="D129" s="2007" t="s">
        <v>2375</v>
      </c>
      <c r="E129" s="2007" t="s">
        <v>2376</v>
      </c>
      <c r="F129" s="2007" t="s">
        <v>2370</v>
      </c>
      <c r="G129" s="2007" t="s">
        <v>2377</v>
      </c>
      <c r="H129" s="2007" t="s">
        <v>22</v>
      </c>
      <c r="I129" s="2007" t="s">
        <v>845</v>
      </c>
    </row>
    <row r="130" spans="1:9" ht="11.25" customHeight="1">
      <c r="A130" s="2007" t="s">
        <v>2285</v>
      </c>
      <c r="B130" s="2007" t="s">
        <v>16</v>
      </c>
      <c r="C130" s="2007" t="s">
        <v>2378</v>
      </c>
      <c r="D130" s="2007" t="s">
        <v>2379</v>
      </c>
      <c r="E130" s="2007" t="s">
        <v>2380</v>
      </c>
      <c r="F130" s="2007" t="s">
        <v>2370</v>
      </c>
      <c r="G130" s="2007" t="s">
        <v>2381</v>
      </c>
      <c r="H130" s="2007" t="s">
        <v>22</v>
      </c>
      <c r="I130" s="2007" t="s">
        <v>845</v>
      </c>
    </row>
    <row r="131" spans="1:9" ht="11.25" customHeight="1">
      <c r="A131" s="2007" t="s">
        <v>2285</v>
      </c>
      <c r="B131" s="2007" t="s">
        <v>16</v>
      </c>
      <c r="C131" s="2007" t="s">
        <v>2382</v>
      </c>
      <c r="D131" s="2007" t="s">
        <v>2383</v>
      </c>
      <c r="E131" s="2007" t="s">
        <v>2384</v>
      </c>
      <c r="F131" s="2007" t="s">
        <v>2385</v>
      </c>
      <c r="G131" s="2007" t="s">
        <v>2386</v>
      </c>
      <c r="H131" s="2007" t="s">
        <v>22</v>
      </c>
      <c r="I131" s="2007" t="s">
        <v>845</v>
      </c>
    </row>
    <row r="132" spans="1:9" ht="11.25" customHeight="1">
      <c r="A132" s="2007" t="s">
        <v>2285</v>
      </c>
      <c r="B132" s="2007" t="s">
        <v>16</v>
      </c>
      <c r="C132" s="2007" t="s">
        <v>2387</v>
      </c>
      <c r="D132" s="2007" t="s">
        <v>2388</v>
      </c>
      <c r="E132" s="2007" t="s">
        <v>2389</v>
      </c>
      <c r="F132" s="2007" t="s">
        <v>2390</v>
      </c>
      <c r="G132" s="2007" t="s">
        <v>22</v>
      </c>
      <c r="H132" s="2007" t="s">
        <v>22</v>
      </c>
      <c r="I132" s="2007" t="s">
        <v>845</v>
      </c>
    </row>
    <row r="133" spans="1:9" ht="11.25" customHeight="1">
      <c r="A133" s="2007" t="s">
        <v>2285</v>
      </c>
      <c r="B133" s="2007" t="s">
        <v>16</v>
      </c>
      <c r="C133" s="2007" t="s">
        <v>2556</v>
      </c>
      <c r="D133" s="2007" t="s">
        <v>2557</v>
      </c>
      <c r="E133" s="2007" t="s">
        <v>2558</v>
      </c>
      <c r="F133" s="2007" t="s">
        <v>2559</v>
      </c>
      <c r="G133" s="2007" t="s">
        <v>22</v>
      </c>
      <c r="H133" s="2007" t="s">
        <v>22</v>
      </c>
      <c r="I133" s="2007" t="s">
        <v>845</v>
      </c>
    </row>
    <row r="134" spans="1:9" ht="11.25" customHeight="1">
      <c r="A134" s="2007" t="s">
        <v>2285</v>
      </c>
      <c r="B134" s="2007" t="s">
        <v>16</v>
      </c>
      <c r="C134" s="2007" t="s">
        <v>2398</v>
      </c>
      <c r="D134" s="2007" t="s">
        <v>2399</v>
      </c>
      <c r="E134" s="2007" t="s">
        <v>2400</v>
      </c>
      <c r="F134" s="2007" t="s">
        <v>2401</v>
      </c>
      <c r="G134" s="2007" t="s">
        <v>22</v>
      </c>
      <c r="H134" s="2007" t="s">
        <v>22</v>
      </c>
      <c r="I134" s="2007" t="s">
        <v>845</v>
      </c>
    </row>
    <row r="135" spans="1:9" ht="11.25" customHeight="1">
      <c r="A135" s="2007" t="s">
        <v>2285</v>
      </c>
      <c r="B135" s="2007" t="s">
        <v>16</v>
      </c>
      <c r="C135" s="2007" t="s">
        <v>2402</v>
      </c>
      <c r="D135" s="2007" t="s">
        <v>2403</v>
      </c>
      <c r="E135" s="2007" t="s">
        <v>2404</v>
      </c>
      <c r="F135" s="2007" t="s">
        <v>2297</v>
      </c>
      <c r="G135" s="2007" t="s">
        <v>22</v>
      </c>
      <c r="H135" s="2007" t="s">
        <v>22</v>
      </c>
      <c r="I135" s="2007" t="s">
        <v>845</v>
      </c>
    </row>
    <row r="136" spans="1:9" ht="11.25" customHeight="1">
      <c r="A136" s="2007" t="s">
        <v>2285</v>
      </c>
      <c r="B136" s="2007" t="s">
        <v>16</v>
      </c>
      <c r="C136" s="2007" t="s">
        <v>2560</v>
      </c>
      <c r="D136" s="2007" t="s">
        <v>2561</v>
      </c>
      <c r="E136" s="2007" t="s">
        <v>2562</v>
      </c>
      <c r="F136" s="2007" t="s">
        <v>2401</v>
      </c>
      <c r="G136" s="2007" t="s">
        <v>2563</v>
      </c>
      <c r="H136" s="2007" t="s">
        <v>22</v>
      </c>
      <c r="I136" s="2007" t="s">
        <v>845</v>
      </c>
    </row>
    <row r="137" spans="1:9" ht="11.25" customHeight="1">
      <c r="A137" s="2007" t="s">
        <v>2285</v>
      </c>
      <c r="B137" s="2007" t="s">
        <v>16</v>
      </c>
      <c r="C137" s="2007" t="s">
        <v>2409</v>
      </c>
      <c r="D137" s="2007" t="s">
        <v>2410</v>
      </c>
      <c r="E137" s="2007" t="s">
        <v>2411</v>
      </c>
      <c r="F137" s="2007" t="s">
        <v>2297</v>
      </c>
      <c r="G137" s="2007" t="s">
        <v>22</v>
      </c>
      <c r="H137" s="2007" t="s">
        <v>22</v>
      </c>
      <c r="I137" s="2007" t="s">
        <v>845</v>
      </c>
    </row>
    <row r="138" spans="1:9" ht="11.25" customHeight="1">
      <c r="A138" s="2007" t="s">
        <v>2285</v>
      </c>
      <c r="B138" s="2007" t="s">
        <v>16</v>
      </c>
      <c r="C138" s="2007" t="s">
        <v>2415</v>
      </c>
      <c r="D138" s="2007" t="s">
        <v>2416</v>
      </c>
      <c r="E138" s="2007" t="s">
        <v>2417</v>
      </c>
      <c r="F138" s="2007" t="s">
        <v>2385</v>
      </c>
      <c r="G138" s="2007" t="s">
        <v>22</v>
      </c>
      <c r="H138" s="2007" t="s">
        <v>22</v>
      </c>
      <c r="I138" s="2007" t="s">
        <v>845</v>
      </c>
    </row>
    <row r="139" spans="1:9" ht="11.25" customHeight="1">
      <c r="A139" s="2007" t="s">
        <v>2285</v>
      </c>
      <c r="B139" s="2007" t="s">
        <v>16</v>
      </c>
      <c r="C139" s="2007" t="s">
        <v>2418</v>
      </c>
      <c r="D139" s="2007" t="s">
        <v>2419</v>
      </c>
      <c r="E139" s="2007" t="s">
        <v>2420</v>
      </c>
      <c r="F139" s="2007" t="s">
        <v>2385</v>
      </c>
      <c r="G139" s="2007" t="s">
        <v>2421</v>
      </c>
      <c r="H139" s="2007" t="s">
        <v>22</v>
      </c>
      <c r="I139" s="2007" t="s">
        <v>845</v>
      </c>
    </row>
    <row r="140" spans="1:9" ht="11.25" customHeight="1">
      <c r="A140" s="2007" t="s">
        <v>2285</v>
      </c>
      <c r="B140" s="2007" t="s">
        <v>16</v>
      </c>
      <c r="C140" s="2007" t="s">
        <v>2564</v>
      </c>
      <c r="D140" s="2007" t="s">
        <v>2565</v>
      </c>
      <c r="E140" s="2007" t="s">
        <v>2566</v>
      </c>
      <c r="F140" s="2007" t="s">
        <v>2453</v>
      </c>
      <c r="G140" s="2007" t="s">
        <v>2567</v>
      </c>
      <c r="H140" s="2007" t="s">
        <v>22</v>
      </c>
      <c r="I140" s="2007" t="s">
        <v>845</v>
      </c>
    </row>
    <row r="141" spans="1:9" ht="11.25" customHeight="1">
      <c r="A141" s="2007" t="s">
        <v>2285</v>
      </c>
      <c r="B141" s="2007" t="s">
        <v>16</v>
      </c>
      <c r="C141" s="2007" t="s">
        <v>2568</v>
      </c>
      <c r="D141" s="2007" t="s">
        <v>2569</v>
      </c>
      <c r="E141" s="2007" t="s">
        <v>2570</v>
      </c>
      <c r="F141" s="2007" t="s">
        <v>2370</v>
      </c>
      <c r="G141" s="2007" t="s">
        <v>22</v>
      </c>
      <c r="H141" s="2007" t="s">
        <v>22</v>
      </c>
      <c r="I141" s="2007" t="s">
        <v>845</v>
      </c>
    </row>
    <row r="142" spans="1:9" ht="11.25" customHeight="1">
      <c r="A142" s="2007" t="s">
        <v>2285</v>
      </c>
      <c r="B142" s="2007" t="s">
        <v>16</v>
      </c>
      <c r="C142" s="2007" t="s">
        <v>2429</v>
      </c>
      <c r="D142" s="2007" t="s">
        <v>2430</v>
      </c>
      <c r="E142" s="2007" t="s">
        <v>2431</v>
      </c>
      <c r="F142" s="2007" t="s">
        <v>2297</v>
      </c>
      <c r="G142" s="2007" t="s">
        <v>22</v>
      </c>
      <c r="H142" s="2007" t="s">
        <v>22</v>
      </c>
      <c r="I142" s="2007" t="s">
        <v>845</v>
      </c>
    </row>
    <row r="143" spans="1:9" ht="11.25" customHeight="1">
      <c r="A143" s="2007" t="s">
        <v>2285</v>
      </c>
      <c r="B143" s="2007" t="s">
        <v>16</v>
      </c>
      <c r="C143" s="2007" t="s">
        <v>2435</v>
      </c>
      <c r="D143" s="2007" t="s">
        <v>2436</v>
      </c>
      <c r="E143" s="2007" t="s">
        <v>2437</v>
      </c>
      <c r="F143" s="2007" t="s">
        <v>2438</v>
      </c>
      <c r="G143" s="2007" t="s">
        <v>22</v>
      </c>
      <c r="H143" s="2007" t="s">
        <v>22</v>
      </c>
      <c r="I143" s="2007" t="s">
        <v>845</v>
      </c>
    </row>
    <row r="144" spans="1:9" ht="11.25" customHeight="1">
      <c r="A144" s="2007" t="s">
        <v>2285</v>
      </c>
      <c r="B144" s="2007" t="s">
        <v>16</v>
      </c>
      <c r="C144" s="2007" t="s">
        <v>2443</v>
      </c>
      <c r="D144" s="2007" t="s">
        <v>2444</v>
      </c>
      <c r="E144" s="2007" t="s">
        <v>2445</v>
      </c>
      <c r="F144" s="2007" t="s">
        <v>2385</v>
      </c>
      <c r="G144" s="2007" t="s">
        <v>2446</v>
      </c>
      <c r="H144" s="2007" t="s">
        <v>22</v>
      </c>
      <c r="I144" s="2007" t="s">
        <v>845</v>
      </c>
    </row>
    <row r="145" spans="1:9" ht="11.25" customHeight="1">
      <c r="A145" s="2007" t="s">
        <v>2285</v>
      </c>
      <c r="B145" s="2007" t="s">
        <v>16</v>
      </c>
      <c r="C145" s="2007" t="s">
        <v>2447</v>
      </c>
      <c r="D145" s="2007" t="s">
        <v>2448</v>
      </c>
      <c r="E145" s="2007" t="s">
        <v>2449</v>
      </c>
      <c r="F145" s="2007" t="s">
        <v>2297</v>
      </c>
      <c r="G145" s="2007" t="s">
        <v>22</v>
      </c>
      <c r="H145" s="2007" t="s">
        <v>22</v>
      </c>
      <c r="I145" s="2007" t="s">
        <v>845</v>
      </c>
    </row>
    <row r="146" spans="1:9" ht="11.25" customHeight="1">
      <c r="A146" s="2007" t="s">
        <v>2285</v>
      </c>
      <c r="B146" s="2007" t="s">
        <v>16</v>
      </c>
      <c r="C146" s="2007" t="s">
        <v>2571</v>
      </c>
      <c r="D146" s="2007" t="s">
        <v>2572</v>
      </c>
      <c r="E146" s="2007" t="s">
        <v>2573</v>
      </c>
      <c r="F146" s="2007" t="s">
        <v>50</v>
      </c>
      <c r="G146" s="2007" t="s">
        <v>2574</v>
      </c>
      <c r="H146" s="2007" t="s">
        <v>22</v>
      </c>
      <c r="I146" s="2007" t="s">
        <v>845</v>
      </c>
    </row>
    <row r="147" spans="1:9" ht="11.25" customHeight="1">
      <c r="A147" s="2007" t="s">
        <v>2285</v>
      </c>
      <c r="B147" s="2007" t="s">
        <v>16</v>
      </c>
      <c r="C147" s="2007" t="s">
        <v>2455</v>
      </c>
      <c r="D147" s="2007" t="s">
        <v>2456</v>
      </c>
      <c r="E147" s="2007" t="s">
        <v>2457</v>
      </c>
      <c r="F147" s="2007" t="s">
        <v>2458</v>
      </c>
      <c r="G147" s="2007" t="s">
        <v>2459</v>
      </c>
      <c r="H147" s="2007" t="s">
        <v>22</v>
      </c>
      <c r="I147" s="2007" t="s">
        <v>845</v>
      </c>
    </row>
    <row r="148" spans="1:9" ht="11.25" customHeight="1">
      <c r="A148" s="2007" t="s">
        <v>2285</v>
      </c>
      <c r="B148" s="2007" t="s">
        <v>16</v>
      </c>
      <c r="C148" s="2007" t="s">
        <v>2575</v>
      </c>
      <c r="D148" s="2007" t="s">
        <v>2576</v>
      </c>
      <c r="E148" s="2007" t="s">
        <v>2577</v>
      </c>
      <c r="F148" s="2007" t="s">
        <v>2578</v>
      </c>
      <c r="G148" s="2007" t="s">
        <v>2579</v>
      </c>
      <c r="H148" s="2007" t="s">
        <v>22</v>
      </c>
      <c r="I148" s="2007" t="s">
        <v>845</v>
      </c>
    </row>
    <row r="149" spans="1:9" ht="11.25" customHeight="1">
      <c r="A149" s="2007" t="s">
        <v>2285</v>
      </c>
      <c r="B149" s="2007" t="s">
        <v>16</v>
      </c>
      <c r="C149" s="2007" t="s">
        <v>2460</v>
      </c>
      <c r="D149" s="2007" t="s">
        <v>2461</v>
      </c>
      <c r="E149" s="2007" t="s">
        <v>2462</v>
      </c>
      <c r="F149" s="2007" t="s">
        <v>2463</v>
      </c>
      <c r="G149" s="2007" t="s">
        <v>22</v>
      </c>
      <c r="H149" s="2007" t="s">
        <v>22</v>
      </c>
      <c r="I149" s="2007" t="s">
        <v>845</v>
      </c>
    </row>
    <row r="150" spans="1:9" ht="11.25" customHeight="1">
      <c r="A150" s="2007" t="s">
        <v>2285</v>
      </c>
      <c r="B150" s="2007" t="s">
        <v>16</v>
      </c>
      <c r="C150" s="2007" t="s">
        <v>2580</v>
      </c>
      <c r="D150" s="2007" t="s">
        <v>2581</v>
      </c>
      <c r="E150" s="2007" t="s">
        <v>2582</v>
      </c>
      <c r="F150" s="2007" t="s">
        <v>2583</v>
      </c>
      <c r="G150" s="2007" t="s">
        <v>22</v>
      </c>
      <c r="H150" s="2007" t="s">
        <v>22</v>
      </c>
      <c r="I150" s="2007" t="s">
        <v>845</v>
      </c>
    </row>
    <row r="151" spans="1:9" ht="11.25" customHeight="1">
      <c r="A151" s="2007" t="s">
        <v>2285</v>
      </c>
      <c r="B151" s="2007" t="s">
        <v>16</v>
      </c>
      <c r="C151" s="2007" t="s">
        <v>2584</v>
      </c>
      <c r="D151" s="2007" t="s">
        <v>2585</v>
      </c>
      <c r="E151" s="2007" t="s">
        <v>2586</v>
      </c>
      <c r="F151" s="2007" t="s">
        <v>2583</v>
      </c>
      <c r="G151" s="2007" t="s">
        <v>22</v>
      </c>
      <c r="H151" s="2007" t="s">
        <v>22</v>
      </c>
      <c r="I151" s="2007" t="s">
        <v>845</v>
      </c>
    </row>
    <row r="152" spans="1:9" ht="11.25" customHeight="1">
      <c r="A152" s="2007" t="s">
        <v>2285</v>
      </c>
      <c r="B152" s="2007" t="s">
        <v>16</v>
      </c>
      <c r="C152" s="2007" t="s">
        <v>2587</v>
      </c>
      <c r="D152" s="2007" t="s">
        <v>2588</v>
      </c>
      <c r="E152" s="2007" t="s">
        <v>2589</v>
      </c>
      <c r="F152" s="2007" t="s">
        <v>2578</v>
      </c>
      <c r="G152" s="2007" t="s">
        <v>2590</v>
      </c>
      <c r="H152" s="2007" t="s">
        <v>22</v>
      </c>
      <c r="I152" s="2007" t="s">
        <v>845</v>
      </c>
    </row>
    <row r="153" spans="1:9" ht="11.25" customHeight="1">
      <c r="A153" s="2007" t="s">
        <v>2285</v>
      </c>
      <c r="B153" s="2007" t="s">
        <v>16</v>
      </c>
      <c r="C153" s="2007" t="s">
        <v>2591</v>
      </c>
      <c r="D153" s="2007" t="s">
        <v>2592</v>
      </c>
      <c r="E153" s="2007" t="s">
        <v>2593</v>
      </c>
      <c r="F153" s="2007" t="s">
        <v>2385</v>
      </c>
      <c r="G153" s="2007" t="s">
        <v>2594</v>
      </c>
      <c r="H153" s="2007" t="s">
        <v>22</v>
      </c>
      <c r="I153" s="2007" t="s">
        <v>845</v>
      </c>
    </row>
    <row r="154" spans="1:9" ht="11.25" customHeight="1">
      <c r="A154" s="2007" t="s">
        <v>2285</v>
      </c>
      <c r="B154" s="2007" t="s">
        <v>16</v>
      </c>
      <c r="C154" s="2007" t="s">
        <v>2470</v>
      </c>
      <c r="D154" s="2007" t="s">
        <v>2471</v>
      </c>
      <c r="E154" s="2007" t="s">
        <v>2472</v>
      </c>
      <c r="F154" s="2007" t="s">
        <v>2473</v>
      </c>
      <c r="G154" s="2007" t="s">
        <v>2474</v>
      </c>
      <c r="H154" s="2007" t="s">
        <v>22</v>
      </c>
      <c r="I154" s="2007" t="s">
        <v>845</v>
      </c>
    </row>
    <row r="155" spans="1:9" ht="11.25" customHeight="1">
      <c r="A155" s="2007" t="s">
        <v>2285</v>
      </c>
      <c r="B155" s="2007" t="s">
        <v>16</v>
      </c>
      <c r="C155" s="2007" t="s">
        <v>2595</v>
      </c>
      <c r="D155" s="2007" t="s">
        <v>2596</v>
      </c>
      <c r="E155" s="2007" t="s">
        <v>2597</v>
      </c>
      <c r="F155" s="2007" t="s">
        <v>2453</v>
      </c>
      <c r="G155" s="2007" t="s">
        <v>22</v>
      </c>
      <c r="H155" s="2007" t="s">
        <v>22</v>
      </c>
      <c r="I155" s="2007" t="s">
        <v>845</v>
      </c>
    </row>
    <row r="156" spans="1:9" ht="11.25" customHeight="1">
      <c r="A156" s="2007" t="s">
        <v>2285</v>
      </c>
      <c r="B156" s="2007" t="s">
        <v>16</v>
      </c>
      <c r="C156" s="2007" t="s">
        <v>2598</v>
      </c>
      <c r="D156" s="2007" t="s">
        <v>2599</v>
      </c>
      <c r="E156" s="2007" t="s">
        <v>2600</v>
      </c>
      <c r="F156" s="2007" t="s">
        <v>2500</v>
      </c>
      <c r="G156" s="2007" t="s">
        <v>2601</v>
      </c>
      <c r="H156" s="2007" t="s">
        <v>2602</v>
      </c>
      <c r="I156" s="2007" t="s">
        <v>845</v>
      </c>
    </row>
    <row r="157" spans="1:9" ht="11.25" customHeight="1">
      <c r="A157" s="2007" t="s">
        <v>2285</v>
      </c>
      <c r="B157" s="2007" t="s">
        <v>16</v>
      </c>
      <c r="C157" s="2007" t="s">
        <v>2485</v>
      </c>
      <c r="D157" s="2007" t="s">
        <v>2486</v>
      </c>
      <c r="E157" s="2007" t="s">
        <v>2487</v>
      </c>
      <c r="F157" s="2007" t="s">
        <v>2401</v>
      </c>
      <c r="G157" s="2007" t="s">
        <v>2488</v>
      </c>
      <c r="H157" s="2007" t="s">
        <v>22</v>
      </c>
      <c r="I157" s="2007" t="s">
        <v>845</v>
      </c>
    </row>
    <row r="158" spans="1:9" ht="11.25" customHeight="1">
      <c r="A158" s="2007" t="s">
        <v>2285</v>
      </c>
      <c r="B158" s="2007" t="s">
        <v>16</v>
      </c>
      <c r="C158" s="2007" t="s">
        <v>2603</v>
      </c>
      <c r="D158" s="2007" t="s">
        <v>2604</v>
      </c>
      <c r="E158" s="2007" t="s">
        <v>2605</v>
      </c>
      <c r="F158" s="2007" t="s">
        <v>2297</v>
      </c>
      <c r="G158" s="2007" t="s">
        <v>22</v>
      </c>
      <c r="H158" s="2007" t="s">
        <v>2606</v>
      </c>
      <c r="I158" s="2007" t="s">
        <v>845</v>
      </c>
    </row>
    <row r="159" spans="1:9" ht="11.25" customHeight="1">
      <c r="A159" s="2007" t="s">
        <v>2285</v>
      </c>
      <c r="B159" s="2007" t="s">
        <v>16</v>
      </c>
      <c r="C159" s="2007" t="s">
        <v>2507</v>
      </c>
      <c r="D159" s="2007" t="s">
        <v>2508</v>
      </c>
      <c r="E159" s="2007" t="s">
        <v>2509</v>
      </c>
      <c r="F159" s="2007" t="s">
        <v>2510</v>
      </c>
      <c r="G159" s="2007" t="s">
        <v>2511</v>
      </c>
      <c r="H159" s="2007" t="s">
        <v>22</v>
      </c>
      <c r="I159" s="2007" t="s">
        <v>845</v>
      </c>
    </row>
    <row r="160" spans="1:9" ht="11.25" customHeight="1">
      <c r="A160" s="2007" t="s">
        <v>2285</v>
      </c>
      <c r="B160" s="2007" t="s">
        <v>16</v>
      </c>
      <c r="C160" s="2007" t="s">
        <v>2512</v>
      </c>
      <c r="D160" s="2007" t="s">
        <v>2513</v>
      </c>
      <c r="E160" s="2007" t="s">
        <v>2457</v>
      </c>
      <c r="F160" s="2007" t="s">
        <v>2514</v>
      </c>
      <c r="G160" s="2007" t="s">
        <v>22</v>
      </c>
      <c r="H160" s="2007" t="s">
        <v>22</v>
      </c>
      <c r="I160" s="2007" t="s">
        <v>845</v>
      </c>
    </row>
    <row r="161" spans="1:9" ht="11.25" customHeight="1">
      <c r="A161" s="2007" t="s">
        <v>2285</v>
      </c>
      <c r="B161" s="2007" t="s">
        <v>16</v>
      </c>
      <c r="C161" s="2007" t="s">
        <v>2515</v>
      </c>
      <c r="D161" s="2007" t="s">
        <v>2516</v>
      </c>
      <c r="E161" s="2007" t="s">
        <v>2509</v>
      </c>
      <c r="F161" s="2007" t="s">
        <v>2517</v>
      </c>
      <c r="G161" s="2007" t="s">
        <v>2518</v>
      </c>
      <c r="H161" s="2007" t="s">
        <v>22</v>
      </c>
      <c r="I161" s="2007" t="s">
        <v>845</v>
      </c>
    </row>
    <row r="162" spans="1:9" ht="11.25" customHeight="1">
      <c r="A162" s="2007" t="s">
        <v>2285</v>
      </c>
      <c r="B162" s="2007" t="s">
        <v>16</v>
      </c>
      <c r="C162" s="2007" t="s">
        <v>2519</v>
      </c>
      <c r="D162" s="2007" t="s">
        <v>2520</v>
      </c>
      <c r="E162" s="2007" t="s">
        <v>2521</v>
      </c>
      <c r="F162" s="2007" t="s">
        <v>2522</v>
      </c>
      <c r="G162" s="2007" t="s">
        <v>22</v>
      </c>
      <c r="H162" s="2007" t="s">
        <v>22</v>
      </c>
      <c r="I162" s="2007" t="s">
        <v>845</v>
      </c>
    </row>
    <row r="163" spans="1:9" ht="11.25" customHeight="1">
      <c r="A163" s="2007" t="s">
        <v>2285</v>
      </c>
      <c r="B163" s="2007" t="s">
        <v>16</v>
      </c>
      <c r="C163" s="2007" t="s">
        <v>2531</v>
      </c>
      <c r="D163" s="2007" t="s">
        <v>2532</v>
      </c>
      <c r="E163" s="2007" t="s">
        <v>2533</v>
      </c>
      <c r="F163" s="2007" t="s">
        <v>2463</v>
      </c>
      <c r="G163" s="2007" t="s">
        <v>22</v>
      </c>
      <c r="H163" s="2007" t="s">
        <v>22</v>
      </c>
      <c r="I163" s="2007" t="s">
        <v>845</v>
      </c>
    </row>
    <row r="164" spans="1:9" ht="11.25" customHeight="1">
      <c r="A164" s="2007" t="s">
        <v>2285</v>
      </c>
      <c r="B164" s="2007" t="s">
        <v>16</v>
      </c>
      <c r="C164" s="2007" t="s">
        <v>2607</v>
      </c>
      <c r="D164" s="2007" t="s">
        <v>2608</v>
      </c>
      <c r="E164" s="2007" t="s">
        <v>2609</v>
      </c>
      <c r="F164" s="2007" t="s">
        <v>2522</v>
      </c>
      <c r="G164" s="2007" t="s">
        <v>2610</v>
      </c>
      <c r="H164" s="2007" t="s">
        <v>22</v>
      </c>
      <c r="I164" s="2007" t="s">
        <v>898</v>
      </c>
    </row>
    <row r="165" spans="1:9" ht="11.25" customHeight="1">
      <c r="A165" s="2007" t="s">
        <v>2285</v>
      </c>
      <c r="B165" s="2007" t="s">
        <v>16</v>
      </c>
      <c r="C165" s="2007" t="s">
        <v>2291</v>
      </c>
      <c r="D165" s="2007" t="s">
        <v>2287</v>
      </c>
      <c r="E165" s="2007" t="s">
        <v>2288</v>
      </c>
      <c r="F165" s="2007" t="s">
        <v>2292</v>
      </c>
      <c r="G165" s="2007" t="s">
        <v>2293</v>
      </c>
      <c r="H165" s="2007" t="s">
        <v>22</v>
      </c>
      <c r="I165" s="2007" t="s">
        <v>898</v>
      </c>
    </row>
    <row r="166" spans="1:9" ht="11.25" customHeight="1">
      <c r="A166" s="2007" t="s">
        <v>2285</v>
      </c>
      <c r="B166" s="2007" t="s">
        <v>16</v>
      </c>
      <c r="C166" s="2007" t="s">
        <v>2534</v>
      </c>
      <c r="D166" s="2007" t="s">
        <v>2535</v>
      </c>
      <c r="E166" s="2007" t="s">
        <v>2536</v>
      </c>
      <c r="F166" s="2007" t="s">
        <v>2353</v>
      </c>
      <c r="G166" s="2007" t="s">
        <v>2537</v>
      </c>
      <c r="H166" s="2007" t="s">
        <v>22</v>
      </c>
      <c r="I166" s="2007" t="s">
        <v>898</v>
      </c>
    </row>
    <row r="167" spans="1:9" ht="11.25" customHeight="1">
      <c r="A167" s="2007" t="s">
        <v>2285</v>
      </c>
      <c r="B167" s="2007" t="s">
        <v>16</v>
      </c>
      <c r="C167" s="2007" t="s">
        <v>2294</v>
      </c>
      <c r="D167" s="2007" t="s">
        <v>2295</v>
      </c>
      <c r="E167" s="2007" t="s">
        <v>2296</v>
      </c>
      <c r="F167" s="2007" t="s">
        <v>2297</v>
      </c>
      <c r="G167" s="2007" t="s">
        <v>22</v>
      </c>
      <c r="H167" s="2007" t="s">
        <v>22</v>
      </c>
      <c r="I167" s="2007" t="s">
        <v>898</v>
      </c>
    </row>
    <row r="168" spans="1:9" ht="11.25" customHeight="1">
      <c r="A168" s="2007" t="s">
        <v>2285</v>
      </c>
      <c r="B168" s="2007" t="s">
        <v>16</v>
      </c>
      <c r="C168" s="2007" t="s">
        <v>2538</v>
      </c>
      <c r="D168" s="2007" t="s">
        <v>2539</v>
      </c>
      <c r="E168" s="2007" t="s">
        <v>2540</v>
      </c>
      <c r="F168" s="2007" t="s">
        <v>2297</v>
      </c>
      <c r="G168" s="2007" t="s">
        <v>2541</v>
      </c>
      <c r="H168" s="2007" t="s">
        <v>22</v>
      </c>
      <c r="I168" s="2007" t="s">
        <v>898</v>
      </c>
    </row>
    <row r="169" spans="1:9" ht="11.25" customHeight="1">
      <c r="A169" s="2007" t="s">
        <v>2285</v>
      </c>
      <c r="B169" s="2007" t="s">
        <v>16</v>
      </c>
      <c r="C169" s="2007" t="s">
        <v>2306</v>
      </c>
      <c r="D169" s="2007" t="s">
        <v>2307</v>
      </c>
      <c r="E169" s="2007" t="s">
        <v>2308</v>
      </c>
      <c r="F169" s="2007" t="s">
        <v>2305</v>
      </c>
      <c r="G169" s="2007" t="s">
        <v>2309</v>
      </c>
      <c r="H169" s="2007" t="s">
        <v>22</v>
      </c>
      <c r="I169" s="2007" t="s">
        <v>898</v>
      </c>
    </row>
    <row r="170" spans="1:9" ht="11.25" customHeight="1">
      <c r="A170" s="2007" t="s">
        <v>2285</v>
      </c>
      <c r="B170" s="2007" t="s">
        <v>16</v>
      </c>
      <c r="C170" s="2007" t="s">
        <v>2542</v>
      </c>
      <c r="D170" s="2007" t="s">
        <v>2543</v>
      </c>
      <c r="E170" s="2007" t="s">
        <v>2544</v>
      </c>
      <c r="F170" s="2007" t="s">
        <v>2313</v>
      </c>
      <c r="G170" s="2007" t="s">
        <v>2545</v>
      </c>
      <c r="H170" s="2007" t="s">
        <v>22</v>
      </c>
      <c r="I170" s="2007" t="s">
        <v>898</v>
      </c>
    </row>
    <row r="171" spans="1:9" ht="11.25" customHeight="1">
      <c r="A171" s="2007" t="s">
        <v>2285</v>
      </c>
      <c r="B171" s="2007" t="s">
        <v>16</v>
      </c>
      <c r="C171" s="2007" t="s">
        <v>2317</v>
      </c>
      <c r="D171" s="2007" t="s">
        <v>2318</v>
      </c>
      <c r="E171" s="2007" t="s">
        <v>2319</v>
      </c>
      <c r="F171" s="2007" t="s">
        <v>50</v>
      </c>
      <c r="G171" s="2007" t="s">
        <v>2320</v>
      </c>
      <c r="H171" s="2007" t="s">
        <v>22</v>
      </c>
      <c r="I171" s="2007" t="s">
        <v>898</v>
      </c>
    </row>
    <row r="172" spans="1:9" ht="11.25" customHeight="1">
      <c r="A172" s="2007" t="s">
        <v>2285</v>
      </c>
      <c r="B172" s="2007" t="s">
        <v>16</v>
      </c>
      <c r="C172" s="2007" t="s">
        <v>2328</v>
      </c>
      <c r="D172" s="2007" t="s">
        <v>2329</v>
      </c>
      <c r="E172" s="2007" t="s">
        <v>2330</v>
      </c>
      <c r="F172" s="2007" t="s">
        <v>2331</v>
      </c>
      <c r="G172" s="2007" t="s">
        <v>2332</v>
      </c>
      <c r="H172" s="2007" t="s">
        <v>22</v>
      </c>
      <c r="I172" s="2007" t="s">
        <v>898</v>
      </c>
    </row>
    <row r="173" spans="1:9" ht="11.25" customHeight="1">
      <c r="A173" s="2007" t="s">
        <v>2285</v>
      </c>
      <c r="B173" s="2007" t="s">
        <v>16</v>
      </c>
      <c r="C173" s="2007" t="s">
        <v>2546</v>
      </c>
      <c r="D173" s="2007" t="s">
        <v>2547</v>
      </c>
      <c r="E173" s="2007" t="s">
        <v>2344</v>
      </c>
      <c r="F173" s="2007" t="s">
        <v>2526</v>
      </c>
      <c r="G173" s="2007" t="s">
        <v>2548</v>
      </c>
      <c r="H173" s="2007" t="s">
        <v>22</v>
      </c>
      <c r="I173" s="2007" t="s">
        <v>898</v>
      </c>
    </row>
    <row r="174" spans="1:9" ht="11.25" customHeight="1">
      <c r="A174" s="2007" t="s">
        <v>2285</v>
      </c>
      <c r="B174" s="2007" t="s">
        <v>16</v>
      </c>
      <c r="C174" s="2007" t="s">
        <v>2346</v>
      </c>
      <c r="D174" s="2007" t="s">
        <v>2347</v>
      </c>
      <c r="E174" s="2007" t="s">
        <v>2348</v>
      </c>
      <c r="F174" s="2007" t="s">
        <v>50</v>
      </c>
      <c r="G174" s="2007" t="s">
        <v>2349</v>
      </c>
      <c r="H174" s="2007" t="s">
        <v>22</v>
      </c>
      <c r="I174" s="2007" t="s">
        <v>898</v>
      </c>
    </row>
    <row r="175" spans="1:9" ht="11.25" customHeight="1">
      <c r="A175" s="2007" t="s">
        <v>2285</v>
      </c>
      <c r="B175" s="2007" t="s">
        <v>16</v>
      </c>
      <c r="C175" s="2007" t="s">
        <v>2549</v>
      </c>
      <c r="D175" s="2007" t="s">
        <v>2550</v>
      </c>
      <c r="E175" s="2007" t="s">
        <v>2551</v>
      </c>
      <c r="F175" s="2007" t="s">
        <v>2385</v>
      </c>
      <c r="G175" s="2007" t="s">
        <v>2552</v>
      </c>
      <c r="H175" s="2007" t="s">
        <v>22</v>
      </c>
      <c r="I175" s="2007" t="s">
        <v>898</v>
      </c>
    </row>
    <row r="176" spans="1:9" ht="11.25" customHeight="1">
      <c r="A176" s="2007" t="s">
        <v>2285</v>
      </c>
      <c r="B176" s="2007" t="s">
        <v>16</v>
      </c>
      <c r="C176" s="2007" t="s">
        <v>2357</v>
      </c>
      <c r="D176" s="2007" t="s">
        <v>2358</v>
      </c>
      <c r="E176" s="2007" t="s">
        <v>2359</v>
      </c>
      <c r="F176" s="2007" t="s">
        <v>50</v>
      </c>
      <c r="G176" s="2007" t="s">
        <v>2360</v>
      </c>
      <c r="H176" s="2007" t="s">
        <v>22</v>
      </c>
      <c r="I176" s="2007" t="s">
        <v>898</v>
      </c>
    </row>
    <row r="177" spans="1:9" ht="11.25" customHeight="1">
      <c r="A177" s="2007" t="s">
        <v>2285</v>
      </c>
      <c r="B177" s="2007" t="s">
        <v>16</v>
      </c>
      <c r="C177" s="2007" t="s">
        <v>2361</v>
      </c>
      <c r="D177" s="2007" t="s">
        <v>2362</v>
      </c>
      <c r="E177" s="2007" t="s">
        <v>2363</v>
      </c>
      <c r="F177" s="2007" t="s">
        <v>2364</v>
      </c>
      <c r="G177" s="2007" t="s">
        <v>22</v>
      </c>
      <c r="H177" s="2007" t="s">
        <v>22</v>
      </c>
      <c r="I177" s="2007" t="s">
        <v>898</v>
      </c>
    </row>
    <row r="178" spans="1:9" ht="11.25" customHeight="1">
      <c r="A178" s="2007" t="s">
        <v>2285</v>
      </c>
      <c r="B178" s="2007" t="s">
        <v>16</v>
      </c>
      <c r="C178" s="2007" t="s">
        <v>22</v>
      </c>
      <c r="D178" s="2007" t="s">
        <v>2365</v>
      </c>
      <c r="E178" s="2007" t="s">
        <v>2366</v>
      </c>
      <c r="F178" s="2007" t="s">
        <v>50</v>
      </c>
      <c r="G178" s="2007" t="s">
        <v>22</v>
      </c>
      <c r="H178" s="2007" t="s">
        <v>22</v>
      </c>
      <c r="I178" s="2007" t="s">
        <v>898</v>
      </c>
    </row>
    <row r="179" spans="1:9" ht="11.25" customHeight="1">
      <c r="A179" s="2007" t="s">
        <v>2285</v>
      </c>
      <c r="B179" s="2007" t="s">
        <v>16</v>
      </c>
      <c r="C179" s="2007" t="s">
        <v>2367</v>
      </c>
      <c r="D179" s="2007" t="s">
        <v>2368</v>
      </c>
      <c r="E179" s="2007" t="s">
        <v>2369</v>
      </c>
      <c r="F179" s="2007" t="s">
        <v>2370</v>
      </c>
      <c r="G179" s="2007" t="s">
        <v>22</v>
      </c>
      <c r="H179" s="2007" t="s">
        <v>22</v>
      </c>
      <c r="I179" s="2007" t="s">
        <v>898</v>
      </c>
    </row>
    <row r="180" spans="1:9" ht="11.25" customHeight="1">
      <c r="A180" s="2007" t="s">
        <v>2285</v>
      </c>
      <c r="B180" s="2007" t="s">
        <v>16</v>
      </c>
      <c r="C180" s="2007" t="s">
        <v>2371</v>
      </c>
      <c r="D180" s="2007" t="s">
        <v>2372</v>
      </c>
      <c r="E180" s="2007" t="s">
        <v>2373</v>
      </c>
      <c r="F180" s="2007" t="s">
        <v>2297</v>
      </c>
      <c r="G180" s="2007" t="s">
        <v>22</v>
      </c>
      <c r="H180" s="2007" t="s">
        <v>22</v>
      </c>
      <c r="I180" s="2007" t="s">
        <v>898</v>
      </c>
    </row>
    <row r="181" spans="1:9" ht="11.25" customHeight="1">
      <c r="A181" s="2007" t="s">
        <v>2285</v>
      </c>
      <c r="B181" s="2007" t="s">
        <v>16</v>
      </c>
      <c r="C181" s="2007" t="s">
        <v>2374</v>
      </c>
      <c r="D181" s="2007" t="s">
        <v>2375</v>
      </c>
      <c r="E181" s="2007" t="s">
        <v>2376</v>
      </c>
      <c r="F181" s="2007" t="s">
        <v>2370</v>
      </c>
      <c r="G181" s="2007" t="s">
        <v>2377</v>
      </c>
      <c r="H181" s="2007" t="s">
        <v>22</v>
      </c>
      <c r="I181" s="2007" t="s">
        <v>898</v>
      </c>
    </row>
    <row r="182" spans="1:9" ht="11.25" customHeight="1">
      <c r="A182" s="2007" t="s">
        <v>2285</v>
      </c>
      <c r="B182" s="2007" t="s">
        <v>16</v>
      </c>
      <c r="C182" s="2007" t="s">
        <v>2378</v>
      </c>
      <c r="D182" s="2007" t="s">
        <v>2379</v>
      </c>
      <c r="E182" s="2007" t="s">
        <v>2380</v>
      </c>
      <c r="F182" s="2007" t="s">
        <v>2370</v>
      </c>
      <c r="G182" s="2007" t="s">
        <v>2381</v>
      </c>
      <c r="H182" s="2007" t="s">
        <v>22</v>
      </c>
      <c r="I182" s="2007" t="s">
        <v>898</v>
      </c>
    </row>
    <row r="183" spans="1:9" ht="11.25" customHeight="1">
      <c r="A183" s="2007" t="s">
        <v>2285</v>
      </c>
      <c r="B183" s="2007" t="s">
        <v>16</v>
      </c>
      <c r="C183" s="2007" t="s">
        <v>2382</v>
      </c>
      <c r="D183" s="2007" t="s">
        <v>2383</v>
      </c>
      <c r="E183" s="2007" t="s">
        <v>2384</v>
      </c>
      <c r="F183" s="2007" t="s">
        <v>2385</v>
      </c>
      <c r="G183" s="2007" t="s">
        <v>2386</v>
      </c>
      <c r="H183" s="2007" t="s">
        <v>22</v>
      </c>
      <c r="I183" s="2007" t="s">
        <v>898</v>
      </c>
    </row>
    <row r="184" spans="1:9" ht="11.25" customHeight="1">
      <c r="A184" s="2007" t="s">
        <v>2285</v>
      </c>
      <c r="B184" s="2007" t="s">
        <v>16</v>
      </c>
      <c r="C184" s="2007" t="s">
        <v>2387</v>
      </c>
      <c r="D184" s="2007" t="s">
        <v>2388</v>
      </c>
      <c r="E184" s="2007" t="s">
        <v>2389</v>
      </c>
      <c r="F184" s="2007" t="s">
        <v>2390</v>
      </c>
      <c r="G184" s="2007" t="s">
        <v>22</v>
      </c>
      <c r="H184" s="2007" t="s">
        <v>22</v>
      </c>
      <c r="I184" s="2007" t="s">
        <v>898</v>
      </c>
    </row>
    <row r="185" spans="1:9" ht="11.25" customHeight="1">
      <c r="A185" s="2007" t="s">
        <v>2285</v>
      </c>
      <c r="B185" s="2007" t="s">
        <v>16</v>
      </c>
      <c r="C185" s="2007" t="s">
        <v>2556</v>
      </c>
      <c r="D185" s="2007" t="s">
        <v>2557</v>
      </c>
      <c r="E185" s="2007" t="s">
        <v>2558</v>
      </c>
      <c r="F185" s="2007" t="s">
        <v>2559</v>
      </c>
      <c r="G185" s="2007" t="s">
        <v>22</v>
      </c>
      <c r="H185" s="2007" t="s">
        <v>22</v>
      </c>
      <c r="I185" s="2007" t="s">
        <v>898</v>
      </c>
    </row>
    <row r="186" spans="1:9" ht="11.25" customHeight="1">
      <c r="A186" s="2007" t="s">
        <v>2285</v>
      </c>
      <c r="B186" s="2007" t="s">
        <v>16</v>
      </c>
      <c r="C186" s="2007" t="s">
        <v>2398</v>
      </c>
      <c r="D186" s="2007" t="s">
        <v>2399</v>
      </c>
      <c r="E186" s="2007" t="s">
        <v>2400</v>
      </c>
      <c r="F186" s="2007" t="s">
        <v>2401</v>
      </c>
      <c r="G186" s="2007" t="s">
        <v>22</v>
      </c>
      <c r="H186" s="2007" t="s">
        <v>22</v>
      </c>
      <c r="I186" s="2007" t="s">
        <v>898</v>
      </c>
    </row>
    <row r="187" spans="1:9" ht="11.25" customHeight="1">
      <c r="A187" s="2007" t="s">
        <v>2285</v>
      </c>
      <c r="B187" s="2007" t="s">
        <v>16</v>
      </c>
      <c r="C187" s="2007" t="s">
        <v>2402</v>
      </c>
      <c r="D187" s="2007" t="s">
        <v>2403</v>
      </c>
      <c r="E187" s="2007" t="s">
        <v>2404</v>
      </c>
      <c r="F187" s="2007" t="s">
        <v>2297</v>
      </c>
      <c r="G187" s="2007" t="s">
        <v>22</v>
      </c>
      <c r="H187" s="2007" t="s">
        <v>22</v>
      </c>
      <c r="I187" s="2007" t="s">
        <v>898</v>
      </c>
    </row>
    <row r="188" spans="1:9" ht="11.25" customHeight="1">
      <c r="A188" s="2007" t="s">
        <v>2285</v>
      </c>
      <c r="B188" s="2007" t="s">
        <v>16</v>
      </c>
      <c r="C188" s="2007" t="s">
        <v>2560</v>
      </c>
      <c r="D188" s="2007" t="s">
        <v>2561</v>
      </c>
      <c r="E188" s="2007" t="s">
        <v>2562</v>
      </c>
      <c r="F188" s="2007" t="s">
        <v>2401</v>
      </c>
      <c r="G188" s="2007" t="s">
        <v>2563</v>
      </c>
      <c r="H188" s="2007" t="s">
        <v>22</v>
      </c>
      <c r="I188" s="2007" t="s">
        <v>898</v>
      </c>
    </row>
    <row r="189" spans="1:9" ht="11.25" customHeight="1">
      <c r="A189" s="2007" t="s">
        <v>2285</v>
      </c>
      <c r="B189" s="2007" t="s">
        <v>16</v>
      </c>
      <c r="C189" s="2007" t="s">
        <v>2409</v>
      </c>
      <c r="D189" s="2007" t="s">
        <v>2410</v>
      </c>
      <c r="E189" s="2007" t="s">
        <v>2411</v>
      </c>
      <c r="F189" s="2007" t="s">
        <v>2297</v>
      </c>
      <c r="G189" s="2007" t="s">
        <v>22</v>
      </c>
      <c r="H189" s="2007" t="s">
        <v>22</v>
      </c>
      <c r="I189" s="2007" t="s">
        <v>898</v>
      </c>
    </row>
    <row r="190" spans="1:9" ht="11.25" customHeight="1">
      <c r="A190" s="2007" t="s">
        <v>2285</v>
      </c>
      <c r="B190" s="2007" t="s">
        <v>16</v>
      </c>
      <c r="C190" s="2007" t="s">
        <v>2415</v>
      </c>
      <c r="D190" s="2007" t="s">
        <v>2416</v>
      </c>
      <c r="E190" s="2007" t="s">
        <v>2417</v>
      </c>
      <c r="F190" s="2007" t="s">
        <v>2385</v>
      </c>
      <c r="G190" s="2007" t="s">
        <v>22</v>
      </c>
      <c r="H190" s="2007" t="s">
        <v>22</v>
      </c>
      <c r="I190" s="2007" t="s">
        <v>898</v>
      </c>
    </row>
    <row r="191" spans="1:9" ht="11.25" customHeight="1">
      <c r="A191" s="2007" t="s">
        <v>2285</v>
      </c>
      <c r="B191" s="2007" t="s">
        <v>16</v>
      </c>
      <c r="C191" s="2007" t="s">
        <v>2418</v>
      </c>
      <c r="D191" s="2007" t="s">
        <v>2419</v>
      </c>
      <c r="E191" s="2007" t="s">
        <v>2420</v>
      </c>
      <c r="F191" s="2007" t="s">
        <v>2385</v>
      </c>
      <c r="G191" s="2007" t="s">
        <v>2421</v>
      </c>
      <c r="H191" s="2007" t="s">
        <v>22</v>
      </c>
      <c r="I191" s="2007" t="s">
        <v>898</v>
      </c>
    </row>
    <row r="192" spans="1:9" ht="11.25" customHeight="1">
      <c r="A192" s="2007" t="s">
        <v>2285</v>
      </c>
      <c r="B192" s="2007" t="s">
        <v>16</v>
      </c>
      <c r="C192" s="2007" t="s">
        <v>2564</v>
      </c>
      <c r="D192" s="2007" t="s">
        <v>2565</v>
      </c>
      <c r="E192" s="2007" t="s">
        <v>2566</v>
      </c>
      <c r="F192" s="2007" t="s">
        <v>2453</v>
      </c>
      <c r="G192" s="2007" t="s">
        <v>2567</v>
      </c>
      <c r="H192" s="2007" t="s">
        <v>22</v>
      </c>
      <c r="I192" s="2007" t="s">
        <v>898</v>
      </c>
    </row>
    <row r="193" spans="1:9" ht="11.25" customHeight="1">
      <c r="A193" s="2007" t="s">
        <v>2285</v>
      </c>
      <c r="B193" s="2007" t="s">
        <v>16</v>
      </c>
      <c r="C193" s="2007" t="s">
        <v>2568</v>
      </c>
      <c r="D193" s="2007" t="s">
        <v>2569</v>
      </c>
      <c r="E193" s="2007" t="s">
        <v>2570</v>
      </c>
      <c r="F193" s="2007" t="s">
        <v>2370</v>
      </c>
      <c r="G193" s="2007" t="s">
        <v>22</v>
      </c>
      <c r="H193" s="2007" t="s">
        <v>22</v>
      </c>
      <c r="I193" s="2007" t="s">
        <v>898</v>
      </c>
    </row>
    <row r="194" spans="1:9" ht="11.25" customHeight="1">
      <c r="A194" s="2007" t="s">
        <v>2285</v>
      </c>
      <c r="B194" s="2007" t="s">
        <v>16</v>
      </c>
      <c r="C194" s="2007" t="s">
        <v>2435</v>
      </c>
      <c r="D194" s="2007" t="s">
        <v>2436</v>
      </c>
      <c r="E194" s="2007" t="s">
        <v>2437</v>
      </c>
      <c r="F194" s="2007" t="s">
        <v>2438</v>
      </c>
      <c r="G194" s="2007" t="s">
        <v>22</v>
      </c>
      <c r="H194" s="2007" t="s">
        <v>22</v>
      </c>
      <c r="I194" s="2007" t="s">
        <v>898</v>
      </c>
    </row>
    <row r="195" spans="1:9" ht="11.25" customHeight="1">
      <c r="A195" s="2007" t="s">
        <v>2285</v>
      </c>
      <c r="B195" s="2007" t="s">
        <v>16</v>
      </c>
      <c r="C195" s="2007" t="s">
        <v>2443</v>
      </c>
      <c r="D195" s="2007" t="s">
        <v>2444</v>
      </c>
      <c r="E195" s="2007" t="s">
        <v>2445</v>
      </c>
      <c r="F195" s="2007" t="s">
        <v>2385</v>
      </c>
      <c r="G195" s="2007" t="s">
        <v>2446</v>
      </c>
      <c r="H195" s="2007" t="s">
        <v>22</v>
      </c>
      <c r="I195" s="2007" t="s">
        <v>898</v>
      </c>
    </row>
    <row r="196" spans="1:9" ht="11.25" customHeight="1">
      <c r="A196" s="2007" t="s">
        <v>2285</v>
      </c>
      <c r="B196" s="2007" t="s">
        <v>16</v>
      </c>
      <c r="C196" s="2007" t="s">
        <v>2447</v>
      </c>
      <c r="D196" s="2007" t="s">
        <v>2448</v>
      </c>
      <c r="E196" s="2007" t="s">
        <v>2449</v>
      </c>
      <c r="F196" s="2007" t="s">
        <v>2297</v>
      </c>
      <c r="G196" s="2007" t="s">
        <v>22</v>
      </c>
      <c r="H196" s="2007" t="s">
        <v>22</v>
      </c>
      <c r="I196" s="2007" t="s">
        <v>898</v>
      </c>
    </row>
    <row r="197" spans="1:9" ht="11.25" customHeight="1">
      <c r="A197" s="2007" t="s">
        <v>2285</v>
      </c>
      <c r="B197" s="2007" t="s">
        <v>16</v>
      </c>
      <c r="C197" s="2007" t="s">
        <v>2571</v>
      </c>
      <c r="D197" s="2007" t="s">
        <v>2572</v>
      </c>
      <c r="E197" s="2007" t="s">
        <v>2573</v>
      </c>
      <c r="F197" s="2007" t="s">
        <v>50</v>
      </c>
      <c r="G197" s="2007" t="s">
        <v>2574</v>
      </c>
      <c r="H197" s="2007" t="s">
        <v>22</v>
      </c>
      <c r="I197" s="2007" t="s">
        <v>898</v>
      </c>
    </row>
    <row r="198" spans="1:9" ht="11.25" customHeight="1">
      <c r="A198" s="2007" t="s">
        <v>2285</v>
      </c>
      <c r="B198" s="2007" t="s">
        <v>16</v>
      </c>
      <c r="C198" s="2007" t="s">
        <v>2455</v>
      </c>
      <c r="D198" s="2007" t="s">
        <v>2456</v>
      </c>
      <c r="E198" s="2007" t="s">
        <v>2457</v>
      </c>
      <c r="F198" s="2007" t="s">
        <v>2458</v>
      </c>
      <c r="G198" s="2007" t="s">
        <v>2459</v>
      </c>
      <c r="H198" s="2007" t="s">
        <v>22</v>
      </c>
      <c r="I198" s="2007" t="s">
        <v>898</v>
      </c>
    </row>
    <row r="199" spans="1:9" ht="11.25" customHeight="1">
      <c r="A199" s="2007" t="s">
        <v>2285</v>
      </c>
      <c r="B199" s="2007" t="s">
        <v>16</v>
      </c>
      <c r="C199" s="2007" t="s">
        <v>2460</v>
      </c>
      <c r="D199" s="2007" t="s">
        <v>2461</v>
      </c>
      <c r="E199" s="2007" t="s">
        <v>2462</v>
      </c>
      <c r="F199" s="2007" t="s">
        <v>2463</v>
      </c>
      <c r="G199" s="2007" t="s">
        <v>22</v>
      </c>
      <c r="H199" s="2007" t="s">
        <v>22</v>
      </c>
      <c r="I199" s="2007" t="s">
        <v>898</v>
      </c>
    </row>
    <row r="200" spans="1:9" ht="11.25" customHeight="1">
      <c r="A200" s="2007" t="s">
        <v>2285</v>
      </c>
      <c r="B200" s="2007" t="s">
        <v>16</v>
      </c>
      <c r="C200" s="2007" t="s">
        <v>2580</v>
      </c>
      <c r="D200" s="2007" t="s">
        <v>2581</v>
      </c>
      <c r="E200" s="2007" t="s">
        <v>2582</v>
      </c>
      <c r="F200" s="2007" t="s">
        <v>2583</v>
      </c>
      <c r="G200" s="2007" t="s">
        <v>22</v>
      </c>
      <c r="H200" s="2007" t="s">
        <v>22</v>
      </c>
      <c r="I200" s="2007" t="s">
        <v>898</v>
      </c>
    </row>
    <row r="201" spans="1:9" ht="11.25" customHeight="1">
      <c r="A201" s="2007" t="s">
        <v>2285</v>
      </c>
      <c r="B201" s="2007" t="s">
        <v>16</v>
      </c>
      <c r="C201" s="2007" t="s">
        <v>2584</v>
      </c>
      <c r="D201" s="2007" t="s">
        <v>2585</v>
      </c>
      <c r="E201" s="2007" t="s">
        <v>2586</v>
      </c>
      <c r="F201" s="2007" t="s">
        <v>2583</v>
      </c>
      <c r="G201" s="2007" t="s">
        <v>22</v>
      </c>
      <c r="H201" s="2007" t="s">
        <v>22</v>
      </c>
      <c r="I201" s="2007" t="s">
        <v>898</v>
      </c>
    </row>
    <row r="202" spans="1:9" ht="11.25" customHeight="1">
      <c r="A202" s="2007" t="s">
        <v>2285</v>
      </c>
      <c r="B202" s="2007" t="s">
        <v>16</v>
      </c>
      <c r="C202" s="2007" t="s">
        <v>2587</v>
      </c>
      <c r="D202" s="2007" t="s">
        <v>2588</v>
      </c>
      <c r="E202" s="2007" t="s">
        <v>2589</v>
      </c>
      <c r="F202" s="2007" t="s">
        <v>2578</v>
      </c>
      <c r="G202" s="2007" t="s">
        <v>2590</v>
      </c>
      <c r="H202" s="2007" t="s">
        <v>22</v>
      </c>
      <c r="I202" s="2007" t="s">
        <v>898</v>
      </c>
    </row>
    <row r="203" spans="1:9" ht="11.25" customHeight="1">
      <c r="A203" s="2007" t="s">
        <v>2285</v>
      </c>
      <c r="B203" s="2007" t="s">
        <v>16</v>
      </c>
      <c r="C203" s="2007" t="s">
        <v>2591</v>
      </c>
      <c r="D203" s="2007" t="s">
        <v>2592</v>
      </c>
      <c r="E203" s="2007" t="s">
        <v>2593</v>
      </c>
      <c r="F203" s="2007" t="s">
        <v>2385</v>
      </c>
      <c r="G203" s="2007" t="s">
        <v>2594</v>
      </c>
      <c r="H203" s="2007" t="s">
        <v>22</v>
      </c>
      <c r="I203" s="2007" t="s">
        <v>898</v>
      </c>
    </row>
    <row r="204" spans="1:9" ht="11.25" customHeight="1">
      <c r="A204" s="2007" t="s">
        <v>2285</v>
      </c>
      <c r="B204" s="2007" t="s">
        <v>16</v>
      </c>
      <c r="C204" s="2007" t="s">
        <v>2470</v>
      </c>
      <c r="D204" s="2007" t="s">
        <v>2471</v>
      </c>
      <c r="E204" s="2007" t="s">
        <v>2472</v>
      </c>
      <c r="F204" s="2007" t="s">
        <v>2473</v>
      </c>
      <c r="G204" s="2007" t="s">
        <v>2474</v>
      </c>
      <c r="H204" s="2007" t="s">
        <v>22</v>
      </c>
      <c r="I204" s="2007" t="s">
        <v>898</v>
      </c>
    </row>
    <row r="205" spans="1:9" ht="11.25" customHeight="1">
      <c r="A205" s="2007" t="s">
        <v>2285</v>
      </c>
      <c r="B205" s="2007" t="s">
        <v>16</v>
      </c>
      <c r="C205" s="2007" t="s">
        <v>2595</v>
      </c>
      <c r="D205" s="2007" t="s">
        <v>2596</v>
      </c>
      <c r="E205" s="2007" t="s">
        <v>2597</v>
      </c>
      <c r="F205" s="2007" t="s">
        <v>2453</v>
      </c>
      <c r="G205" s="2007" t="s">
        <v>22</v>
      </c>
      <c r="H205" s="2007" t="s">
        <v>22</v>
      </c>
      <c r="I205" s="2007" t="s">
        <v>898</v>
      </c>
    </row>
    <row r="206" spans="1:9" ht="11.25" customHeight="1">
      <c r="A206" s="2007" t="s">
        <v>2285</v>
      </c>
      <c r="B206" s="2007" t="s">
        <v>16</v>
      </c>
      <c r="C206" s="2007" t="s">
        <v>2598</v>
      </c>
      <c r="D206" s="2007" t="s">
        <v>2599</v>
      </c>
      <c r="E206" s="2007" t="s">
        <v>2600</v>
      </c>
      <c r="F206" s="2007" t="s">
        <v>2500</v>
      </c>
      <c r="G206" s="2007" t="s">
        <v>2601</v>
      </c>
      <c r="H206" s="2007" t="s">
        <v>2602</v>
      </c>
      <c r="I206" s="2007" t="s">
        <v>898</v>
      </c>
    </row>
    <row r="207" spans="1:9" ht="11.25" customHeight="1">
      <c r="A207" s="2007" t="s">
        <v>2285</v>
      </c>
      <c r="B207" s="2007" t="s">
        <v>16</v>
      </c>
      <c r="C207" s="2007" t="s">
        <v>2485</v>
      </c>
      <c r="D207" s="2007" t="s">
        <v>2486</v>
      </c>
      <c r="E207" s="2007" t="s">
        <v>2487</v>
      </c>
      <c r="F207" s="2007" t="s">
        <v>2401</v>
      </c>
      <c r="G207" s="2007" t="s">
        <v>2488</v>
      </c>
      <c r="H207" s="2007" t="s">
        <v>22</v>
      </c>
      <c r="I207" s="2007" t="s">
        <v>898</v>
      </c>
    </row>
    <row r="208" spans="1:9" ht="11.25" customHeight="1">
      <c r="A208" s="2007" t="s">
        <v>2285</v>
      </c>
      <c r="B208" s="2007" t="s">
        <v>16</v>
      </c>
      <c r="C208" s="2007" t="s">
        <v>2603</v>
      </c>
      <c r="D208" s="2007" t="s">
        <v>2604</v>
      </c>
      <c r="E208" s="2007" t="s">
        <v>2605</v>
      </c>
      <c r="F208" s="2007" t="s">
        <v>2297</v>
      </c>
      <c r="G208" s="2007" t="s">
        <v>22</v>
      </c>
      <c r="H208" s="2007" t="s">
        <v>2606</v>
      </c>
      <c r="I208" s="2007" t="s">
        <v>898</v>
      </c>
    </row>
    <row r="209" spans="1:9" ht="11.25" customHeight="1">
      <c r="A209" s="2007" t="s">
        <v>2285</v>
      </c>
      <c r="B209" s="2007" t="s">
        <v>16</v>
      </c>
      <c r="C209" s="2007" t="s">
        <v>2611</v>
      </c>
      <c r="D209" s="2007" t="s">
        <v>2612</v>
      </c>
      <c r="E209" s="2007" t="s">
        <v>2613</v>
      </c>
      <c r="F209" s="2007" t="s">
        <v>2614</v>
      </c>
      <c r="G209" s="2007" t="s">
        <v>2615</v>
      </c>
      <c r="H209" s="2007" t="s">
        <v>22</v>
      </c>
      <c r="I209" s="2007" t="s">
        <v>898</v>
      </c>
    </row>
    <row r="210" spans="1:9" ht="11.25" customHeight="1">
      <c r="A210" s="2007" t="s">
        <v>2285</v>
      </c>
      <c r="B210" s="2007" t="s">
        <v>16</v>
      </c>
      <c r="C210" s="2007" t="s">
        <v>2507</v>
      </c>
      <c r="D210" s="2007" t="s">
        <v>2508</v>
      </c>
      <c r="E210" s="2007" t="s">
        <v>2509</v>
      </c>
      <c r="F210" s="2007" t="s">
        <v>2510</v>
      </c>
      <c r="G210" s="2007" t="s">
        <v>2511</v>
      </c>
      <c r="H210" s="2007" t="s">
        <v>22</v>
      </c>
      <c r="I210" s="2007" t="s">
        <v>898</v>
      </c>
    </row>
    <row r="211" spans="1:9" ht="11.25" customHeight="1">
      <c r="A211" s="2007" t="s">
        <v>2285</v>
      </c>
      <c r="B211" s="2007" t="s">
        <v>16</v>
      </c>
      <c r="C211" s="2007" t="s">
        <v>2515</v>
      </c>
      <c r="D211" s="2007" t="s">
        <v>2516</v>
      </c>
      <c r="E211" s="2007" t="s">
        <v>2509</v>
      </c>
      <c r="F211" s="2007" t="s">
        <v>2517</v>
      </c>
      <c r="G211" s="2007" t="s">
        <v>2518</v>
      </c>
      <c r="H211" s="2007" t="s">
        <v>22</v>
      </c>
      <c r="I211" s="2007" t="s">
        <v>898</v>
      </c>
    </row>
    <row r="212" spans="1:9" ht="11.25" customHeight="1">
      <c r="A212" s="2007" t="s">
        <v>2285</v>
      </c>
      <c r="B212" s="2007" t="s">
        <v>16</v>
      </c>
      <c r="C212" s="2007" t="s">
        <v>2519</v>
      </c>
      <c r="D212" s="2007" t="s">
        <v>2520</v>
      </c>
      <c r="E212" s="2007" t="s">
        <v>2521</v>
      </c>
      <c r="F212" s="2007" t="s">
        <v>2522</v>
      </c>
      <c r="G212" s="2007" t="s">
        <v>22</v>
      </c>
      <c r="H212" s="2007" t="s">
        <v>22</v>
      </c>
      <c r="I212" s="2007" t="s">
        <v>898</v>
      </c>
    </row>
    <row r="213" spans="1:9" ht="11.25" customHeight="1">
      <c r="A213" s="2007" t="s">
        <v>2285</v>
      </c>
      <c r="B213" s="2007" t="s">
        <v>16</v>
      </c>
      <c r="C213" s="2007" t="s">
        <v>2616</v>
      </c>
      <c r="D213" s="2007" t="s">
        <v>2617</v>
      </c>
      <c r="E213" s="2007" t="s">
        <v>2618</v>
      </c>
      <c r="F213" s="2007" t="s">
        <v>2619</v>
      </c>
      <c r="G213" s="2007" t="s">
        <v>22</v>
      </c>
      <c r="H213" s="2007" t="s">
        <v>22</v>
      </c>
      <c r="I213" s="2007" t="s">
        <v>898</v>
      </c>
    </row>
    <row r="214" spans="1:9" ht="11.25" customHeight="1">
      <c r="A214" s="2007" t="s">
        <v>2285</v>
      </c>
      <c r="B214" s="2007" t="s">
        <v>16</v>
      </c>
      <c r="C214" s="2007" t="s">
        <v>2531</v>
      </c>
      <c r="D214" s="2007" t="s">
        <v>2532</v>
      </c>
      <c r="E214" s="2007" t="s">
        <v>2533</v>
      </c>
      <c r="F214" s="2007" t="s">
        <v>2463</v>
      </c>
      <c r="G214" s="2007" t="s">
        <v>22</v>
      </c>
      <c r="H214" s="2007" t="s">
        <v>22</v>
      </c>
      <c r="I214" s="2007" t="s">
        <v>898</v>
      </c>
    </row>
    <row r="215" spans="1:9" ht="11.25" customHeight="1">
      <c r="A215" s="2007" t="s">
        <v>2285</v>
      </c>
      <c r="B215" s="2007" t="s">
        <v>16</v>
      </c>
      <c r="C215" s="2007" t="s">
        <v>2298</v>
      </c>
      <c r="D215" s="2007" t="s">
        <v>2299</v>
      </c>
      <c r="E215" s="2007" t="s">
        <v>2300</v>
      </c>
      <c r="F215" s="2007" t="s">
        <v>50</v>
      </c>
      <c r="G215" s="2007" t="s">
        <v>2301</v>
      </c>
      <c r="H215" s="2007" t="s">
        <v>22</v>
      </c>
      <c r="I215" s="2007" t="s">
        <v>1664</v>
      </c>
    </row>
    <row r="216" spans="1:9" ht="11.25" customHeight="1">
      <c r="A216" s="2007" t="s">
        <v>2285</v>
      </c>
      <c r="B216" s="2007" t="s">
        <v>16</v>
      </c>
      <c r="C216" s="2007" t="s">
        <v>22</v>
      </c>
      <c r="D216" s="2007" t="s">
        <v>2365</v>
      </c>
      <c r="E216" s="2007" t="s">
        <v>2366</v>
      </c>
      <c r="F216" s="2007" t="s">
        <v>50</v>
      </c>
      <c r="G216" s="2007" t="s">
        <v>22</v>
      </c>
      <c r="H216" s="2007" t="s">
        <v>22</v>
      </c>
      <c r="I216" s="2007" t="s">
        <v>1664</v>
      </c>
    </row>
    <row r="217" spans="1:9" ht="11.25" customHeight="1">
      <c r="A217" s="2007" t="s">
        <v>2285</v>
      </c>
      <c r="B217" s="2007" t="s">
        <v>16</v>
      </c>
      <c r="C217" s="2007" t="s">
        <v>2620</v>
      </c>
      <c r="D217" s="2007" t="s">
        <v>2621</v>
      </c>
      <c r="E217" s="2007" t="s">
        <v>2622</v>
      </c>
      <c r="F217" s="2007" t="s">
        <v>2313</v>
      </c>
      <c r="G217" s="2007" t="s">
        <v>22</v>
      </c>
      <c r="H217" s="2007" t="s">
        <v>22</v>
      </c>
      <c r="I217" s="2007" t="s">
        <v>1664</v>
      </c>
    </row>
    <row r="218" spans="1:9" ht="11.25" customHeight="1">
      <c r="A218" s="2007" t="s">
        <v>2285</v>
      </c>
      <c r="B218" s="2007" t="s">
        <v>16</v>
      </c>
      <c r="C218" s="2007" t="s">
        <v>2391</v>
      </c>
      <c r="D218" s="2007" t="s">
        <v>2392</v>
      </c>
      <c r="E218" s="2007" t="s">
        <v>2393</v>
      </c>
      <c r="F218" s="2007" t="s">
        <v>2331</v>
      </c>
      <c r="G218" s="2007" t="s">
        <v>22</v>
      </c>
      <c r="H218" s="2007" t="s">
        <v>22</v>
      </c>
      <c r="I218" s="2007" t="s">
        <v>1664</v>
      </c>
    </row>
    <row r="219" spans="1:9" ht="11.25" customHeight="1">
      <c r="A219" s="2007" t="s">
        <v>2285</v>
      </c>
      <c r="B219" s="2007" t="s">
        <v>16</v>
      </c>
      <c r="C219" s="2007" t="s">
        <v>2450</v>
      </c>
      <c r="D219" s="2007" t="s">
        <v>2451</v>
      </c>
      <c r="E219" s="2007" t="s">
        <v>2452</v>
      </c>
      <c r="F219" s="2007" t="s">
        <v>2453</v>
      </c>
      <c r="G219" s="2007" t="s">
        <v>2454</v>
      </c>
      <c r="H219" s="2007" t="s">
        <v>22</v>
      </c>
      <c r="I219" s="2007" t="s">
        <v>1664</v>
      </c>
    </row>
    <row r="220" spans="1:9" ht="11.25" customHeight="1">
      <c r="A220" s="2007" t="s">
        <v>2285</v>
      </c>
      <c r="B220" s="2007" t="s">
        <v>16</v>
      </c>
      <c r="C220" s="2007" t="s">
        <v>2623</v>
      </c>
      <c r="D220" s="2007" t="s">
        <v>2624</v>
      </c>
      <c r="E220" s="2007" t="s">
        <v>2625</v>
      </c>
      <c r="F220" s="2007" t="s">
        <v>2526</v>
      </c>
      <c r="G220" s="2007" t="s">
        <v>22</v>
      </c>
      <c r="H220" s="2007" t="s">
        <v>22</v>
      </c>
      <c r="I220" s="2007" t="s">
        <v>1664</v>
      </c>
    </row>
    <row r="221" spans="1:9" ht="11.25" customHeight="1">
      <c r="A221" s="2007" t="s">
        <v>2285</v>
      </c>
      <c r="B221" s="2007" t="s">
        <v>16</v>
      </c>
      <c r="C221" s="2007" t="s">
        <v>2626</v>
      </c>
      <c r="D221" s="2007" t="s">
        <v>2627</v>
      </c>
      <c r="E221" s="2007" t="s">
        <v>2628</v>
      </c>
      <c r="F221" s="2007" t="s">
        <v>2385</v>
      </c>
      <c r="G221" s="2007" t="s">
        <v>22</v>
      </c>
      <c r="H221" s="2007" t="s">
        <v>22</v>
      </c>
      <c r="I221" s="2007" t="s">
        <v>1664</v>
      </c>
    </row>
    <row r="222" spans="1:9" ht="11.25" customHeight="1">
      <c r="A222" s="2007" t="s">
        <v>2285</v>
      </c>
      <c r="B222" s="2007" t="s">
        <v>16</v>
      </c>
      <c r="C222" s="2007" t="s">
        <v>2629</v>
      </c>
      <c r="D222" s="2007" t="s">
        <v>2630</v>
      </c>
      <c r="E222" s="2007" t="s">
        <v>2631</v>
      </c>
      <c r="F222" s="2007" t="s">
        <v>2401</v>
      </c>
      <c r="G222" s="2007" t="s">
        <v>22</v>
      </c>
      <c r="H222" s="2007" t="s">
        <v>22</v>
      </c>
      <c r="I222" s="2007" t="s">
        <v>1664</v>
      </c>
    </row>
    <row r="223" spans="1:9" ht="11.25" customHeight="1">
      <c r="A223" s="2007" t="s">
        <v>2285</v>
      </c>
      <c r="B223" s="2007" t="s">
        <v>16</v>
      </c>
      <c r="C223" s="2007" t="s">
        <v>2632</v>
      </c>
      <c r="D223" s="2007" t="s">
        <v>2633</v>
      </c>
      <c r="E223" s="2007" t="s">
        <v>2634</v>
      </c>
      <c r="F223" s="2007" t="s">
        <v>2438</v>
      </c>
      <c r="G223" s="2007" t="s">
        <v>22</v>
      </c>
      <c r="H223" s="2007" t="s">
        <v>22</v>
      </c>
      <c r="I223" s="2007" t="s">
        <v>1664</v>
      </c>
    </row>
    <row r="224" spans="1:9" ht="11.25" customHeight="1">
      <c r="A224" s="2007" t="s">
        <v>2285</v>
      </c>
      <c r="B224" s="2007" t="s">
        <v>16</v>
      </c>
      <c r="C224" s="2007" t="s">
        <v>2635</v>
      </c>
      <c r="D224" s="2007" t="s">
        <v>2636</v>
      </c>
      <c r="E224" s="2007" t="s">
        <v>2637</v>
      </c>
      <c r="F224" s="2007" t="s">
        <v>50</v>
      </c>
      <c r="G224" s="2007" t="s">
        <v>22</v>
      </c>
      <c r="H224" s="2007" t="s">
        <v>22</v>
      </c>
      <c r="I224" s="2007" t="s">
        <v>1664</v>
      </c>
    </row>
    <row r="225" spans="1:9" ht="11.25" customHeight="1">
      <c r="A225" s="2007" t="s">
        <v>2285</v>
      </c>
      <c r="B225" s="2007" t="s">
        <v>16</v>
      </c>
      <c r="C225" s="2007" t="s">
        <v>2638</v>
      </c>
      <c r="D225" s="2007" t="s">
        <v>2639</v>
      </c>
      <c r="E225" s="2007" t="s">
        <v>2640</v>
      </c>
      <c r="F225" s="2007" t="s">
        <v>2331</v>
      </c>
      <c r="G225" s="2007" t="s">
        <v>22</v>
      </c>
      <c r="H225" s="2007" t="s">
        <v>22</v>
      </c>
      <c r="I225" s="2007" t="s">
        <v>1664</v>
      </c>
    </row>
    <row r="226" spans="1:9" ht="11.25" customHeight="1">
      <c r="A226" s="2007" t="s">
        <v>2285</v>
      </c>
      <c r="B226" s="2007" t="s">
        <v>16</v>
      </c>
      <c r="C226" s="2007" t="s">
        <v>2641</v>
      </c>
      <c r="D226" s="2007" t="s">
        <v>2642</v>
      </c>
      <c r="E226" s="2007" t="s">
        <v>2643</v>
      </c>
      <c r="F226" s="2007" t="s">
        <v>2340</v>
      </c>
      <c r="G226" s="2007" t="s">
        <v>22</v>
      </c>
      <c r="H226" s="2007" t="s">
        <v>22</v>
      </c>
      <c r="I226" s="2007" t="s">
        <v>1664</v>
      </c>
    </row>
    <row r="227" spans="1:9" ht="11.25" customHeight="1">
      <c r="A227" s="2007" t="s">
        <v>2285</v>
      </c>
      <c r="B227" s="2007" t="s">
        <v>16</v>
      </c>
      <c r="C227" s="2007" t="s">
        <v>2644</v>
      </c>
      <c r="D227" s="2007" t="s">
        <v>2645</v>
      </c>
      <c r="E227" s="2007" t="s">
        <v>2646</v>
      </c>
      <c r="F227" s="2007" t="s">
        <v>2647</v>
      </c>
      <c r="G227" s="2007" t="s">
        <v>22</v>
      </c>
      <c r="H227" s="2007" t="s">
        <v>22</v>
      </c>
      <c r="I227" s="2007" t="s">
        <v>1664</v>
      </c>
    </row>
    <row r="228" spans="1:9" ht="11.25" customHeight="1">
      <c r="A228" s="2007" t="s">
        <v>2285</v>
      </c>
      <c r="B228" s="2007" t="s">
        <v>16</v>
      </c>
      <c r="C228" s="2007" t="s">
        <v>2648</v>
      </c>
      <c r="D228" s="2007" t="s">
        <v>2649</v>
      </c>
      <c r="E228" s="2007" t="s">
        <v>2650</v>
      </c>
      <c r="F228" s="2007" t="s">
        <v>2370</v>
      </c>
      <c r="G228" s="2007" t="s">
        <v>22</v>
      </c>
      <c r="H228" s="2007" t="s">
        <v>22</v>
      </c>
      <c r="I228" s="2007" t="s">
        <v>1664</v>
      </c>
    </row>
    <row r="229" spans="1:9" ht="11.25" customHeight="1">
      <c r="A229" s="2007" t="s">
        <v>2285</v>
      </c>
      <c r="B229" s="2007" t="s">
        <v>16</v>
      </c>
      <c r="C229" s="2007" t="s">
        <v>2651</v>
      </c>
      <c r="D229" s="2007" t="s">
        <v>2652</v>
      </c>
      <c r="E229" s="2007" t="s">
        <v>2653</v>
      </c>
      <c r="F229" s="2007" t="s">
        <v>2390</v>
      </c>
      <c r="G229" s="2007" t="s">
        <v>2654</v>
      </c>
      <c r="H229" s="2007" t="s">
        <v>22</v>
      </c>
      <c r="I229" s="2007" t="s">
        <v>1664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7"/>
  <sheetViews>
    <sheetView showGridLines="0" workbookViewId="0"/>
  </sheetViews>
  <sheetFormatPr defaultRowHeight="11.25" customHeight="1"/>
  <cols>
    <col min="1" max="1" width="9.140625" style="2410"/>
  </cols>
  <sheetData>
    <row r="1" spans="1:7" ht="11.25" customHeight="1">
      <c r="A1" s="309" t="s">
        <v>2655</v>
      </c>
      <c r="B1" s="3" t="s">
        <v>2656</v>
      </c>
      <c r="C1" s="3" t="s">
        <v>2657</v>
      </c>
      <c r="D1" s="3" t="s">
        <v>2658</v>
      </c>
      <c r="E1" s="2" t="s">
        <v>2659</v>
      </c>
      <c r="F1" s="2" t="s">
        <v>2660</v>
      </c>
      <c r="G1" s="2" t="s">
        <v>2661</v>
      </c>
    </row>
    <row r="2" spans="1:7" ht="11.25" customHeight="1">
      <c r="A2" s="309" t="s">
        <v>16</v>
      </c>
      <c r="B2" t="s">
        <v>2662</v>
      </c>
      <c r="C2" t="s">
        <v>2663</v>
      </c>
      <c r="D2" t="s">
        <v>2662</v>
      </c>
      <c r="E2" t="s">
        <v>2663</v>
      </c>
      <c r="F2" t="s">
        <v>2664</v>
      </c>
      <c r="G2" t="s">
        <v>102</v>
      </c>
    </row>
    <row r="3" spans="1:7" ht="11.25" customHeight="1">
      <c r="A3" s="309" t="s">
        <v>16</v>
      </c>
      <c r="B3" t="s">
        <v>2665</v>
      </c>
      <c r="C3" t="s">
        <v>2666</v>
      </c>
      <c r="D3" t="s">
        <v>2665</v>
      </c>
      <c r="E3" t="s">
        <v>2666</v>
      </c>
      <c r="F3" t="s">
        <v>2664</v>
      </c>
      <c r="G3" t="s">
        <v>103</v>
      </c>
    </row>
    <row r="4" spans="1:7" ht="11.25" customHeight="1">
      <c r="A4" s="309" t="s">
        <v>16</v>
      </c>
      <c r="B4" t="s">
        <v>2667</v>
      </c>
      <c r="C4" t="s">
        <v>2668</v>
      </c>
      <c r="D4" t="s">
        <v>2667</v>
      </c>
      <c r="E4" t="s">
        <v>2668</v>
      </c>
      <c r="F4" t="s">
        <v>2664</v>
      </c>
      <c r="G4" t="s">
        <v>86</v>
      </c>
    </row>
    <row r="5" spans="1:7" ht="11.25" customHeight="1">
      <c r="A5" s="309" t="s">
        <v>16</v>
      </c>
      <c r="B5" t="s">
        <v>2669</v>
      </c>
      <c r="C5" t="s">
        <v>2670</v>
      </c>
      <c r="D5" t="s">
        <v>2669</v>
      </c>
      <c r="E5" t="s">
        <v>2670</v>
      </c>
      <c r="F5" t="s">
        <v>2664</v>
      </c>
      <c r="G5" t="s">
        <v>87</v>
      </c>
    </row>
    <row r="6" spans="1:7" ht="11.25" customHeight="1">
      <c r="A6" s="309" t="s">
        <v>16</v>
      </c>
      <c r="B6" t="s">
        <v>2671</v>
      </c>
      <c r="C6" t="s">
        <v>2672</v>
      </c>
      <c r="D6" t="s">
        <v>2671</v>
      </c>
      <c r="E6" t="s">
        <v>2672</v>
      </c>
      <c r="F6" t="s">
        <v>2664</v>
      </c>
      <c r="G6" t="s">
        <v>104</v>
      </c>
    </row>
    <row r="7" spans="1:7" ht="11.25" customHeight="1">
      <c r="A7" s="309" t="s">
        <v>16</v>
      </c>
      <c r="B7" t="s">
        <v>2673</v>
      </c>
      <c r="C7" t="s">
        <v>2674</v>
      </c>
      <c r="D7" t="s">
        <v>2675</v>
      </c>
      <c r="E7" t="s">
        <v>2676</v>
      </c>
      <c r="F7" t="s">
        <v>2677</v>
      </c>
      <c r="G7" t="s">
        <v>88</v>
      </c>
    </row>
    <row r="8" spans="1:7" ht="11.25" customHeight="1">
      <c r="A8" s="309" t="s">
        <v>16</v>
      </c>
      <c r="B8" t="s">
        <v>2673</v>
      </c>
      <c r="C8" t="s">
        <v>2674</v>
      </c>
      <c r="D8" t="s">
        <v>2678</v>
      </c>
      <c r="E8" t="s">
        <v>2679</v>
      </c>
      <c r="F8" t="s">
        <v>2680</v>
      </c>
      <c r="G8" t="s">
        <v>89</v>
      </c>
    </row>
    <row r="9" spans="1:7" ht="11.25" customHeight="1">
      <c r="A9" s="309" t="s">
        <v>16</v>
      </c>
      <c r="B9" t="s">
        <v>2673</v>
      </c>
      <c r="C9" t="s">
        <v>2674</v>
      </c>
      <c r="D9" t="s">
        <v>2681</v>
      </c>
      <c r="E9" t="s">
        <v>2682</v>
      </c>
      <c r="F9" t="s">
        <v>2677</v>
      </c>
      <c r="G9" t="s">
        <v>105</v>
      </c>
    </row>
    <row r="10" spans="1:7" ht="11.25" customHeight="1">
      <c r="A10" s="309" t="s">
        <v>16</v>
      </c>
      <c r="B10" t="s">
        <v>2673</v>
      </c>
      <c r="C10" t="s">
        <v>2674</v>
      </c>
      <c r="D10" t="s">
        <v>2673</v>
      </c>
      <c r="E10" t="s">
        <v>2674</v>
      </c>
      <c r="F10" t="s">
        <v>2683</v>
      </c>
      <c r="G10" t="s">
        <v>141</v>
      </c>
    </row>
    <row r="11" spans="1:7" ht="11.25" customHeight="1">
      <c r="A11" s="309" t="s">
        <v>16</v>
      </c>
      <c r="B11" t="s">
        <v>2673</v>
      </c>
      <c r="C11" t="s">
        <v>2674</v>
      </c>
      <c r="D11" t="s">
        <v>2684</v>
      </c>
      <c r="E11" t="s">
        <v>2685</v>
      </c>
      <c r="F11" t="s">
        <v>2686</v>
      </c>
      <c r="G11" t="s">
        <v>142</v>
      </c>
    </row>
    <row r="12" spans="1:7" ht="11.25" customHeight="1">
      <c r="A12" s="309" t="s">
        <v>16</v>
      </c>
      <c r="B12" t="s">
        <v>2687</v>
      </c>
      <c r="C12" t="s">
        <v>2688</v>
      </c>
      <c r="D12" t="s">
        <v>2687</v>
      </c>
      <c r="E12" t="s">
        <v>2688</v>
      </c>
      <c r="F12" t="s">
        <v>2689</v>
      </c>
      <c r="G12" t="s">
        <v>143</v>
      </c>
    </row>
    <row r="13" spans="1:7" ht="11.25" customHeight="1">
      <c r="A13" s="309" t="s">
        <v>16</v>
      </c>
      <c r="B13" t="s">
        <v>2690</v>
      </c>
      <c r="C13" t="s">
        <v>2691</v>
      </c>
      <c r="D13" t="s">
        <v>2690</v>
      </c>
      <c r="E13" t="s">
        <v>2691</v>
      </c>
      <c r="F13" t="s">
        <v>2683</v>
      </c>
      <c r="G13" t="s">
        <v>144</v>
      </c>
    </row>
    <row r="14" spans="1:7" ht="11.25" customHeight="1">
      <c r="A14" s="309" t="s">
        <v>16</v>
      </c>
      <c r="B14" t="s">
        <v>2690</v>
      </c>
      <c r="C14" t="s">
        <v>2691</v>
      </c>
      <c r="D14" t="s">
        <v>2692</v>
      </c>
      <c r="E14" t="s">
        <v>2693</v>
      </c>
      <c r="F14" t="s">
        <v>2677</v>
      </c>
      <c r="G14" t="s">
        <v>145</v>
      </c>
    </row>
    <row r="15" spans="1:7" ht="11.25" customHeight="1">
      <c r="A15" s="309" t="s">
        <v>16</v>
      </c>
      <c r="B15" t="s">
        <v>2690</v>
      </c>
      <c r="C15" t="s">
        <v>2691</v>
      </c>
      <c r="D15" t="s">
        <v>2694</v>
      </c>
      <c r="E15" t="s">
        <v>2695</v>
      </c>
      <c r="F15" t="s">
        <v>2686</v>
      </c>
      <c r="G15" t="s">
        <v>146</v>
      </c>
    </row>
    <row r="16" spans="1:7" ht="11.25" customHeight="1">
      <c r="A16" s="309" t="s">
        <v>16</v>
      </c>
      <c r="B16" t="s">
        <v>2690</v>
      </c>
      <c r="C16" t="s">
        <v>2691</v>
      </c>
      <c r="D16" t="s">
        <v>2696</v>
      </c>
      <c r="E16" t="s">
        <v>2697</v>
      </c>
      <c r="F16" t="s">
        <v>2686</v>
      </c>
      <c r="G16" t="s">
        <v>1510</v>
      </c>
    </row>
    <row r="17" spans="1:7" ht="11.25" customHeight="1">
      <c r="A17" s="309" t="s">
        <v>16</v>
      </c>
      <c r="B17" t="s">
        <v>2690</v>
      </c>
      <c r="C17" t="s">
        <v>2691</v>
      </c>
      <c r="D17" t="s">
        <v>2698</v>
      </c>
      <c r="E17" t="s">
        <v>2699</v>
      </c>
      <c r="F17" t="s">
        <v>2686</v>
      </c>
      <c r="G17" t="s">
        <v>1516</v>
      </c>
    </row>
    <row r="18" spans="1:7" ht="11.25" customHeight="1">
      <c r="A18" s="309" t="s">
        <v>16</v>
      </c>
      <c r="B18" t="s">
        <v>2690</v>
      </c>
      <c r="C18" t="s">
        <v>2691</v>
      </c>
      <c r="D18" t="s">
        <v>2700</v>
      </c>
      <c r="E18" t="s">
        <v>2701</v>
      </c>
      <c r="F18" t="s">
        <v>2686</v>
      </c>
      <c r="G18" t="s">
        <v>1527</v>
      </c>
    </row>
    <row r="19" spans="1:7" ht="11.25" customHeight="1">
      <c r="A19" s="309" t="s">
        <v>16</v>
      </c>
      <c r="B19" t="s">
        <v>2690</v>
      </c>
      <c r="C19" t="s">
        <v>2691</v>
      </c>
      <c r="D19" t="s">
        <v>2702</v>
      </c>
      <c r="E19" t="s">
        <v>2703</v>
      </c>
      <c r="F19" t="s">
        <v>2677</v>
      </c>
      <c r="G19" t="s">
        <v>1541</v>
      </c>
    </row>
    <row r="20" spans="1:7" ht="11.25" customHeight="1">
      <c r="A20" s="309" t="s">
        <v>16</v>
      </c>
      <c r="B20" t="s">
        <v>2690</v>
      </c>
      <c r="C20" t="s">
        <v>2691</v>
      </c>
      <c r="D20" t="s">
        <v>2704</v>
      </c>
      <c r="E20" t="s">
        <v>2705</v>
      </c>
      <c r="F20" t="s">
        <v>2677</v>
      </c>
      <c r="G20" t="s">
        <v>1553</v>
      </c>
    </row>
    <row r="21" spans="1:7" ht="11.25" customHeight="1">
      <c r="A21" s="309" t="s">
        <v>16</v>
      </c>
      <c r="B21" t="s">
        <v>2690</v>
      </c>
      <c r="C21" t="s">
        <v>2691</v>
      </c>
      <c r="D21" t="s">
        <v>2706</v>
      </c>
      <c r="E21" t="s">
        <v>2707</v>
      </c>
      <c r="F21" t="s">
        <v>2677</v>
      </c>
      <c r="G21" t="s">
        <v>1562</v>
      </c>
    </row>
    <row r="22" spans="1:7" ht="11.25" customHeight="1">
      <c r="A22" s="309" t="s">
        <v>16</v>
      </c>
      <c r="B22" t="s">
        <v>2690</v>
      </c>
      <c r="C22" t="s">
        <v>2691</v>
      </c>
      <c r="D22" t="s">
        <v>2708</v>
      </c>
      <c r="E22" t="s">
        <v>2709</v>
      </c>
      <c r="F22" t="s">
        <v>2680</v>
      </c>
      <c r="G22" t="s">
        <v>1578</v>
      </c>
    </row>
    <row r="23" spans="1:7" ht="11.25" customHeight="1">
      <c r="A23" s="309" t="s">
        <v>16</v>
      </c>
      <c r="B23" t="s">
        <v>2690</v>
      </c>
      <c r="C23" t="s">
        <v>2691</v>
      </c>
      <c r="D23" t="s">
        <v>2710</v>
      </c>
      <c r="E23" t="s">
        <v>2711</v>
      </c>
      <c r="F23" t="s">
        <v>2686</v>
      </c>
      <c r="G23" t="s">
        <v>1585</v>
      </c>
    </row>
    <row r="24" spans="1:7" ht="11.25" customHeight="1">
      <c r="A24" s="309" t="s">
        <v>16</v>
      </c>
      <c r="B24" t="s">
        <v>2690</v>
      </c>
      <c r="C24" t="s">
        <v>2691</v>
      </c>
      <c r="D24" t="s">
        <v>2712</v>
      </c>
      <c r="E24" t="s">
        <v>2713</v>
      </c>
      <c r="F24" t="s">
        <v>2677</v>
      </c>
      <c r="G24" t="s">
        <v>1593</v>
      </c>
    </row>
    <row r="25" spans="1:7" ht="11.25" customHeight="1">
      <c r="A25" s="309" t="s">
        <v>16</v>
      </c>
      <c r="B25" t="s">
        <v>2714</v>
      </c>
      <c r="C25" t="s">
        <v>2715</v>
      </c>
      <c r="D25" t="s">
        <v>2714</v>
      </c>
      <c r="E25" t="s">
        <v>2715</v>
      </c>
      <c r="F25" t="s">
        <v>2683</v>
      </c>
      <c r="G25" t="s">
        <v>1599</v>
      </c>
    </row>
    <row r="26" spans="1:7" ht="11.25" customHeight="1">
      <c r="A26" s="309" t="s">
        <v>16</v>
      </c>
      <c r="B26" t="s">
        <v>2714</v>
      </c>
      <c r="C26" t="s">
        <v>2715</v>
      </c>
      <c r="D26" t="s">
        <v>2716</v>
      </c>
      <c r="E26" t="s">
        <v>2717</v>
      </c>
      <c r="F26" t="s">
        <v>2686</v>
      </c>
      <c r="G26" t="s">
        <v>1603</v>
      </c>
    </row>
    <row r="27" spans="1:7" ht="11.25" customHeight="1">
      <c r="A27" s="309" t="s">
        <v>16</v>
      </c>
      <c r="B27" t="s">
        <v>2714</v>
      </c>
      <c r="C27" t="s">
        <v>2715</v>
      </c>
      <c r="D27" t="s">
        <v>2718</v>
      </c>
      <c r="E27" t="s">
        <v>2719</v>
      </c>
      <c r="F27" t="s">
        <v>2677</v>
      </c>
      <c r="G27" t="s">
        <v>1608</v>
      </c>
    </row>
    <row r="28" spans="1:7" ht="11.25" customHeight="1">
      <c r="A28" s="309" t="s">
        <v>16</v>
      </c>
      <c r="B28" t="s">
        <v>2720</v>
      </c>
      <c r="C28" t="s">
        <v>2721</v>
      </c>
      <c r="D28" t="s">
        <v>2720</v>
      </c>
      <c r="E28" t="s">
        <v>2721</v>
      </c>
      <c r="F28" t="s">
        <v>2689</v>
      </c>
      <c r="G28" t="s">
        <v>1616</v>
      </c>
    </row>
    <row r="29" spans="1:7" ht="11.25" customHeight="1">
      <c r="A29" s="309" t="s">
        <v>16</v>
      </c>
      <c r="B29" t="s">
        <v>2722</v>
      </c>
      <c r="C29" t="s">
        <v>2723</v>
      </c>
      <c r="D29" t="s">
        <v>2724</v>
      </c>
      <c r="E29" t="s">
        <v>2725</v>
      </c>
      <c r="F29" t="s">
        <v>2677</v>
      </c>
      <c r="G29" t="s">
        <v>1618</v>
      </c>
    </row>
    <row r="30" spans="1:7" ht="11.25" customHeight="1">
      <c r="A30" s="309" t="s">
        <v>16</v>
      </c>
      <c r="B30" t="s">
        <v>2722</v>
      </c>
      <c r="C30" t="s">
        <v>2723</v>
      </c>
      <c r="D30" t="s">
        <v>2726</v>
      </c>
      <c r="E30" t="s">
        <v>2727</v>
      </c>
      <c r="F30" t="s">
        <v>2686</v>
      </c>
      <c r="G30" t="s">
        <v>1621</v>
      </c>
    </row>
    <row r="31" spans="1:7" ht="11.25" customHeight="1">
      <c r="A31" s="309" t="s">
        <v>16</v>
      </c>
      <c r="B31" t="s">
        <v>2722</v>
      </c>
      <c r="C31" t="s">
        <v>2723</v>
      </c>
      <c r="D31" t="s">
        <v>2722</v>
      </c>
      <c r="E31" t="s">
        <v>2723</v>
      </c>
      <c r="F31" t="s">
        <v>2683</v>
      </c>
      <c r="G31" t="s">
        <v>1627</v>
      </c>
    </row>
    <row r="32" spans="1:7" ht="11.25" customHeight="1">
      <c r="A32" s="309" t="s">
        <v>16</v>
      </c>
      <c r="B32" t="s">
        <v>1026</v>
      </c>
      <c r="C32" t="s">
        <v>1027</v>
      </c>
      <c r="D32" t="s">
        <v>1026</v>
      </c>
      <c r="E32" t="s">
        <v>1027</v>
      </c>
      <c r="F32" t="s">
        <v>2689</v>
      </c>
      <c r="G32" t="s">
        <v>1629</v>
      </c>
    </row>
    <row r="33" spans="1:7" ht="11.25" customHeight="1">
      <c r="A33" s="309" t="s">
        <v>16</v>
      </c>
      <c r="B33" t="s">
        <v>1062</v>
      </c>
      <c r="C33" t="s">
        <v>1063</v>
      </c>
      <c r="D33" t="s">
        <v>1062</v>
      </c>
      <c r="E33" t="s">
        <v>1063</v>
      </c>
      <c r="F33" t="s">
        <v>2689</v>
      </c>
      <c r="G33" t="s">
        <v>1631</v>
      </c>
    </row>
    <row r="34" spans="1:7" ht="11.25" customHeight="1">
      <c r="A34" s="309" t="s">
        <v>16</v>
      </c>
      <c r="B34" t="s">
        <v>2728</v>
      </c>
      <c r="C34" t="s">
        <v>2729</v>
      </c>
      <c r="D34" t="s">
        <v>2728</v>
      </c>
      <c r="E34" t="s">
        <v>2729</v>
      </c>
      <c r="F34" t="s">
        <v>2689</v>
      </c>
      <c r="G34" t="s">
        <v>1633</v>
      </c>
    </row>
    <row r="35" spans="1:7" ht="11.25" customHeight="1">
      <c r="A35" s="309" t="s">
        <v>16</v>
      </c>
      <c r="B35" t="s">
        <v>2730</v>
      </c>
      <c r="C35" t="s">
        <v>2731</v>
      </c>
      <c r="D35" t="s">
        <v>2730</v>
      </c>
      <c r="E35" t="s">
        <v>2731</v>
      </c>
      <c r="F35" t="s">
        <v>2689</v>
      </c>
      <c r="G35" t="s">
        <v>1638</v>
      </c>
    </row>
    <row r="36" spans="1:7" ht="11.25" customHeight="1">
      <c r="A36" s="309" t="s">
        <v>16</v>
      </c>
      <c r="B36" t="s">
        <v>2732</v>
      </c>
      <c r="C36" t="s">
        <v>2733</v>
      </c>
      <c r="D36" t="s">
        <v>2732</v>
      </c>
      <c r="E36" t="s">
        <v>2733</v>
      </c>
      <c r="F36" t="s">
        <v>2689</v>
      </c>
      <c r="G36" t="s">
        <v>1643</v>
      </c>
    </row>
    <row r="37" spans="1:7" ht="11.25" customHeight="1">
      <c r="A37" s="309" t="s">
        <v>16</v>
      </c>
      <c r="B37" t="s">
        <v>2734</v>
      </c>
      <c r="C37" t="s">
        <v>2735</v>
      </c>
      <c r="D37" t="s">
        <v>2734</v>
      </c>
      <c r="E37" t="s">
        <v>2735</v>
      </c>
      <c r="F37" t="s">
        <v>2664</v>
      </c>
      <c r="G37" t="s">
        <v>1647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
  <sheetViews>
    <sheetView showGridLines="0" workbookViewId="0"/>
  </sheetViews>
  <sheetFormatPr defaultColWidth="9.140625" defaultRowHeight="11.25" customHeight="1"/>
  <cols>
    <col min="1" max="1" width="13.85546875" style="2475" customWidth="1"/>
    <col min="2" max="2" width="10.42578125" style="2475" customWidth="1"/>
    <col min="3" max="3" width="7.5703125" style="2475" customWidth="1"/>
    <col min="4" max="4" width="13.85546875" style="2475" customWidth="1"/>
    <col min="5" max="5" width="11.5703125" style="2475" customWidth="1"/>
    <col min="6" max="6" width="16.28515625" style="2475" customWidth="1"/>
    <col min="7" max="7" width="16" style="2475" customWidth="1"/>
    <col min="8" max="9" width="16.140625" style="2475" customWidth="1"/>
  </cols>
  <sheetData>
    <row r="1" spans="1:9" ht="11.25" customHeight="1">
      <c r="A1" s="765" t="s">
        <v>2736</v>
      </c>
      <c r="B1" s="765" t="s">
        <v>2737</v>
      </c>
      <c r="C1" s="1077" t="s">
        <v>2738</v>
      </c>
      <c r="D1" s="765" t="s">
        <v>2739</v>
      </c>
      <c r="E1" s="765" t="s">
        <v>2740</v>
      </c>
      <c r="F1" s="1077" t="s">
        <v>2741</v>
      </c>
      <c r="G1" s="1077" t="s">
        <v>2742</v>
      </c>
      <c r="H1" s="1077" t="s">
        <v>2743</v>
      </c>
      <c r="I1" s="1077" t="s">
        <v>2744</v>
      </c>
    </row>
    <row r="2" spans="1:9" ht="11.25" customHeight="1">
      <c r="A2" s="2008" t="s">
        <v>102</v>
      </c>
      <c r="B2" s="2008" t="s">
        <v>2745</v>
      </c>
      <c r="C2" s="2008" t="s">
        <v>22</v>
      </c>
      <c r="D2" s="2008" t="s">
        <v>2746</v>
      </c>
      <c r="E2" s="2008" t="s">
        <v>2747</v>
      </c>
      <c r="F2" s="2008" t="s">
        <v>22</v>
      </c>
      <c r="G2" s="2008" t="s">
        <v>22</v>
      </c>
      <c r="H2" s="2008" t="s">
        <v>22</v>
      </c>
      <c r="I2" s="2008" t="s">
        <v>22</v>
      </c>
    </row>
    <row r="3" spans="1:9" ht="11.25" customHeight="1">
      <c r="A3" s="2008" t="s">
        <v>103</v>
      </c>
      <c r="B3" s="2008" t="s">
        <v>2748</v>
      </c>
      <c r="C3" s="2008" t="s">
        <v>22</v>
      </c>
      <c r="D3" s="2008" t="s">
        <v>2746</v>
      </c>
      <c r="E3" s="2008" t="s">
        <v>2749</v>
      </c>
      <c r="F3" s="2008" t="s">
        <v>22</v>
      </c>
      <c r="G3" s="2008" t="s">
        <v>22</v>
      </c>
      <c r="H3" s="2008" t="s">
        <v>22</v>
      </c>
      <c r="I3" s="2008" t="s">
        <v>22</v>
      </c>
    </row>
    <row r="4" spans="1:9" ht="11.25" customHeight="1">
      <c r="A4" s="2008" t="s">
        <v>86</v>
      </c>
      <c r="B4" s="2008" t="s">
        <v>2750</v>
      </c>
      <c r="C4" s="2008" t="s">
        <v>22</v>
      </c>
      <c r="D4" s="2008" t="s">
        <v>980</v>
      </c>
      <c r="E4" s="2008" t="s">
        <v>2751</v>
      </c>
      <c r="F4" s="2008" t="s">
        <v>22</v>
      </c>
      <c r="G4" s="2008" t="s">
        <v>22</v>
      </c>
      <c r="H4" s="2008" t="s">
        <v>22</v>
      </c>
      <c r="I4" s="2008" t="s">
        <v>22</v>
      </c>
    </row>
    <row r="5" spans="1:9" ht="11.25" customHeight="1">
      <c r="A5" s="2008" t="s">
        <v>87</v>
      </c>
      <c r="B5" s="2008" t="s">
        <v>2752</v>
      </c>
      <c r="C5" s="2008" t="s">
        <v>22</v>
      </c>
      <c r="D5" s="2008" t="s">
        <v>2753</v>
      </c>
      <c r="E5" s="2008" t="s">
        <v>2754</v>
      </c>
      <c r="F5" s="2008" t="s">
        <v>22</v>
      </c>
      <c r="G5" s="2008" t="s">
        <v>22</v>
      </c>
      <c r="H5" s="2008" t="s">
        <v>22</v>
      </c>
      <c r="I5" s="2008" t="s">
        <v>22</v>
      </c>
    </row>
    <row r="6" spans="1:9" ht="11.25" customHeight="1">
      <c r="A6" s="2008" t="s">
        <v>104</v>
      </c>
      <c r="B6" s="2008" t="s">
        <v>2755</v>
      </c>
      <c r="C6" s="2008" t="s">
        <v>22</v>
      </c>
      <c r="D6" s="2008" t="s">
        <v>980</v>
      </c>
      <c r="E6" s="2008" t="s">
        <v>2747</v>
      </c>
      <c r="F6" s="2008" t="s">
        <v>22</v>
      </c>
      <c r="G6" s="2008" t="s">
        <v>22</v>
      </c>
      <c r="H6" s="2008" t="s">
        <v>22</v>
      </c>
      <c r="I6" s="2008" t="s">
        <v>22</v>
      </c>
    </row>
    <row r="7" spans="1:9" ht="11.25" customHeight="1">
      <c r="A7" s="2008" t="s">
        <v>88</v>
      </c>
      <c r="B7" s="2008" t="s">
        <v>2756</v>
      </c>
      <c r="C7" s="2008" t="s">
        <v>22</v>
      </c>
      <c r="D7" s="2008" t="s">
        <v>980</v>
      </c>
      <c r="E7" s="2008" t="s">
        <v>2757</v>
      </c>
      <c r="F7" s="2008" t="s">
        <v>22</v>
      </c>
      <c r="G7" s="2008" t="s">
        <v>22</v>
      </c>
      <c r="H7" s="2008" t="s">
        <v>22</v>
      </c>
      <c r="I7" s="2008" t="s">
        <v>22</v>
      </c>
    </row>
    <row r="8" spans="1:9" ht="11.25" customHeight="1">
      <c r="A8" s="2008" t="s">
        <v>89</v>
      </c>
      <c r="B8" s="2008" t="s">
        <v>976</v>
      </c>
      <c r="C8" s="2008" t="s">
        <v>22</v>
      </c>
      <c r="D8" s="2008" t="s">
        <v>980</v>
      </c>
      <c r="E8" s="2008" t="s">
        <v>981</v>
      </c>
      <c r="F8" s="2008" t="s">
        <v>22</v>
      </c>
      <c r="G8" s="2008" t="s">
        <v>22</v>
      </c>
      <c r="H8" s="2008" t="s">
        <v>22</v>
      </c>
      <c r="I8" s="2008" t="s">
        <v>22</v>
      </c>
    </row>
    <row r="9" spans="1:9" ht="11.25" customHeight="1">
      <c r="A9" s="2008" t="s">
        <v>105</v>
      </c>
      <c r="B9" s="2008" t="s">
        <v>986</v>
      </c>
      <c r="C9" s="2008" t="s">
        <v>22</v>
      </c>
      <c r="D9" s="2008" t="s">
        <v>980</v>
      </c>
      <c r="E9" s="2008" t="s">
        <v>981</v>
      </c>
      <c r="F9" s="2008" t="s">
        <v>22</v>
      </c>
      <c r="G9" s="2008" t="s">
        <v>22</v>
      </c>
      <c r="H9" s="2008" t="s">
        <v>22</v>
      </c>
      <c r="I9" s="2008" t="s">
        <v>22</v>
      </c>
    </row>
    <row r="10" spans="1:9" ht="11.25" customHeight="1">
      <c r="A10" s="2008" t="s">
        <v>141</v>
      </c>
      <c r="B10" s="2008" t="s">
        <v>2758</v>
      </c>
      <c r="C10" s="2008" t="s">
        <v>22</v>
      </c>
      <c r="D10" s="2008" t="s">
        <v>2759</v>
      </c>
      <c r="E10" s="2008" t="s">
        <v>2751</v>
      </c>
      <c r="F10" s="2008" t="s">
        <v>22</v>
      </c>
      <c r="G10" s="2008" t="s">
        <v>22</v>
      </c>
      <c r="H10" s="2008" t="s">
        <v>22</v>
      </c>
      <c r="I10" s="2008" t="s">
        <v>22</v>
      </c>
    </row>
    <row r="11" spans="1:9" ht="11.25" customHeight="1">
      <c r="A11" s="2008" t="s">
        <v>142</v>
      </c>
      <c r="B11" s="2008" t="s">
        <v>2760</v>
      </c>
      <c r="C11" s="2008" t="s">
        <v>22</v>
      </c>
      <c r="D11" s="2008" t="s">
        <v>2759</v>
      </c>
      <c r="E11" s="2008" t="s">
        <v>2751</v>
      </c>
      <c r="F11" s="2008" t="s">
        <v>22</v>
      </c>
      <c r="G11" s="2008" t="s">
        <v>22</v>
      </c>
      <c r="H11" s="2008" t="s">
        <v>22</v>
      </c>
      <c r="I11" s="2008" t="s">
        <v>22</v>
      </c>
    </row>
    <row r="12" spans="1:9" ht="11.25" customHeight="1">
      <c r="A12" s="2008" t="s">
        <v>143</v>
      </c>
      <c r="B12" s="2008" t="s">
        <v>2761</v>
      </c>
      <c r="C12" s="2008" t="s">
        <v>22</v>
      </c>
      <c r="D12" s="2008" t="s">
        <v>2759</v>
      </c>
      <c r="E12" s="2008" t="s">
        <v>2757</v>
      </c>
      <c r="F12" s="2008" t="s">
        <v>22</v>
      </c>
      <c r="G12" s="2008" t="s">
        <v>22</v>
      </c>
      <c r="H12" s="2008" t="s">
        <v>22</v>
      </c>
      <c r="I12" s="2008" t="s">
        <v>22</v>
      </c>
    </row>
    <row r="13" spans="1:9" ht="11.25" customHeight="1">
      <c r="A13" s="2008" t="s">
        <v>144</v>
      </c>
      <c r="B13" s="2008" t="s">
        <v>2762</v>
      </c>
      <c r="C13" s="2008" t="s">
        <v>22</v>
      </c>
      <c r="D13" s="2008" t="s">
        <v>2763</v>
      </c>
      <c r="E13" s="2008" t="s">
        <v>2764</v>
      </c>
      <c r="F13" s="2008" t="s">
        <v>22</v>
      </c>
      <c r="G13" s="2008" t="s">
        <v>22</v>
      </c>
      <c r="H13" s="2008" t="s">
        <v>22</v>
      </c>
      <c r="I13" s="2008" t="s">
        <v>22</v>
      </c>
    </row>
    <row r="14" spans="1:9" ht="11.25" customHeight="1">
      <c r="A14" s="2008" t="s">
        <v>145</v>
      </c>
      <c r="B14" s="2008" t="s">
        <v>2765</v>
      </c>
      <c r="C14" s="2008" t="s">
        <v>22</v>
      </c>
      <c r="D14" s="2008" t="s">
        <v>980</v>
      </c>
      <c r="E14" s="2008" t="s">
        <v>2747</v>
      </c>
      <c r="F14" s="2008" t="s">
        <v>22</v>
      </c>
      <c r="G14" s="2008" t="s">
        <v>22</v>
      </c>
      <c r="H14" s="2008" t="s">
        <v>22</v>
      </c>
      <c r="I14" s="2008" t="s">
        <v>22</v>
      </c>
    </row>
    <row r="15" spans="1:9" ht="11.25" customHeight="1">
      <c r="A15" s="2008" t="s">
        <v>146</v>
      </c>
      <c r="B15" s="2008" t="s">
        <v>2766</v>
      </c>
      <c r="C15" s="2008" t="s">
        <v>22</v>
      </c>
      <c r="D15" s="2008" t="s">
        <v>2746</v>
      </c>
      <c r="E15" s="2008" t="s">
        <v>2757</v>
      </c>
      <c r="F15" s="2008" t="s">
        <v>22</v>
      </c>
      <c r="G15" s="2008" t="s">
        <v>22</v>
      </c>
      <c r="H15" s="2008" t="s">
        <v>22</v>
      </c>
      <c r="I15" s="2008" t="s">
        <v>22</v>
      </c>
    </row>
    <row r="16" spans="1:9" ht="11.25" customHeight="1">
      <c r="A16" s="2008" t="s">
        <v>1510</v>
      </c>
      <c r="B16" s="2008" t="s">
        <v>2767</v>
      </c>
      <c r="C16" s="2008" t="s">
        <v>22</v>
      </c>
      <c r="D16" s="2008" t="s">
        <v>2759</v>
      </c>
      <c r="E16" s="2008" t="s">
        <v>2768</v>
      </c>
      <c r="F16" s="2008" t="s">
        <v>22</v>
      </c>
      <c r="G16" s="2008" t="s">
        <v>22</v>
      </c>
      <c r="H16" s="2008" t="s">
        <v>22</v>
      </c>
      <c r="I16" s="2008" t="s">
        <v>22</v>
      </c>
    </row>
    <row r="17" spans="1:9" ht="11.25" customHeight="1">
      <c r="A17" s="2008" t="s">
        <v>1516</v>
      </c>
      <c r="B17" s="2008" t="s">
        <v>2769</v>
      </c>
      <c r="C17" s="2008" t="s">
        <v>22</v>
      </c>
      <c r="D17" s="2008" t="s">
        <v>2746</v>
      </c>
      <c r="E17" s="2008" t="s">
        <v>2757</v>
      </c>
      <c r="F17" s="2008" t="s">
        <v>22</v>
      </c>
      <c r="G17" s="2008" t="s">
        <v>22</v>
      </c>
      <c r="H17" s="2008" t="s">
        <v>22</v>
      </c>
      <c r="I17" s="2008" t="s">
        <v>22</v>
      </c>
    </row>
    <row r="18" spans="1:9" ht="11.25" customHeight="1">
      <c r="A18" s="2008" t="s">
        <v>1527</v>
      </c>
      <c r="B18" s="2008" t="s">
        <v>2770</v>
      </c>
      <c r="C18" s="2008" t="s">
        <v>22</v>
      </c>
      <c r="D18" s="2008" t="s">
        <v>2771</v>
      </c>
      <c r="E18" s="2008" t="s">
        <v>2772</v>
      </c>
      <c r="F18" s="2008" t="s">
        <v>22</v>
      </c>
      <c r="G18" s="2008" t="s">
        <v>22</v>
      </c>
      <c r="H18" s="2008" t="s">
        <v>22</v>
      </c>
      <c r="I18" s="2008" t="s">
        <v>22</v>
      </c>
    </row>
    <row r="19" spans="1:9" ht="11.25" customHeight="1">
      <c r="A19" s="2008" t="s">
        <v>1541</v>
      </c>
      <c r="B19" s="2008" t="s">
        <v>2773</v>
      </c>
      <c r="C19" s="2008" t="s">
        <v>22</v>
      </c>
      <c r="D19" s="2008" t="s">
        <v>2771</v>
      </c>
      <c r="E19" s="2008" t="s">
        <v>2768</v>
      </c>
      <c r="F19" s="2008" t="s">
        <v>22</v>
      </c>
      <c r="G19" s="2008" t="s">
        <v>22</v>
      </c>
      <c r="H19" s="2008" t="s">
        <v>22</v>
      </c>
      <c r="I19" s="2008" t="s">
        <v>22</v>
      </c>
    </row>
    <row r="20" spans="1:9" ht="11.25" customHeight="1">
      <c r="A20" s="2008" t="s">
        <v>1553</v>
      </c>
      <c r="B20" s="2008" t="s">
        <v>2774</v>
      </c>
      <c r="C20" s="2008" t="s">
        <v>22</v>
      </c>
      <c r="D20" s="2008" t="s">
        <v>2771</v>
      </c>
      <c r="E20" s="2008" t="s">
        <v>2768</v>
      </c>
      <c r="F20" s="2008" t="s">
        <v>22</v>
      </c>
      <c r="G20" s="2008" t="s">
        <v>22</v>
      </c>
      <c r="H20" s="2008" t="s">
        <v>22</v>
      </c>
      <c r="I20" s="2008" t="s">
        <v>22</v>
      </c>
    </row>
    <row r="21" spans="1:9" ht="11.25" customHeight="1">
      <c r="A21" s="2008" t="s">
        <v>1562</v>
      </c>
      <c r="B21" s="2008" t="s">
        <v>2775</v>
      </c>
      <c r="C21" s="2008" t="s">
        <v>22</v>
      </c>
      <c r="D21" s="2008" t="s">
        <v>2771</v>
      </c>
      <c r="E21" s="2008" t="s">
        <v>2768</v>
      </c>
      <c r="F21" s="2008" t="s">
        <v>22</v>
      </c>
      <c r="G21" s="2008" t="s">
        <v>22</v>
      </c>
      <c r="H21" s="2008" t="s">
        <v>22</v>
      </c>
      <c r="I21" s="2008" t="s">
        <v>22</v>
      </c>
    </row>
    <row r="22" spans="1:9" ht="11.25" customHeight="1">
      <c r="A22" s="2008" t="s">
        <v>1578</v>
      </c>
      <c r="B22" s="2008" t="s">
        <v>2776</v>
      </c>
      <c r="C22" s="2008" t="s">
        <v>22</v>
      </c>
      <c r="D22" s="2008" t="s">
        <v>2771</v>
      </c>
      <c r="E22" s="2008" t="s">
        <v>2768</v>
      </c>
      <c r="F22" s="2008" t="s">
        <v>22</v>
      </c>
      <c r="G22" s="2008" t="s">
        <v>22</v>
      </c>
      <c r="H22" s="2008" t="s">
        <v>22</v>
      </c>
      <c r="I22" s="2008" t="s">
        <v>22</v>
      </c>
    </row>
    <row r="23" spans="1:9" ht="11.25" customHeight="1">
      <c r="A23" s="2008" t="s">
        <v>1585</v>
      </c>
      <c r="B23" s="2008" t="s">
        <v>2777</v>
      </c>
      <c r="C23" s="2008" t="s">
        <v>22</v>
      </c>
      <c r="D23" s="2008" t="s">
        <v>2771</v>
      </c>
      <c r="E23" s="2008" t="s">
        <v>2768</v>
      </c>
      <c r="F23" s="2008" t="s">
        <v>22</v>
      </c>
      <c r="G23" s="2008" t="s">
        <v>22</v>
      </c>
      <c r="H23" s="2008" t="s">
        <v>22</v>
      </c>
      <c r="I23" s="2008" t="s">
        <v>22</v>
      </c>
    </row>
    <row r="24" spans="1:9" ht="11.25" customHeight="1">
      <c r="A24" s="2008" t="s">
        <v>1593</v>
      </c>
      <c r="B24" s="2008" t="s">
        <v>2778</v>
      </c>
      <c r="C24" s="2008" t="s">
        <v>22</v>
      </c>
      <c r="D24" s="2008" t="s">
        <v>2746</v>
      </c>
      <c r="E24" s="2008" t="s">
        <v>2747</v>
      </c>
      <c r="F24" s="2008" t="s">
        <v>22</v>
      </c>
      <c r="G24" s="2008" t="s">
        <v>22</v>
      </c>
      <c r="H24" s="2008" t="s">
        <v>22</v>
      </c>
      <c r="I24" s="2008" t="s">
        <v>22</v>
      </c>
    </row>
    <row r="25" spans="1:9" ht="11.25" customHeight="1">
      <c r="A25" s="2008" t="s">
        <v>1599</v>
      </c>
      <c r="B25" s="2008" t="s">
        <v>2779</v>
      </c>
      <c r="C25" s="2008" t="s">
        <v>22</v>
      </c>
      <c r="D25" s="2008" t="s">
        <v>2746</v>
      </c>
      <c r="E25" s="2008" t="s">
        <v>2780</v>
      </c>
      <c r="F25" s="2008" t="s">
        <v>22</v>
      </c>
      <c r="G25" s="2008" t="s">
        <v>22</v>
      </c>
      <c r="H25" s="2008" t="s">
        <v>22</v>
      </c>
      <c r="I25" s="2008" t="s">
        <v>22</v>
      </c>
    </row>
    <row r="26" spans="1:9" ht="11.25" customHeight="1">
      <c r="A26" s="2008" t="s">
        <v>1603</v>
      </c>
      <c r="B26" s="2008" t="s">
        <v>2781</v>
      </c>
      <c r="C26" s="2008" t="s">
        <v>22</v>
      </c>
      <c r="D26" s="2008" t="s">
        <v>2782</v>
      </c>
      <c r="E26" s="2008" t="s">
        <v>2757</v>
      </c>
      <c r="F26" s="2008" t="s">
        <v>22</v>
      </c>
      <c r="G26" s="2008" t="s">
        <v>22</v>
      </c>
      <c r="H26" s="2008" t="s">
        <v>22</v>
      </c>
      <c r="I26" s="2008" t="s">
        <v>22</v>
      </c>
    </row>
    <row r="27" spans="1:9" ht="11.25" customHeight="1">
      <c r="A27" s="2008" t="s">
        <v>1608</v>
      </c>
      <c r="B27" s="2008" t="s">
        <v>2783</v>
      </c>
      <c r="C27" s="2008" t="s">
        <v>22</v>
      </c>
      <c r="D27" s="2008" t="s">
        <v>2771</v>
      </c>
      <c r="E27" s="2008" t="s">
        <v>2784</v>
      </c>
      <c r="F27" s="2008" t="s">
        <v>22</v>
      </c>
      <c r="G27" s="2008" t="s">
        <v>22</v>
      </c>
      <c r="H27" s="2008" t="s">
        <v>22</v>
      </c>
      <c r="I27" s="2008" t="s">
        <v>22</v>
      </c>
    </row>
    <row r="28" spans="1:9" ht="11.25" customHeight="1">
      <c r="A28" s="2008" t="s">
        <v>1616</v>
      </c>
      <c r="B28" s="2008" t="s">
        <v>2785</v>
      </c>
      <c r="C28" s="2008" t="s">
        <v>22</v>
      </c>
      <c r="D28" s="2008" t="s">
        <v>980</v>
      </c>
      <c r="E28" s="2008" t="s">
        <v>2747</v>
      </c>
      <c r="F28" s="2008" t="s">
        <v>22</v>
      </c>
      <c r="G28" s="2008" t="s">
        <v>22</v>
      </c>
      <c r="H28" s="2008" t="s">
        <v>22</v>
      </c>
      <c r="I28" s="2008" t="s">
        <v>22</v>
      </c>
    </row>
    <row r="29" spans="1:9" ht="11.25" customHeight="1">
      <c r="A29" s="2008" t="s">
        <v>1618</v>
      </c>
      <c r="B29" s="2008" t="s">
        <v>2786</v>
      </c>
      <c r="C29" s="2008" t="s">
        <v>22</v>
      </c>
      <c r="D29" s="2008" t="s">
        <v>980</v>
      </c>
      <c r="E29" s="2008" t="s">
        <v>2747</v>
      </c>
      <c r="F29" s="2008" t="s">
        <v>22</v>
      </c>
      <c r="G29" s="2008" t="s">
        <v>22</v>
      </c>
      <c r="H29" s="2008" t="s">
        <v>22</v>
      </c>
      <c r="I29" s="2008" t="s">
        <v>22</v>
      </c>
    </row>
    <row r="30" spans="1:9" ht="11.25" customHeight="1">
      <c r="A30" s="2008" t="s">
        <v>1621</v>
      </c>
      <c r="B30" s="2008" t="s">
        <v>2787</v>
      </c>
      <c r="C30" s="2008" t="s">
        <v>22</v>
      </c>
      <c r="D30" s="2008" t="s">
        <v>980</v>
      </c>
      <c r="E30" s="2008" t="s">
        <v>2747</v>
      </c>
      <c r="F30" s="2008" t="s">
        <v>22</v>
      </c>
      <c r="G30" s="2008" t="s">
        <v>22</v>
      </c>
      <c r="H30" s="2008" t="s">
        <v>22</v>
      </c>
      <c r="I30" s="2008" t="s">
        <v>22</v>
      </c>
    </row>
    <row r="31" spans="1:9" ht="11.25" customHeight="1">
      <c r="A31" s="2008" t="s">
        <v>1627</v>
      </c>
      <c r="B31" s="2008" t="s">
        <v>2788</v>
      </c>
      <c r="C31" s="2008" t="s">
        <v>22</v>
      </c>
      <c r="D31" s="2008" t="s">
        <v>980</v>
      </c>
      <c r="E31" s="2008" t="s">
        <v>2747</v>
      </c>
      <c r="F31" s="2008" t="s">
        <v>22</v>
      </c>
      <c r="G31" s="2008" t="s">
        <v>22</v>
      </c>
      <c r="H31" s="2008" t="s">
        <v>22</v>
      </c>
      <c r="I31" s="2008" t="s">
        <v>22</v>
      </c>
    </row>
    <row r="32" spans="1:9" ht="11.25" customHeight="1">
      <c r="A32" s="2008" t="s">
        <v>1629</v>
      </c>
      <c r="B32" s="2008" t="s">
        <v>2789</v>
      </c>
      <c r="C32" s="2008" t="s">
        <v>22</v>
      </c>
      <c r="D32" s="2008" t="s">
        <v>980</v>
      </c>
      <c r="E32" s="2008" t="s">
        <v>2757</v>
      </c>
      <c r="F32" s="2008" t="s">
        <v>22</v>
      </c>
      <c r="G32" s="2008" t="s">
        <v>22</v>
      </c>
      <c r="H32" s="2008" t="s">
        <v>22</v>
      </c>
      <c r="I32" s="2008" t="s">
        <v>22</v>
      </c>
    </row>
    <row r="33" spans="1:9" ht="11.25" customHeight="1">
      <c r="A33" s="2008" t="s">
        <v>1631</v>
      </c>
      <c r="B33" s="2008" t="s">
        <v>2790</v>
      </c>
      <c r="C33" s="2008" t="s">
        <v>22</v>
      </c>
      <c r="D33" s="2008" t="s">
        <v>980</v>
      </c>
      <c r="E33" s="2008" t="s">
        <v>2747</v>
      </c>
      <c r="F33" s="2008" t="s">
        <v>22</v>
      </c>
      <c r="G33" s="2008" t="s">
        <v>22</v>
      </c>
      <c r="H33" s="2008" t="s">
        <v>22</v>
      </c>
      <c r="I33" s="2008" t="s">
        <v>22</v>
      </c>
    </row>
    <row r="34" spans="1:9" ht="11.25" customHeight="1">
      <c r="A34" s="2008" t="s">
        <v>1633</v>
      </c>
      <c r="B34" s="2008" t="s">
        <v>2791</v>
      </c>
      <c r="C34" s="2008" t="s">
        <v>22</v>
      </c>
      <c r="D34" s="2008" t="s">
        <v>980</v>
      </c>
      <c r="E34" s="2008" t="s">
        <v>2747</v>
      </c>
      <c r="F34" s="2008" t="s">
        <v>22</v>
      </c>
      <c r="G34" s="2008" t="s">
        <v>22</v>
      </c>
      <c r="H34" s="2008" t="s">
        <v>22</v>
      </c>
      <c r="I34" s="2008" t="s">
        <v>22</v>
      </c>
    </row>
    <row r="35" spans="1:9" ht="11.25" customHeight="1">
      <c r="A35" s="2008" t="s">
        <v>1638</v>
      </c>
      <c r="B35" s="2008" t="s">
        <v>2792</v>
      </c>
      <c r="C35" s="2008" t="s">
        <v>22</v>
      </c>
      <c r="D35" s="2008" t="s">
        <v>980</v>
      </c>
      <c r="E35" s="2008" t="s">
        <v>2749</v>
      </c>
      <c r="F35" s="2008" t="s">
        <v>22</v>
      </c>
      <c r="G35" s="2008" t="s">
        <v>22</v>
      </c>
      <c r="H35" s="2008" t="s">
        <v>22</v>
      </c>
      <c r="I35" s="2008" t="s">
        <v>22</v>
      </c>
    </row>
    <row r="36" spans="1:9" ht="11.25" customHeight="1">
      <c r="A36" s="2008" t="s">
        <v>1643</v>
      </c>
      <c r="B36" s="2008" t="s">
        <v>2793</v>
      </c>
      <c r="C36" s="2008" t="s">
        <v>22</v>
      </c>
      <c r="D36" s="2008" t="s">
        <v>980</v>
      </c>
      <c r="E36" s="2008" t="s">
        <v>2749</v>
      </c>
      <c r="F36" s="2008" t="s">
        <v>22</v>
      </c>
      <c r="G36" s="2008" t="s">
        <v>22</v>
      </c>
      <c r="H36" s="2008" t="s">
        <v>22</v>
      </c>
      <c r="I36" s="2008" t="s">
        <v>22</v>
      </c>
    </row>
    <row r="37" spans="1:9" ht="11.25" customHeight="1">
      <c r="A37" s="2008" t="s">
        <v>1647</v>
      </c>
      <c r="B37" s="2008" t="s">
        <v>2794</v>
      </c>
      <c r="C37" s="2008" t="s">
        <v>22</v>
      </c>
      <c r="D37" s="2008" t="s">
        <v>980</v>
      </c>
      <c r="E37" s="2008" t="s">
        <v>2747</v>
      </c>
      <c r="F37" s="2008" t="s">
        <v>22</v>
      </c>
      <c r="G37" s="2008" t="s">
        <v>22</v>
      </c>
      <c r="H37" s="2008" t="s">
        <v>22</v>
      </c>
      <c r="I37" s="2008" t="s">
        <v>22</v>
      </c>
    </row>
    <row r="38" spans="1:9" ht="11.25" customHeight="1">
      <c r="A38" s="2008" t="s">
        <v>1654</v>
      </c>
      <c r="B38" s="2008" t="s">
        <v>2795</v>
      </c>
      <c r="C38" s="2008" t="s">
        <v>22</v>
      </c>
      <c r="D38" s="2008" t="s">
        <v>2796</v>
      </c>
      <c r="E38" s="2008" t="s">
        <v>2797</v>
      </c>
      <c r="F38" s="2008" t="s">
        <v>22</v>
      </c>
      <c r="G38" s="2008" t="s">
        <v>22</v>
      </c>
      <c r="H38" s="2008" t="s">
        <v>22</v>
      </c>
      <c r="I38" s="2008" t="s">
        <v>22</v>
      </c>
    </row>
    <row r="39" spans="1:9" ht="11.25" customHeight="1">
      <c r="A39" s="2008" t="s">
        <v>1660</v>
      </c>
      <c r="B39" s="2008" t="s">
        <v>2798</v>
      </c>
      <c r="C39" s="2008" t="s">
        <v>22</v>
      </c>
      <c r="D39" s="2008" t="s">
        <v>2746</v>
      </c>
      <c r="E39" s="2008" t="s">
        <v>2757</v>
      </c>
      <c r="F39" s="2008" t="s">
        <v>22</v>
      </c>
      <c r="G39" s="2008" t="s">
        <v>22</v>
      </c>
      <c r="H39" s="2008" t="s">
        <v>22</v>
      </c>
      <c r="I39" s="2008" t="s">
        <v>22</v>
      </c>
    </row>
    <row r="40" spans="1:9" ht="11.25" customHeight="1">
      <c r="A40" s="2008" t="s">
        <v>1665</v>
      </c>
      <c r="B40" s="2008" t="s">
        <v>2799</v>
      </c>
      <c r="C40" s="2008" t="s">
        <v>22</v>
      </c>
      <c r="D40" s="2008" t="s">
        <v>2746</v>
      </c>
      <c r="E40" s="2008" t="s">
        <v>2757</v>
      </c>
      <c r="F40" s="2008" t="s">
        <v>22</v>
      </c>
      <c r="G40" s="2008" t="s">
        <v>22</v>
      </c>
      <c r="H40" s="2008" t="s">
        <v>22</v>
      </c>
      <c r="I40" s="2008" t="s">
        <v>22</v>
      </c>
    </row>
    <row r="41" spans="1:9" ht="11.25" customHeight="1">
      <c r="A41" s="2008" t="s">
        <v>1669</v>
      </c>
      <c r="B41" s="2008" t="s">
        <v>2800</v>
      </c>
      <c r="C41" s="2008" t="s">
        <v>22</v>
      </c>
      <c r="D41" s="2008" t="s">
        <v>2801</v>
      </c>
      <c r="E41" s="2008" t="s">
        <v>2802</v>
      </c>
      <c r="F41" s="2008" t="s">
        <v>22</v>
      </c>
      <c r="G41" s="2008" t="s">
        <v>22</v>
      </c>
      <c r="H41" s="2008" t="s">
        <v>22</v>
      </c>
      <c r="I41" s="2008" t="s">
        <v>22</v>
      </c>
    </row>
    <row r="42" spans="1:9" ht="11.25" customHeight="1">
      <c r="A42" s="2008" t="s">
        <v>1672</v>
      </c>
      <c r="B42" s="2008" t="s">
        <v>2803</v>
      </c>
      <c r="C42" s="2008" t="s">
        <v>22</v>
      </c>
      <c r="D42" s="2008" t="s">
        <v>2801</v>
      </c>
      <c r="E42" s="2008" t="s">
        <v>2802</v>
      </c>
      <c r="F42" s="2008" t="s">
        <v>22</v>
      </c>
      <c r="G42" s="2008" t="s">
        <v>22</v>
      </c>
      <c r="H42" s="2008" t="s">
        <v>22</v>
      </c>
      <c r="I42" s="2008" t="s">
        <v>22</v>
      </c>
    </row>
    <row r="43" spans="1:9" ht="11.25" customHeight="1">
      <c r="A43" s="2008" t="s">
        <v>1679</v>
      </c>
      <c r="B43" s="2008" t="s">
        <v>2804</v>
      </c>
      <c r="C43" s="2008" t="s">
        <v>22</v>
      </c>
      <c r="D43" s="2008" t="s">
        <v>2759</v>
      </c>
      <c r="E43" s="2008" t="s">
        <v>2805</v>
      </c>
      <c r="F43" s="2008" t="s">
        <v>22</v>
      </c>
      <c r="G43" s="2008" t="s">
        <v>22</v>
      </c>
      <c r="H43" s="2008" t="s">
        <v>22</v>
      </c>
      <c r="I43" s="2008" t="s">
        <v>22</v>
      </c>
    </row>
    <row r="44" spans="1:9" ht="11.25" customHeight="1">
      <c r="A44" s="2008" t="s">
        <v>1687</v>
      </c>
      <c r="B44" s="2008" t="s">
        <v>2806</v>
      </c>
      <c r="C44" s="2008" t="s">
        <v>22</v>
      </c>
      <c r="D44" s="2008" t="s">
        <v>2807</v>
      </c>
      <c r="E44" s="2008" t="s">
        <v>2805</v>
      </c>
      <c r="F44" s="2008" t="s">
        <v>22</v>
      </c>
      <c r="G44" s="2008" t="s">
        <v>22</v>
      </c>
      <c r="H44" s="2008" t="s">
        <v>22</v>
      </c>
      <c r="I44" s="2008" t="s">
        <v>22</v>
      </c>
    </row>
    <row r="45" spans="1:9" ht="11.25" customHeight="1">
      <c r="A45" s="2008" t="s">
        <v>1692</v>
      </c>
      <c r="B45" s="2008" t="s">
        <v>2808</v>
      </c>
      <c r="C45" s="2008" t="s">
        <v>22</v>
      </c>
      <c r="D45" s="2008" t="s">
        <v>2809</v>
      </c>
      <c r="E45" s="2008" t="s">
        <v>2747</v>
      </c>
      <c r="F45" s="2008" t="s">
        <v>22</v>
      </c>
      <c r="G45" s="2008" t="s">
        <v>22</v>
      </c>
      <c r="H45" s="2008" t="s">
        <v>22</v>
      </c>
      <c r="I45" s="2008" t="s">
        <v>22</v>
      </c>
    </row>
    <row r="46" spans="1:9" ht="11.25" customHeight="1">
      <c r="A46" s="2008" t="s">
        <v>1696</v>
      </c>
      <c r="B46" s="2008" t="s">
        <v>2810</v>
      </c>
      <c r="C46" s="2008" t="s">
        <v>22</v>
      </c>
      <c r="D46" s="2008" t="s">
        <v>2771</v>
      </c>
      <c r="E46" s="2008" t="s">
        <v>2784</v>
      </c>
      <c r="F46" s="2008" t="s">
        <v>22</v>
      </c>
      <c r="G46" s="2008" t="s">
        <v>22</v>
      </c>
      <c r="H46" s="2008" t="s">
        <v>22</v>
      </c>
      <c r="I46" s="2008" t="s">
        <v>22</v>
      </c>
    </row>
    <row r="47" spans="1:9" ht="11.25" customHeight="1">
      <c r="A47" s="2008" t="s">
        <v>1702</v>
      </c>
      <c r="B47" s="2008" t="s">
        <v>2811</v>
      </c>
      <c r="C47" s="2008" t="s">
        <v>22</v>
      </c>
      <c r="D47" s="2008" t="s">
        <v>980</v>
      </c>
      <c r="E47" s="2008" t="s">
        <v>981</v>
      </c>
      <c r="F47" s="2008" t="s">
        <v>22</v>
      </c>
      <c r="G47" s="2008" t="s">
        <v>22</v>
      </c>
      <c r="H47" s="2008" t="s">
        <v>22</v>
      </c>
      <c r="I47" s="2008" t="s">
        <v>22</v>
      </c>
    </row>
    <row r="48" spans="1:9" ht="11.25" customHeight="1">
      <c r="A48" s="2008" t="s">
        <v>1707</v>
      </c>
      <c r="B48" s="2008" t="s">
        <v>2812</v>
      </c>
      <c r="C48" s="2008" t="s">
        <v>22</v>
      </c>
      <c r="D48" s="2008" t="s">
        <v>2759</v>
      </c>
      <c r="E48" s="2008" t="s">
        <v>2768</v>
      </c>
      <c r="F48" s="2008" t="s">
        <v>22</v>
      </c>
      <c r="G48" s="2008" t="s">
        <v>22</v>
      </c>
      <c r="H48" s="2008" t="s">
        <v>22</v>
      </c>
      <c r="I48" s="200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5"/>
  <sheetViews>
    <sheetView workbookViewId="0"/>
  </sheetViews>
  <sheetFormatPr defaultRowHeight="11.25" customHeight="1"/>
  <sheetData>
    <row r="1" spans="1:38" ht="11.25" customHeight="1">
      <c r="A1" t="s">
        <v>2279</v>
      </c>
      <c r="B1" t="s">
        <v>2280</v>
      </c>
      <c r="C1" t="s">
        <v>2281</v>
      </c>
      <c r="D1" t="s">
        <v>2813</v>
      </c>
      <c r="E1" t="s">
        <v>2814</v>
      </c>
      <c r="F1" t="s">
        <v>2815</v>
      </c>
      <c r="G1" t="s">
        <v>2816</v>
      </c>
      <c r="H1" t="s">
        <v>2817</v>
      </c>
      <c r="I1" t="s">
        <v>2818</v>
      </c>
      <c r="J1" t="s">
        <v>2819</v>
      </c>
      <c r="K1" t="s">
        <v>2820</v>
      </c>
      <c r="L1" t="s">
        <v>2821</v>
      </c>
      <c r="M1" t="s">
        <v>2822</v>
      </c>
      <c r="N1" t="s">
        <v>2823</v>
      </c>
      <c r="O1" t="s">
        <v>2656</v>
      </c>
      <c r="P1" t="s">
        <v>2658</v>
      </c>
      <c r="Q1" t="s">
        <v>2659</v>
      </c>
      <c r="R1" t="s">
        <v>2824</v>
      </c>
      <c r="S1" t="s">
        <v>2825</v>
      </c>
      <c r="T1" t="s">
        <v>2826</v>
      </c>
      <c r="U1" t="s">
        <v>2827</v>
      </c>
      <c r="V1" t="s">
        <v>2828</v>
      </c>
      <c r="W1" t="s">
        <v>2829</v>
      </c>
      <c r="X1" t="s">
        <v>2830</v>
      </c>
      <c r="Y1" t="s">
        <v>2831</v>
      </c>
      <c r="Z1" t="s">
        <v>2832</v>
      </c>
      <c r="AA1" t="s">
        <v>2833</v>
      </c>
      <c r="AB1" t="s">
        <v>2834</v>
      </c>
      <c r="AC1" t="s">
        <v>2835</v>
      </c>
      <c r="AD1" t="s">
        <v>2836</v>
      </c>
      <c r="AE1" t="s">
        <v>2837</v>
      </c>
      <c r="AF1" t="s">
        <v>2838</v>
      </c>
      <c r="AG1" t="s">
        <v>2839</v>
      </c>
      <c r="AH1" t="s">
        <v>2840</v>
      </c>
      <c r="AI1" t="s">
        <v>2841</v>
      </c>
      <c r="AJ1" t="s">
        <v>2842</v>
      </c>
      <c r="AK1" t="s">
        <v>2843</v>
      </c>
      <c r="AL1" t="s">
        <v>2844</v>
      </c>
    </row>
    <row r="2" spans="1:38" ht="11.25" customHeight="1">
      <c r="A2" t="s">
        <v>22</v>
      </c>
      <c r="B2" t="s">
        <v>48</v>
      </c>
      <c r="C2" t="s">
        <v>50</v>
      </c>
      <c r="D2" t="s">
        <v>22</v>
      </c>
      <c r="E2" t="s">
        <v>1024</v>
      </c>
      <c r="F2" t="s">
        <v>1025</v>
      </c>
      <c r="G2" t="s">
        <v>1026</v>
      </c>
      <c r="H2" t="s">
        <v>1026</v>
      </c>
      <c r="I2" t="s">
        <v>1027</v>
      </c>
      <c r="J2" t="s">
        <v>1028</v>
      </c>
      <c r="K2" t="s">
        <v>1029</v>
      </c>
      <c r="L2" t="s">
        <v>1030</v>
      </c>
      <c r="M2" t="s">
        <v>1031</v>
      </c>
      <c r="N2" t="s">
        <v>102</v>
      </c>
      <c r="O2" t="s">
        <v>2845</v>
      </c>
      <c r="P2" t="s">
        <v>2845</v>
      </c>
      <c r="Q2" t="s">
        <v>1027</v>
      </c>
      <c r="R2" t="s">
        <v>1028</v>
      </c>
      <c r="S2" t="s">
        <v>1029</v>
      </c>
      <c r="T2" t="s">
        <v>2846</v>
      </c>
      <c r="U2" t="s">
        <v>2847</v>
      </c>
      <c r="V2" t="s">
        <v>2848</v>
      </c>
      <c r="W2" t="s">
        <v>2849</v>
      </c>
      <c r="X2" t="s">
        <v>2850</v>
      </c>
      <c r="Y2" t="s">
        <v>2851</v>
      </c>
      <c r="Z2" t="s">
        <v>2852</v>
      </c>
      <c r="AA2" t="s">
        <v>2853</v>
      </c>
      <c r="AB2" t="s">
        <v>2854</v>
      </c>
      <c r="AC2" t="s">
        <v>65</v>
      </c>
      <c r="AD2" t="s">
        <v>65</v>
      </c>
      <c r="AE2" t="s">
        <v>65</v>
      </c>
      <c r="AF2" t="s">
        <v>2855</v>
      </c>
      <c r="AG2" t="s">
        <v>2856</v>
      </c>
      <c r="AH2" t="s">
        <v>2855</v>
      </c>
      <c r="AI2" t="s">
        <v>2857</v>
      </c>
      <c r="AJ2" t="s">
        <v>2855</v>
      </c>
      <c r="AK2" t="s">
        <v>2857</v>
      </c>
      <c r="AL2" t="s">
        <v>2858</v>
      </c>
    </row>
    <row r="3" spans="1:38" ht="11.25" customHeight="1">
      <c r="A3" t="s">
        <v>22</v>
      </c>
      <c r="B3" t="s">
        <v>48</v>
      </c>
      <c r="C3" t="s">
        <v>50</v>
      </c>
      <c r="D3" t="s">
        <v>22</v>
      </c>
      <c r="E3" t="s">
        <v>1024</v>
      </c>
      <c r="F3" t="s">
        <v>1061</v>
      </c>
      <c r="G3" t="s">
        <v>1062</v>
      </c>
      <c r="H3" t="s">
        <v>1062</v>
      </c>
      <c r="I3" t="s">
        <v>1063</v>
      </c>
      <c r="J3" t="s">
        <v>1064</v>
      </c>
      <c r="K3" t="s">
        <v>1065</v>
      </c>
      <c r="L3" t="s">
        <v>1030</v>
      </c>
      <c r="M3" t="s">
        <v>1031</v>
      </c>
      <c r="N3" t="s">
        <v>102</v>
      </c>
      <c r="O3" t="s">
        <v>2859</v>
      </c>
      <c r="P3" t="s">
        <v>2859</v>
      </c>
      <c r="Q3" t="s">
        <v>1063</v>
      </c>
      <c r="R3" t="s">
        <v>1064</v>
      </c>
      <c r="S3" t="s">
        <v>1065</v>
      </c>
      <c r="T3" t="s">
        <v>2846</v>
      </c>
      <c r="U3" t="s">
        <v>2847</v>
      </c>
      <c r="V3" t="s">
        <v>2848</v>
      </c>
      <c r="W3" t="s">
        <v>2849</v>
      </c>
      <c r="X3" t="s">
        <v>2850</v>
      </c>
      <c r="Y3" t="s">
        <v>2851</v>
      </c>
      <c r="Z3" t="s">
        <v>2852</v>
      </c>
      <c r="AA3" t="s">
        <v>2853</v>
      </c>
      <c r="AB3" t="s">
        <v>2854</v>
      </c>
      <c r="AC3" t="s">
        <v>65</v>
      </c>
      <c r="AD3" t="s">
        <v>19</v>
      </c>
      <c r="AE3" t="s">
        <v>19</v>
      </c>
      <c r="AF3" t="s">
        <v>2855</v>
      </c>
      <c r="AG3" t="s">
        <v>2860</v>
      </c>
      <c r="AH3" t="s">
        <v>22</v>
      </c>
      <c r="AI3" t="s">
        <v>22</v>
      </c>
      <c r="AJ3" t="s">
        <v>22</v>
      </c>
      <c r="AK3" t="s">
        <v>22</v>
      </c>
      <c r="AL3" t="s">
        <v>2858</v>
      </c>
    </row>
    <row r="4" spans="1:38" ht="11.25" customHeight="1">
      <c r="A4" t="s">
        <v>22</v>
      </c>
      <c r="B4" t="s">
        <v>48</v>
      </c>
      <c r="C4" t="s">
        <v>50</v>
      </c>
      <c r="D4" t="s">
        <v>22</v>
      </c>
      <c r="E4" t="s">
        <v>2861</v>
      </c>
      <c r="F4" t="s">
        <v>1061</v>
      </c>
      <c r="G4" t="s">
        <v>2720</v>
      </c>
      <c r="H4" t="s">
        <v>2720</v>
      </c>
      <c r="I4" t="s">
        <v>2721</v>
      </c>
      <c r="J4" t="s">
        <v>2862</v>
      </c>
      <c r="K4" t="s">
        <v>2863</v>
      </c>
      <c r="L4" t="s">
        <v>2862</v>
      </c>
      <c r="M4" t="s">
        <v>2864</v>
      </c>
      <c r="N4" t="s">
        <v>102</v>
      </c>
      <c r="O4" t="s">
        <v>2720</v>
      </c>
      <c r="P4" t="s">
        <v>2720</v>
      </c>
      <c r="Q4" t="s">
        <v>2721</v>
      </c>
      <c r="R4" t="s">
        <v>2862</v>
      </c>
      <c r="S4" t="s">
        <v>2863</v>
      </c>
      <c r="T4" t="s">
        <v>2846</v>
      </c>
      <c r="U4" t="s">
        <v>2847</v>
      </c>
      <c r="V4" t="s">
        <v>2848</v>
      </c>
      <c r="W4" t="s">
        <v>2849</v>
      </c>
      <c r="X4" t="s">
        <v>2850</v>
      </c>
      <c r="Y4" t="s">
        <v>2851</v>
      </c>
      <c r="Z4" t="s">
        <v>2865</v>
      </c>
      <c r="AA4" t="s">
        <v>2866</v>
      </c>
      <c r="AB4" t="s">
        <v>2854</v>
      </c>
      <c r="AC4" t="s">
        <v>65</v>
      </c>
      <c r="AD4" t="s">
        <v>19</v>
      </c>
      <c r="AE4" t="s">
        <v>19</v>
      </c>
      <c r="AF4" t="s">
        <v>2867</v>
      </c>
      <c r="AG4" t="s">
        <v>2868</v>
      </c>
      <c r="AH4" t="s">
        <v>22</v>
      </c>
      <c r="AI4" t="s">
        <v>22</v>
      </c>
      <c r="AJ4" t="s">
        <v>22</v>
      </c>
      <c r="AK4" t="s">
        <v>22</v>
      </c>
      <c r="AL4" t="s">
        <v>2869</v>
      </c>
    </row>
    <row r="5" spans="1:38" ht="11.25" customHeight="1">
      <c r="A5" t="s">
        <v>22</v>
      </c>
      <c r="B5" t="s">
        <v>48</v>
      </c>
      <c r="C5" t="s">
        <v>50</v>
      </c>
      <c r="D5" t="s">
        <v>22</v>
      </c>
      <c r="E5" t="s">
        <v>2870</v>
      </c>
      <c r="F5" t="s">
        <v>1061</v>
      </c>
      <c r="G5" t="s">
        <v>2720</v>
      </c>
      <c r="H5" t="s">
        <v>2720</v>
      </c>
      <c r="I5" t="s">
        <v>2721</v>
      </c>
      <c r="J5" t="s">
        <v>2862</v>
      </c>
      <c r="K5" t="s">
        <v>2863</v>
      </c>
      <c r="L5" t="s">
        <v>2862</v>
      </c>
      <c r="M5" t="s">
        <v>2871</v>
      </c>
      <c r="N5" t="s">
        <v>102</v>
      </c>
      <c r="O5" t="s">
        <v>2720</v>
      </c>
      <c r="P5" t="s">
        <v>2720</v>
      </c>
      <c r="Q5" t="s">
        <v>2721</v>
      </c>
      <c r="R5" t="s">
        <v>2862</v>
      </c>
      <c r="S5" t="s">
        <v>2863</v>
      </c>
      <c r="T5" t="s">
        <v>2846</v>
      </c>
      <c r="U5" t="s">
        <v>2847</v>
      </c>
      <c r="V5" t="s">
        <v>2848</v>
      </c>
      <c r="W5" t="s">
        <v>2849</v>
      </c>
      <c r="X5" t="s">
        <v>2850</v>
      </c>
      <c r="Y5" t="s">
        <v>2851</v>
      </c>
      <c r="Z5" t="s">
        <v>2865</v>
      </c>
      <c r="AA5" t="s">
        <v>2866</v>
      </c>
      <c r="AB5" t="s">
        <v>2854</v>
      </c>
      <c r="AC5" t="s">
        <v>65</v>
      </c>
      <c r="AD5" t="s">
        <v>19</v>
      </c>
      <c r="AE5" t="s">
        <v>19</v>
      </c>
      <c r="AF5" t="s">
        <v>2872</v>
      </c>
      <c r="AG5" t="s">
        <v>2873</v>
      </c>
      <c r="AH5" t="s">
        <v>22</v>
      </c>
      <c r="AI5" t="s">
        <v>22</v>
      </c>
      <c r="AJ5" t="s">
        <v>22</v>
      </c>
      <c r="AK5" t="s">
        <v>22</v>
      </c>
      <c r="AL5" t="s">
        <v>2869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398" hidden="1" customWidth="1"/>
    <col min="2" max="2" width="9.140625" style="2400" hidden="1" customWidth="1"/>
    <col min="3" max="3" width="3" style="2412" customWidth="1"/>
    <col min="4" max="4" width="5" style="2400" customWidth="1"/>
    <col min="5" max="5" width="48" style="2400" customWidth="1"/>
    <col min="6" max="6" width="38" style="2400" customWidth="1"/>
    <col min="7" max="7" width="1.7109375" style="2400" hidden="1" customWidth="1"/>
    <col min="8" max="11" width="19.85546875" style="2400" customWidth="1"/>
    <col min="12" max="12" width="9.7109375" style="2400" customWidth="1"/>
    <col min="13" max="18" width="19.85546875" style="2400" customWidth="1"/>
    <col min="19" max="19" width="1.7109375" style="2400" hidden="1" customWidth="1"/>
    <col min="20" max="22" width="19.85546875" style="2400" hidden="1" customWidth="1"/>
    <col min="23" max="23" width="1.7109375" style="2400" hidden="1" customWidth="1"/>
    <col min="24" max="26" width="19.85546875" style="2400" hidden="1" customWidth="1"/>
    <col min="27" max="27" width="1.7109375" style="2400" hidden="1" customWidth="1"/>
    <col min="28" max="29" width="19.85546875" style="2400" hidden="1" customWidth="1"/>
    <col min="30" max="30" width="1.7109375" style="2400" hidden="1" customWidth="1"/>
    <col min="31" max="31" width="103.7109375" style="2400" customWidth="1"/>
    <col min="32" max="34" width="103.7109375" style="2400" hidden="1" customWidth="1"/>
    <col min="35" max="35" width="3" style="2409" customWidth="1"/>
    <col min="36" max="38" width="10" style="2407" customWidth="1"/>
    <col min="39" max="39" width="13.7109375" style="2407" hidden="1" customWidth="1"/>
    <col min="40" max="40" width="15" style="2407" customWidth="1"/>
    <col min="41" max="41" width="16" style="2407" customWidth="1"/>
    <col min="42" max="45" width="10" style="2407" customWidth="1"/>
    <col min="46" max="46" width="10.5703125" style="2400" hidden="1"/>
  </cols>
  <sheetData>
    <row r="1" spans="1:46" ht="22.5" hidden="1" customHeight="1">
      <c r="E1" s="348"/>
      <c r="F1" s="348"/>
      <c r="G1" s="348"/>
      <c r="H1" s="2620" t="s">
        <v>343</v>
      </c>
      <c r="I1" s="2620"/>
      <c r="J1" s="2620"/>
      <c r="K1" s="2620"/>
      <c r="L1" s="2620"/>
      <c r="M1" s="2620"/>
      <c r="N1" s="2620"/>
      <c r="O1" s="2620"/>
      <c r="P1" s="2620"/>
      <c r="Q1" s="2620"/>
      <c r="R1" s="2620"/>
      <c r="T1" s="2620" t="s">
        <v>344</v>
      </c>
      <c r="U1" s="2620"/>
      <c r="V1" s="2620"/>
      <c r="X1" s="2620" t="s">
        <v>345</v>
      </c>
      <c r="Y1" s="2620"/>
      <c r="Z1" s="2620"/>
      <c r="AB1" s="2620" t="s">
        <v>346</v>
      </c>
      <c r="AC1" s="2620"/>
      <c r="AT1" s="383" t="s">
        <v>14</v>
      </c>
    </row>
    <row r="2" spans="1:46" ht="14.25" hidden="1" customHeight="1">
      <c r="AT2" s="383">
        <v>0</v>
      </c>
    </row>
    <row r="3" spans="1:46" s="2430" customFormat="1" ht="5.25" customHeight="1">
      <c r="C3" s="637"/>
      <c r="D3" s="638"/>
      <c r="E3" s="638"/>
      <c r="F3" s="638"/>
      <c r="G3" s="638"/>
      <c r="H3" s="638" t="s">
        <v>347</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56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65"/>
      <c r="F4" s="2565"/>
      <c r="G4" s="2565"/>
      <c r="H4" s="2565"/>
      <c r="I4" s="2565"/>
      <c r="J4" s="2565"/>
      <c r="K4" s="2565"/>
      <c r="L4" s="2565"/>
      <c r="M4" s="2565"/>
      <c r="N4" s="2565"/>
      <c r="O4" s="2565"/>
      <c r="P4" s="2565"/>
      <c r="Q4" s="2565"/>
      <c r="R4" s="2566"/>
      <c r="S4" s="779"/>
      <c r="T4" s="635"/>
      <c r="U4" s="635"/>
      <c r="V4" s="635"/>
      <c r="W4" s="635"/>
      <c r="X4" s="635"/>
      <c r="Y4" s="635"/>
      <c r="Z4" s="635"/>
      <c r="AA4" s="635"/>
      <c r="AB4" s="635"/>
      <c r="AC4" s="635"/>
      <c r="AD4" s="635"/>
      <c r="AE4" s="427"/>
      <c r="AF4" s="427"/>
      <c r="AG4" s="427"/>
      <c r="AH4" s="427"/>
      <c r="AI4" s="424"/>
      <c r="AT4" s="383">
        <v>38</v>
      </c>
    </row>
    <row r="5" spans="1:46" s="2400" customFormat="1" ht="18" customHeight="1">
      <c r="A5" s="693"/>
      <c r="C5" s="752"/>
      <c r="D5" s="2617" t="str">
        <f>IF(org=0,"Не определено",org)</f>
        <v>ПАО "ТГК-1" (филиал "Кольский")</v>
      </c>
      <c r="E5" s="2618"/>
      <c r="F5" s="2618"/>
      <c r="G5" s="2618"/>
      <c r="H5" s="2618"/>
      <c r="I5" s="2618"/>
      <c r="J5" s="2618"/>
      <c r="K5" s="2618"/>
      <c r="L5" s="2618"/>
      <c r="M5" s="2618"/>
      <c r="N5" s="2618"/>
      <c r="O5" s="2618"/>
      <c r="P5" s="2618"/>
      <c r="Q5" s="2618"/>
      <c r="R5" s="2619"/>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399"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608" t="s">
        <v>291</v>
      </c>
      <c r="E7" s="2621"/>
      <c r="F7" s="2621"/>
      <c r="G7" s="2621"/>
      <c r="H7" s="2621"/>
      <c r="I7" s="2621"/>
      <c r="J7" s="2621"/>
      <c r="K7" s="2621"/>
      <c r="L7" s="2621"/>
      <c r="M7" s="2621"/>
      <c r="N7" s="2621"/>
      <c r="O7" s="2621"/>
      <c r="P7" s="2621"/>
      <c r="Q7" s="2621"/>
      <c r="R7" s="2621"/>
      <c r="S7" s="2621"/>
      <c r="T7" s="2621"/>
      <c r="U7" s="2621"/>
      <c r="V7" s="2621"/>
      <c r="W7" s="2621"/>
      <c r="X7" s="2621"/>
      <c r="Y7" s="2621"/>
      <c r="Z7" s="2621"/>
      <c r="AA7" s="2621"/>
      <c r="AB7" s="2621"/>
      <c r="AC7" s="2621"/>
      <c r="AD7" s="2622"/>
      <c r="AE7" s="2571" t="s">
        <v>292</v>
      </c>
      <c r="AF7" s="2571" t="s">
        <v>292</v>
      </c>
      <c r="AG7" s="2571" t="s">
        <v>292</v>
      </c>
      <c r="AH7" s="2571" t="s">
        <v>292</v>
      </c>
      <c r="AT7" s="383">
        <v>14</v>
      </c>
    </row>
    <row r="8" spans="1:46" ht="27.4" customHeight="1">
      <c r="C8" s="386"/>
      <c r="D8" s="2514" t="s">
        <v>84</v>
      </c>
      <c r="E8" s="2571" t="str">
        <f>"Наименование "&amp;IF(TEMPLATE_SPHERE&lt;&gt;"HEAT","централизованной ","")&amp;"системы "&amp;TEMPLATE_SPHERE_RUS</f>
        <v>Наименование системы теплоснабжения</v>
      </c>
      <c r="F8" s="2571" t="str">
        <f>IF(TEMPLATE_SPHERE&lt;&gt;"HEAT","Регулируемый вид деятельности","Вид регулируемой деятельности")</f>
        <v>Вид регулируемой деятельности</v>
      </c>
      <c r="G8" s="758"/>
      <c r="H8" s="2609" t="s">
        <v>348</v>
      </c>
      <c r="I8" s="2613" t="s">
        <v>349</v>
      </c>
      <c r="J8" s="2571" t="s">
        <v>350</v>
      </c>
      <c r="K8" s="2571"/>
      <c r="L8" s="2571"/>
      <c r="M8" s="2608"/>
      <c r="N8" s="2571" t="s">
        <v>351</v>
      </c>
      <c r="O8" s="2571"/>
      <c r="P8" s="2571" t="s">
        <v>352</v>
      </c>
      <c r="Q8" s="2571"/>
      <c r="R8" s="2611" t="s">
        <v>353</v>
      </c>
      <c r="S8" s="754"/>
      <c r="T8" s="2609" t="s">
        <v>354</v>
      </c>
      <c r="U8" s="2609" t="s">
        <v>355</v>
      </c>
      <c r="V8" s="2609" t="s">
        <v>356</v>
      </c>
      <c r="W8" s="756"/>
      <c r="X8" s="2609" t="s">
        <v>357</v>
      </c>
      <c r="Y8" s="2609" t="s">
        <v>358</v>
      </c>
      <c r="Z8" s="2609" t="s">
        <v>359</v>
      </c>
      <c r="AA8" s="756"/>
      <c r="AB8" s="2609" t="s">
        <v>360</v>
      </c>
      <c r="AC8" s="2609" t="s">
        <v>353</v>
      </c>
      <c r="AD8" s="756"/>
      <c r="AE8" s="2571"/>
      <c r="AF8" s="2571"/>
      <c r="AG8" s="2571"/>
      <c r="AH8" s="2571"/>
      <c r="AT8" s="383">
        <v>26</v>
      </c>
    </row>
    <row r="9" spans="1:46" ht="46.15" customHeight="1">
      <c r="C9" s="386"/>
      <c r="D9" s="2514"/>
      <c r="E9" s="2571"/>
      <c r="F9" s="2571"/>
      <c r="G9" s="759"/>
      <c r="H9" s="2610"/>
      <c r="I9" s="2614"/>
      <c r="J9" s="361" t="s">
        <v>361</v>
      </c>
      <c r="K9" s="361" t="s">
        <v>362</v>
      </c>
      <c r="L9" s="361" t="s">
        <v>363</v>
      </c>
      <c r="M9" s="367" t="s">
        <v>364</v>
      </c>
      <c r="N9" s="361" t="s">
        <v>365</v>
      </c>
      <c r="O9" s="361" t="s">
        <v>364</v>
      </c>
      <c r="P9" s="361" t="s">
        <v>366</v>
      </c>
      <c r="Q9" s="361" t="s">
        <v>364</v>
      </c>
      <c r="R9" s="2612"/>
      <c r="S9" s="755"/>
      <c r="T9" s="2610"/>
      <c r="U9" s="2610"/>
      <c r="V9" s="2610"/>
      <c r="W9" s="757"/>
      <c r="X9" s="2610"/>
      <c r="Y9" s="2610"/>
      <c r="Z9" s="2610"/>
      <c r="AA9" s="757"/>
      <c r="AB9" s="2610"/>
      <c r="AC9" s="2610"/>
      <c r="AD9" s="757"/>
      <c r="AE9" s="2571"/>
      <c r="AF9" s="2571"/>
      <c r="AG9" s="2571"/>
      <c r="AH9" s="257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431" customFormat="1" ht="11.25" hidden="1" customHeight="1">
      <c r="C11" s="434"/>
      <c r="D11" s="435" t="s">
        <v>367</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102</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615" t="s">
        <v>368</v>
      </c>
      <c r="AF12" s="2615" t="s">
        <v>369</v>
      </c>
      <c r="AG12" s="2615" t="s">
        <v>370</v>
      </c>
      <c r="AH12" s="2615" t="s">
        <v>371</v>
      </c>
      <c r="AI12" s="383"/>
      <c r="AM12" s="447"/>
      <c r="AP12" s="436" t="s">
        <v>372</v>
      </c>
      <c r="AQ12" s="436" t="s">
        <v>372</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616"/>
      <c r="AF13" s="2616"/>
      <c r="AG13" s="2616"/>
      <c r="AH13" s="261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78</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476"/>
  </cols>
  <sheetData>
    <row r="1" spans="1:2" ht="11.25" customHeight="1">
      <c r="A1" s="120" t="s">
        <v>123</v>
      </c>
      <c r="B1" s="120" t="s">
        <v>2874</v>
      </c>
    </row>
    <row r="2" spans="1:2" ht="11.25" customHeight="1">
      <c r="A2" s="3" t="s">
        <v>94</v>
      </c>
      <c r="B2" s="3" t="s">
        <v>2875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475"/>
    <col min="2" max="2" width="65.28515625" style="2475" customWidth="1"/>
  </cols>
  <sheetData>
    <row r="1" spans="1:2" ht="11.25" customHeight="1">
      <c r="A1" s="765" t="s">
        <v>2876</v>
      </c>
      <c r="B1" s="765" t="s">
        <v>2877</v>
      </c>
    </row>
    <row r="2" spans="1:2" ht="11.25" customHeight="1">
      <c r="A2" s="765">
        <v>4213775</v>
      </c>
      <c r="B2" s="765" t="s">
        <v>1273</v>
      </c>
    </row>
    <row r="3" spans="1:2" ht="11.25" customHeight="1">
      <c r="A3" s="765">
        <v>4213784</v>
      </c>
      <c r="B3" s="765" t="s">
        <v>1307</v>
      </c>
    </row>
    <row r="4" spans="1:2" ht="11.25" customHeight="1">
      <c r="A4" s="765">
        <v>4213781</v>
      </c>
      <c r="B4" s="765" t="s">
        <v>1300</v>
      </c>
    </row>
    <row r="5" spans="1:2" ht="11.25" customHeight="1">
      <c r="A5" s="765">
        <v>4213776</v>
      </c>
      <c r="B5" s="765" t="s">
        <v>159</v>
      </c>
    </row>
    <row r="6" spans="1:2" ht="11.25" customHeight="1">
      <c r="A6" s="765">
        <v>4213777</v>
      </c>
      <c r="B6" s="765" t="s">
        <v>165</v>
      </c>
    </row>
    <row r="7" spans="1:2" ht="11.25" customHeight="1">
      <c r="A7" s="765">
        <v>4213778</v>
      </c>
      <c r="B7" s="765" t="s">
        <v>171</v>
      </c>
    </row>
    <row r="8" spans="1:2" ht="11.25" customHeight="1">
      <c r="A8" s="765">
        <v>4213780</v>
      </c>
      <c r="B8" s="765" t="s">
        <v>177</v>
      </c>
    </row>
    <row r="9" spans="1:2" ht="11.25" customHeight="1">
      <c r="A9" s="765">
        <v>4213779</v>
      </c>
      <c r="B9" s="765" t="s">
        <v>1439</v>
      </c>
    </row>
    <row r="10" spans="1:2" ht="11.25" customHeight="1">
      <c r="A10" s="765">
        <v>4213783</v>
      </c>
      <c r="B10" s="765" t="s">
        <v>1453</v>
      </c>
    </row>
    <row r="11" spans="1:2" ht="11.25" customHeight="1">
      <c r="A11" s="765">
        <v>4213782</v>
      </c>
      <c r="B11" s="765" t="s">
        <v>183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475"/>
    <col min="2" max="2" width="65.28515625" style="2475" customWidth="1"/>
  </cols>
  <sheetData>
    <row r="1" spans="1:2" ht="11.25" customHeight="1">
      <c r="A1" s="765" t="s">
        <v>2876</v>
      </c>
      <c r="B1" s="765" t="s">
        <v>2878</v>
      </c>
    </row>
    <row r="2" spans="1:2" ht="11.25" customHeight="1">
      <c r="A2" s="765" t="s">
        <v>2879</v>
      </c>
      <c r="B2" s="765" t="s">
        <v>1547</v>
      </c>
    </row>
    <row r="3" spans="1:2" ht="11.25" customHeight="1">
      <c r="A3" s="765" t="s">
        <v>2880</v>
      </c>
      <c r="B3" s="765" t="s">
        <v>1557</v>
      </c>
    </row>
    <row r="4" spans="1:2" ht="11.25" customHeight="1">
      <c r="A4" s="765" t="s">
        <v>2881</v>
      </c>
      <c r="B4" s="765" t="s">
        <v>1566</v>
      </c>
    </row>
    <row r="5" spans="1:2" ht="11.25" customHeight="1">
      <c r="A5" s="765" t="s">
        <v>2882</v>
      </c>
      <c r="B5" s="765" t="s">
        <v>1575</v>
      </c>
    </row>
    <row r="6" spans="1:2" ht="11.25" customHeight="1">
      <c r="A6" s="765" t="s">
        <v>2883</v>
      </c>
      <c r="B6" s="765" t="s">
        <v>1581</v>
      </c>
    </row>
    <row r="7" spans="1:2" ht="11.25" customHeight="1">
      <c r="A7" s="765" t="s">
        <v>2884</v>
      </c>
      <c r="B7" s="765" t="s">
        <v>1589</v>
      </c>
    </row>
    <row r="8" spans="1:2" ht="11.25" customHeight="1">
      <c r="A8" s="765" t="s">
        <v>2885</v>
      </c>
      <c r="B8" s="765" t="s">
        <v>1595</v>
      </c>
    </row>
    <row r="9" spans="1:2" ht="11.25" customHeight="1">
      <c r="A9" s="765" t="s">
        <v>2886</v>
      </c>
      <c r="B9" s="765" t="s">
        <v>1601</v>
      </c>
    </row>
    <row r="10" spans="1:2" ht="11.25" customHeight="1">
      <c r="A10" s="765" t="s">
        <v>2887</v>
      </c>
      <c r="B10" s="765" t="s">
        <v>1605</v>
      </c>
    </row>
    <row r="11" spans="1:2" ht="11.25" customHeight="1">
      <c r="A11" s="765" t="s">
        <v>2888</v>
      </c>
      <c r="B11" s="765" t="s">
        <v>1612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09" t="s">
        <v>2661</v>
      </c>
      <c r="B1" s="309" t="s">
        <v>2656</v>
      </c>
      <c r="C1" s="309" t="s">
        <v>2658</v>
      </c>
      <c r="D1" s="309" t="s">
        <v>2659</v>
      </c>
    </row>
    <row r="2" spans="1:4" ht="11.25" customHeight="1">
      <c r="A2">
        <v>1</v>
      </c>
      <c r="B2" t="s">
        <v>2889</v>
      </c>
      <c r="C2" t="s">
        <v>2889</v>
      </c>
      <c r="D2" t="s">
        <v>2890</v>
      </c>
    </row>
    <row r="3" spans="1:4" ht="11.25" customHeight="1">
      <c r="A3">
        <v>2</v>
      </c>
      <c r="B3" t="s">
        <v>2889</v>
      </c>
      <c r="C3" t="s">
        <v>2891</v>
      </c>
      <c r="D3" t="s">
        <v>2892</v>
      </c>
    </row>
    <row r="4" spans="1:4" ht="11.25" customHeight="1">
      <c r="A4">
        <v>3</v>
      </c>
      <c r="B4" t="s">
        <v>2889</v>
      </c>
      <c r="C4" t="s">
        <v>2893</v>
      </c>
      <c r="D4" t="s">
        <v>2894</v>
      </c>
    </row>
    <row r="5" spans="1:4" ht="11.25" customHeight="1">
      <c r="A5">
        <v>4</v>
      </c>
      <c r="B5" t="s">
        <v>2889</v>
      </c>
      <c r="C5" t="s">
        <v>2895</v>
      </c>
      <c r="D5" t="s">
        <v>2896</v>
      </c>
    </row>
    <row r="6" spans="1:4" ht="11.25" customHeight="1">
      <c r="A6">
        <v>5</v>
      </c>
      <c r="B6" t="s">
        <v>2889</v>
      </c>
      <c r="C6" t="s">
        <v>2897</v>
      </c>
      <c r="D6" t="s">
        <v>2898</v>
      </c>
    </row>
    <row r="7" spans="1:4" ht="11.25" customHeight="1">
      <c r="A7">
        <v>6</v>
      </c>
      <c r="B7" t="s">
        <v>2889</v>
      </c>
      <c r="C7" t="s">
        <v>2899</v>
      </c>
      <c r="D7" t="s">
        <v>2900</v>
      </c>
    </row>
    <row r="8" spans="1:4" ht="11.25" customHeight="1">
      <c r="A8">
        <v>7</v>
      </c>
      <c r="B8" t="s">
        <v>2889</v>
      </c>
      <c r="C8" t="s">
        <v>2901</v>
      </c>
      <c r="D8" t="s">
        <v>2902</v>
      </c>
    </row>
    <row r="9" spans="1:4" ht="11.25" customHeight="1">
      <c r="A9">
        <v>8</v>
      </c>
      <c r="B9" t="s">
        <v>2889</v>
      </c>
      <c r="C9" t="s">
        <v>2903</v>
      </c>
      <c r="D9" t="s">
        <v>2904</v>
      </c>
    </row>
    <row r="10" spans="1:4" ht="11.25" customHeight="1">
      <c r="A10">
        <v>9</v>
      </c>
      <c r="B10" t="s">
        <v>2889</v>
      </c>
      <c r="C10" t="s">
        <v>2905</v>
      </c>
      <c r="D10" t="s">
        <v>2906</v>
      </c>
    </row>
    <row r="11" spans="1:4" ht="11.25" customHeight="1">
      <c r="A11">
        <v>10</v>
      </c>
      <c r="B11" t="s">
        <v>2889</v>
      </c>
      <c r="C11" t="s">
        <v>2907</v>
      </c>
      <c r="D11" t="s">
        <v>2908</v>
      </c>
    </row>
    <row r="12" spans="1:4" ht="11.25" customHeight="1">
      <c r="A12">
        <v>11</v>
      </c>
      <c r="B12" t="s">
        <v>2889</v>
      </c>
      <c r="C12" t="s">
        <v>2909</v>
      </c>
      <c r="D12" t="s">
        <v>2910</v>
      </c>
    </row>
    <row r="13" spans="1:4" ht="11.25" customHeight="1">
      <c r="A13">
        <v>13</v>
      </c>
      <c r="B13" t="s">
        <v>2889</v>
      </c>
      <c r="C13" t="s">
        <v>2911</v>
      </c>
      <c r="D13" t="s">
        <v>2912</v>
      </c>
    </row>
    <row r="14" spans="1:4" ht="11.25" customHeight="1">
      <c r="A14">
        <v>14</v>
      </c>
      <c r="B14" t="s">
        <v>2889</v>
      </c>
      <c r="C14" t="s">
        <v>2913</v>
      </c>
      <c r="D14" t="s">
        <v>2914</v>
      </c>
    </row>
    <row r="15" spans="1:4" ht="11.25" customHeight="1">
      <c r="A15">
        <v>15</v>
      </c>
      <c r="B15" t="s">
        <v>2889</v>
      </c>
      <c r="C15" t="s">
        <v>2915</v>
      </c>
      <c r="D15" t="s">
        <v>2916</v>
      </c>
    </row>
    <row r="16" spans="1:4" ht="11.25" customHeight="1">
      <c r="A16">
        <v>16</v>
      </c>
      <c r="B16" t="s">
        <v>2889</v>
      </c>
      <c r="C16" t="s">
        <v>2917</v>
      </c>
      <c r="D16" t="s">
        <v>2918</v>
      </c>
    </row>
    <row r="17" spans="1:4" ht="11.25" customHeight="1">
      <c r="A17">
        <v>17</v>
      </c>
      <c r="B17" t="s">
        <v>2889</v>
      </c>
      <c r="C17" t="s">
        <v>2919</v>
      </c>
      <c r="D17" t="s">
        <v>2920</v>
      </c>
    </row>
    <row r="18" spans="1:4" ht="11.25" customHeight="1">
      <c r="A18">
        <v>18</v>
      </c>
      <c r="B18" t="s">
        <v>2889</v>
      </c>
      <c r="C18" t="s">
        <v>2921</v>
      </c>
      <c r="D18" t="s">
        <v>2922</v>
      </c>
    </row>
    <row r="19" spans="1:4" ht="11.25" customHeight="1">
      <c r="A19">
        <v>19</v>
      </c>
      <c r="B19" t="s">
        <v>2889</v>
      </c>
      <c r="C19" t="s">
        <v>2923</v>
      </c>
      <c r="D19" t="s">
        <v>2924</v>
      </c>
    </row>
    <row r="20" spans="1:4" ht="11.25" customHeight="1">
      <c r="A20">
        <v>20</v>
      </c>
      <c r="B20" t="s">
        <v>2889</v>
      </c>
      <c r="C20" t="s">
        <v>2925</v>
      </c>
      <c r="D20" t="s">
        <v>2926</v>
      </c>
    </row>
    <row r="21" spans="1:4" ht="11.25" customHeight="1">
      <c r="A21">
        <v>21</v>
      </c>
      <c r="B21" t="s">
        <v>2927</v>
      </c>
      <c r="C21" t="s">
        <v>2928</v>
      </c>
      <c r="D21" t="s">
        <v>2929</v>
      </c>
    </row>
    <row r="22" spans="1:4" ht="11.25" customHeight="1">
      <c r="A22">
        <v>22</v>
      </c>
      <c r="B22" t="s">
        <v>2927</v>
      </c>
      <c r="C22" t="s">
        <v>2927</v>
      </c>
      <c r="D22" t="s">
        <v>2930</v>
      </c>
    </row>
    <row r="23" spans="1:4" ht="11.25" customHeight="1">
      <c r="A23">
        <v>23</v>
      </c>
      <c r="B23" t="s">
        <v>2927</v>
      </c>
      <c r="C23" t="s">
        <v>2931</v>
      </c>
      <c r="D23" t="s">
        <v>2932</v>
      </c>
    </row>
    <row r="24" spans="1:4" ht="11.25" customHeight="1">
      <c r="A24">
        <v>24</v>
      </c>
      <c r="B24" t="s">
        <v>2927</v>
      </c>
      <c r="C24" t="s">
        <v>2933</v>
      </c>
      <c r="D24" t="s">
        <v>2934</v>
      </c>
    </row>
    <row r="25" spans="1:4" ht="11.25" customHeight="1">
      <c r="A25">
        <v>25</v>
      </c>
      <c r="B25" t="s">
        <v>2927</v>
      </c>
      <c r="C25" t="s">
        <v>2935</v>
      </c>
      <c r="D25" t="s">
        <v>2936</v>
      </c>
    </row>
    <row r="26" spans="1:4" ht="11.25" customHeight="1">
      <c r="A26">
        <v>26</v>
      </c>
      <c r="B26" t="s">
        <v>2927</v>
      </c>
      <c r="C26" t="s">
        <v>2937</v>
      </c>
      <c r="D26" t="s">
        <v>2938</v>
      </c>
    </row>
    <row r="27" spans="1:4" ht="11.25" customHeight="1">
      <c r="A27">
        <v>27</v>
      </c>
      <c r="B27" t="s">
        <v>2927</v>
      </c>
      <c r="C27" t="s">
        <v>2939</v>
      </c>
      <c r="D27" t="s">
        <v>2940</v>
      </c>
    </row>
    <row r="28" spans="1:4" ht="11.25" customHeight="1">
      <c r="A28">
        <v>28</v>
      </c>
      <c r="B28" t="s">
        <v>2927</v>
      </c>
      <c r="C28" t="s">
        <v>2941</v>
      </c>
      <c r="D28" t="s">
        <v>2942</v>
      </c>
    </row>
    <row r="29" spans="1:4" ht="11.25" customHeight="1">
      <c r="A29">
        <v>29</v>
      </c>
      <c r="B29" t="s">
        <v>2927</v>
      </c>
      <c r="C29" t="s">
        <v>2943</v>
      </c>
      <c r="D29" t="s">
        <v>2944</v>
      </c>
    </row>
    <row r="30" spans="1:4" ht="11.25" customHeight="1">
      <c r="A30">
        <v>30</v>
      </c>
      <c r="B30" t="s">
        <v>2927</v>
      </c>
      <c r="C30" t="s">
        <v>2945</v>
      </c>
      <c r="D30" t="s">
        <v>2946</v>
      </c>
    </row>
    <row r="31" spans="1:4" ht="11.25" customHeight="1">
      <c r="A31">
        <v>31</v>
      </c>
      <c r="B31" t="s">
        <v>2927</v>
      </c>
      <c r="C31" t="s">
        <v>2947</v>
      </c>
      <c r="D31" t="s">
        <v>2948</v>
      </c>
    </row>
    <row r="32" spans="1:4" ht="11.25" customHeight="1">
      <c r="A32">
        <v>32</v>
      </c>
      <c r="B32" t="s">
        <v>2949</v>
      </c>
      <c r="C32" t="s">
        <v>2949</v>
      </c>
      <c r="D32" t="s">
        <v>2950</v>
      </c>
    </row>
    <row r="33" spans="1:4" ht="11.25" customHeight="1">
      <c r="A33">
        <v>33</v>
      </c>
      <c r="B33" t="s">
        <v>2949</v>
      </c>
      <c r="C33" t="s">
        <v>2951</v>
      </c>
      <c r="D33" t="s">
        <v>2952</v>
      </c>
    </row>
    <row r="34" spans="1:4" ht="11.25" customHeight="1">
      <c r="A34">
        <v>34</v>
      </c>
      <c r="B34" t="s">
        <v>2949</v>
      </c>
      <c r="C34" t="s">
        <v>2953</v>
      </c>
      <c r="D34" t="s">
        <v>2954</v>
      </c>
    </row>
    <row r="35" spans="1:4" ht="11.25" customHeight="1">
      <c r="A35">
        <v>35</v>
      </c>
      <c r="B35" t="s">
        <v>2949</v>
      </c>
      <c r="C35" t="s">
        <v>2955</v>
      </c>
      <c r="D35" t="s">
        <v>2956</v>
      </c>
    </row>
    <row r="36" spans="1:4" ht="11.25" customHeight="1">
      <c r="A36">
        <v>36</v>
      </c>
      <c r="B36" t="s">
        <v>2949</v>
      </c>
      <c r="C36" t="s">
        <v>2957</v>
      </c>
      <c r="D36" t="s">
        <v>2958</v>
      </c>
    </row>
    <row r="37" spans="1:4" ht="11.25" customHeight="1">
      <c r="A37">
        <v>37</v>
      </c>
      <c r="B37" t="s">
        <v>2949</v>
      </c>
      <c r="C37" t="s">
        <v>2959</v>
      </c>
      <c r="D37" t="s">
        <v>2960</v>
      </c>
    </row>
    <row r="38" spans="1:4" ht="11.25" customHeight="1">
      <c r="A38">
        <v>38</v>
      </c>
      <c r="B38" t="s">
        <v>2949</v>
      </c>
      <c r="C38" t="s">
        <v>2915</v>
      </c>
      <c r="D38" t="s">
        <v>2961</v>
      </c>
    </row>
    <row r="39" spans="1:4" ht="11.25" customHeight="1">
      <c r="A39">
        <v>39</v>
      </c>
      <c r="B39" t="s">
        <v>2949</v>
      </c>
      <c r="C39" t="s">
        <v>2962</v>
      </c>
      <c r="D39" t="s">
        <v>2963</v>
      </c>
    </row>
    <row r="40" spans="1:4" ht="11.25" customHeight="1">
      <c r="A40">
        <v>40</v>
      </c>
      <c r="B40" t="s">
        <v>2949</v>
      </c>
      <c r="C40" t="s">
        <v>2964</v>
      </c>
      <c r="D40" t="s">
        <v>2965</v>
      </c>
    </row>
    <row r="41" spans="1:4" ht="11.25" customHeight="1">
      <c r="A41">
        <v>41</v>
      </c>
      <c r="B41" t="s">
        <v>2966</v>
      </c>
      <c r="C41" t="s">
        <v>2966</v>
      </c>
      <c r="D41" t="s">
        <v>2967</v>
      </c>
    </row>
    <row r="42" spans="1:4" ht="11.25" customHeight="1">
      <c r="A42">
        <v>42</v>
      </c>
      <c r="B42" t="s">
        <v>2966</v>
      </c>
      <c r="C42" t="s">
        <v>2968</v>
      </c>
      <c r="D42" t="s">
        <v>2969</v>
      </c>
    </row>
    <row r="43" spans="1:4" ht="11.25" customHeight="1">
      <c r="A43">
        <v>43</v>
      </c>
      <c r="B43" t="s">
        <v>2966</v>
      </c>
      <c r="C43" t="s">
        <v>2970</v>
      </c>
      <c r="D43" t="s">
        <v>2971</v>
      </c>
    </row>
    <row r="44" spans="1:4" ht="11.25" customHeight="1">
      <c r="A44">
        <v>44</v>
      </c>
      <c r="B44" t="s">
        <v>2966</v>
      </c>
      <c r="C44" t="s">
        <v>2972</v>
      </c>
      <c r="D44" t="s">
        <v>2973</v>
      </c>
    </row>
    <row r="45" spans="1:4" ht="11.25" customHeight="1">
      <c r="A45">
        <v>45</v>
      </c>
      <c r="B45" t="s">
        <v>2966</v>
      </c>
      <c r="C45" t="s">
        <v>2974</v>
      </c>
      <c r="D45" t="s">
        <v>2975</v>
      </c>
    </row>
    <row r="46" spans="1:4" ht="11.25" customHeight="1">
      <c r="A46">
        <v>46</v>
      </c>
      <c r="B46" t="s">
        <v>2966</v>
      </c>
      <c r="C46" t="s">
        <v>2976</v>
      </c>
      <c r="D46" t="s">
        <v>2977</v>
      </c>
    </row>
    <row r="47" spans="1:4" ht="11.25" customHeight="1">
      <c r="A47">
        <v>47</v>
      </c>
      <c r="B47" t="s">
        <v>2966</v>
      </c>
      <c r="C47" t="s">
        <v>2978</v>
      </c>
      <c r="D47" t="s">
        <v>2979</v>
      </c>
    </row>
    <row r="48" spans="1:4" ht="11.25" customHeight="1">
      <c r="A48">
        <v>48</v>
      </c>
      <c r="B48" t="s">
        <v>2966</v>
      </c>
      <c r="C48" t="s">
        <v>2980</v>
      </c>
      <c r="D48" t="s">
        <v>2981</v>
      </c>
    </row>
    <row r="49" spans="1:4" ht="11.25" customHeight="1">
      <c r="A49">
        <v>49</v>
      </c>
      <c r="B49" t="s">
        <v>2966</v>
      </c>
      <c r="C49" t="s">
        <v>2982</v>
      </c>
      <c r="D49" t="s">
        <v>2983</v>
      </c>
    </row>
    <row r="50" spans="1:4" ht="11.25" customHeight="1">
      <c r="A50">
        <v>50</v>
      </c>
      <c r="B50" t="s">
        <v>2966</v>
      </c>
      <c r="C50" t="s">
        <v>2984</v>
      </c>
      <c r="D50" t="s">
        <v>2985</v>
      </c>
    </row>
    <row r="51" spans="1:4" ht="11.25" customHeight="1">
      <c r="A51">
        <v>51</v>
      </c>
      <c r="B51" t="s">
        <v>2966</v>
      </c>
      <c r="C51" t="s">
        <v>2986</v>
      </c>
      <c r="D51" t="s">
        <v>2987</v>
      </c>
    </row>
    <row r="52" spans="1:4" ht="11.25" customHeight="1">
      <c r="A52">
        <v>52</v>
      </c>
      <c r="B52" t="s">
        <v>2966</v>
      </c>
      <c r="C52" t="s">
        <v>2988</v>
      </c>
      <c r="D52" t="s">
        <v>2989</v>
      </c>
    </row>
    <row r="53" spans="1:4" ht="11.25" customHeight="1">
      <c r="A53">
        <v>53</v>
      </c>
      <c r="B53" t="s">
        <v>2966</v>
      </c>
      <c r="C53" t="s">
        <v>2990</v>
      </c>
      <c r="D53" t="s">
        <v>2991</v>
      </c>
    </row>
    <row r="54" spans="1:4" ht="11.25" customHeight="1">
      <c r="A54">
        <v>54</v>
      </c>
      <c r="B54" t="s">
        <v>2966</v>
      </c>
      <c r="C54" t="s">
        <v>2992</v>
      </c>
      <c r="D54" t="s">
        <v>2993</v>
      </c>
    </row>
    <row r="55" spans="1:4" ht="11.25" customHeight="1">
      <c r="A55">
        <v>55</v>
      </c>
      <c r="B55" t="s">
        <v>2966</v>
      </c>
      <c r="C55" t="s">
        <v>2994</v>
      </c>
      <c r="D55" t="s">
        <v>2995</v>
      </c>
    </row>
    <row r="56" spans="1:4" ht="11.25" customHeight="1">
      <c r="A56">
        <v>56</v>
      </c>
      <c r="B56" t="s">
        <v>2966</v>
      </c>
      <c r="C56" t="s">
        <v>2996</v>
      </c>
      <c r="D56" t="s">
        <v>2997</v>
      </c>
    </row>
    <row r="57" spans="1:4" ht="11.25" customHeight="1">
      <c r="A57">
        <v>57</v>
      </c>
      <c r="B57" t="s">
        <v>2998</v>
      </c>
      <c r="C57" t="s">
        <v>2999</v>
      </c>
      <c r="D57" t="s">
        <v>3000</v>
      </c>
    </row>
    <row r="58" spans="1:4" ht="11.25" customHeight="1">
      <c r="A58">
        <v>58</v>
      </c>
      <c r="B58" t="s">
        <v>2998</v>
      </c>
      <c r="C58" t="s">
        <v>2998</v>
      </c>
      <c r="D58" t="s">
        <v>3001</v>
      </c>
    </row>
    <row r="59" spans="1:4" ht="11.25" customHeight="1">
      <c r="A59">
        <v>59</v>
      </c>
      <c r="B59" t="s">
        <v>2998</v>
      </c>
      <c r="C59" t="s">
        <v>3002</v>
      </c>
      <c r="D59" t="s">
        <v>3003</v>
      </c>
    </row>
    <row r="60" spans="1:4" ht="11.25" customHeight="1">
      <c r="A60">
        <v>60</v>
      </c>
      <c r="B60" t="s">
        <v>2998</v>
      </c>
      <c r="C60" t="s">
        <v>3004</v>
      </c>
      <c r="D60" t="s">
        <v>3005</v>
      </c>
    </row>
    <row r="61" spans="1:4" ht="11.25" customHeight="1">
      <c r="A61">
        <v>61</v>
      </c>
      <c r="B61" t="s">
        <v>2998</v>
      </c>
      <c r="C61" t="s">
        <v>3006</v>
      </c>
      <c r="D61" t="s">
        <v>3007</v>
      </c>
    </row>
    <row r="62" spans="1:4" ht="11.25" customHeight="1">
      <c r="A62">
        <v>62</v>
      </c>
      <c r="B62" t="s">
        <v>2998</v>
      </c>
      <c r="C62" t="s">
        <v>3008</v>
      </c>
      <c r="D62" t="s">
        <v>3009</v>
      </c>
    </row>
    <row r="63" spans="1:4" ht="11.25" customHeight="1">
      <c r="A63">
        <v>63</v>
      </c>
      <c r="B63" t="s">
        <v>2998</v>
      </c>
      <c r="C63" t="s">
        <v>3010</v>
      </c>
      <c r="D63" t="s">
        <v>3011</v>
      </c>
    </row>
    <row r="64" spans="1:4" ht="11.25" customHeight="1">
      <c r="A64">
        <v>64</v>
      </c>
      <c r="B64" t="s">
        <v>2998</v>
      </c>
      <c r="C64" t="s">
        <v>3012</v>
      </c>
      <c r="D64" t="s">
        <v>3013</v>
      </c>
    </row>
    <row r="65" spans="1:4" ht="11.25" customHeight="1">
      <c r="A65">
        <v>65</v>
      </c>
      <c r="B65" t="s">
        <v>2998</v>
      </c>
      <c r="C65" t="s">
        <v>3014</v>
      </c>
      <c r="D65" t="s">
        <v>3015</v>
      </c>
    </row>
    <row r="66" spans="1:4" ht="11.25" customHeight="1">
      <c r="A66">
        <v>66</v>
      </c>
      <c r="B66" t="s">
        <v>2998</v>
      </c>
      <c r="C66" t="s">
        <v>3016</v>
      </c>
      <c r="D66" t="s">
        <v>3017</v>
      </c>
    </row>
    <row r="67" spans="1:4" ht="11.25" customHeight="1">
      <c r="A67">
        <v>67</v>
      </c>
      <c r="B67" t="s">
        <v>2998</v>
      </c>
      <c r="C67" t="s">
        <v>3018</v>
      </c>
      <c r="D67" t="s">
        <v>3019</v>
      </c>
    </row>
    <row r="68" spans="1:4" ht="11.25" customHeight="1">
      <c r="A68">
        <v>68</v>
      </c>
      <c r="B68" t="s">
        <v>2998</v>
      </c>
      <c r="C68" t="s">
        <v>3020</v>
      </c>
      <c r="D68" t="s">
        <v>3021</v>
      </c>
    </row>
    <row r="69" spans="1:4" ht="11.25" customHeight="1">
      <c r="A69">
        <v>69</v>
      </c>
      <c r="B69" t="s">
        <v>2998</v>
      </c>
      <c r="C69" t="s">
        <v>3022</v>
      </c>
      <c r="D69" t="s">
        <v>3023</v>
      </c>
    </row>
    <row r="70" spans="1:4" ht="11.25" customHeight="1">
      <c r="A70">
        <v>70</v>
      </c>
      <c r="B70" t="s">
        <v>3024</v>
      </c>
      <c r="C70" t="s">
        <v>3024</v>
      </c>
      <c r="D70" t="s">
        <v>3025</v>
      </c>
    </row>
    <row r="71" spans="1:4" ht="11.25" customHeight="1">
      <c r="A71">
        <v>71</v>
      </c>
      <c r="B71" t="s">
        <v>3024</v>
      </c>
      <c r="C71" t="s">
        <v>3026</v>
      </c>
      <c r="D71" t="s">
        <v>3027</v>
      </c>
    </row>
    <row r="72" spans="1:4" ht="11.25" customHeight="1">
      <c r="A72">
        <v>72</v>
      </c>
      <c r="B72" t="s">
        <v>3024</v>
      </c>
      <c r="C72" t="s">
        <v>3028</v>
      </c>
      <c r="D72" t="s">
        <v>3029</v>
      </c>
    </row>
    <row r="73" spans="1:4" ht="11.25" customHeight="1">
      <c r="A73">
        <v>73</v>
      </c>
      <c r="B73" t="s">
        <v>3024</v>
      </c>
      <c r="C73" t="s">
        <v>3030</v>
      </c>
      <c r="D73" t="s">
        <v>3031</v>
      </c>
    </row>
    <row r="74" spans="1:4" ht="11.25" customHeight="1">
      <c r="A74">
        <v>74</v>
      </c>
      <c r="B74" t="s">
        <v>3024</v>
      </c>
      <c r="C74" t="s">
        <v>3032</v>
      </c>
      <c r="D74" t="s">
        <v>3033</v>
      </c>
    </row>
    <row r="75" spans="1:4" ht="11.25" customHeight="1">
      <c r="A75">
        <v>75</v>
      </c>
      <c r="B75" t="s">
        <v>3024</v>
      </c>
      <c r="C75" t="s">
        <v>3034</v>
      </c>
      <c r="D75" t="s">
        <v>3035</v>
      </c>
    </row>
    <row r="76" spans="1:4" ht="11.25" customHeight="1">
      <c r="A76">
        <v>76</v>
      </c>
      <c r="B76" t="s">
        <v>3024</v>
      </c>
      <c r="C76" t="s">
        <v>3036</v>
      </c>
      <c r="D76" t="s">
        <v>3037</v>
      </c>
    </row>
    <row r="77" spans="1:4" ht="11.25" customHeight="1">
      <c r="A77">
        <v>77</v>
      </c>
      <c r="B77" t="s">
        <v>3024</v>
      </c>
      <c r="C77" t="s">
        <v>3038</v>
      </c>
      <c r="D77" t="s">
        <v>3039</v>
      </c>
    </row>
    <row r="78" spans="1:4" ht="11.25" customHeight="1">
      <c r="A78">
        <v>78</v>
      </c>
      <c r="B78" t="s">
        <v>3024</v>
      </c>
      <c r="C78" t="s">
        <v>3040</v>
      </c>
      <c r="D78" t="s">
        <v>3041</v>
      </c>
    </row>
    <row r="79" spans="1:4" ht="11.25" customHeight="1">
      <c r="A79">
        <v>79</v>
      </c>
      <c r="B79" t="s">
        <v>3024</v>
      </c>
      <c r="C79" t="s">
        <v>3042</v>
      </c>
      <c r="D79" t="s">
        <v>3043</v>
      </c>
    </row>
    <row r="80" spans="1:4" ht="11.25" customHeight="1">
      <c r="A80">
        <v>80</v>
      </c>
      <c r="B80" t="s">
        <v>3044</v>
      </c>
      <c r="C80" t="s">
        <v>3045</v>
      </c>
      <c r="D80" t="s">
        <v>3046</v>
      </c>
    </row>
    <row r="81" spans="1:4" ht="11.25" customHeight="1">
      <c r="A81">
        <v>81</v>
      </c>
      <c r="B81" t="s">
        <v>3044</v>
      </c>
      <c r="C81" t="s">
        <v>3044</v>
      </c>
      <c r="D81" t="s">
        <v>3047</v>
      </c>
    </row>
    <row r="82" spans="1:4" ht="11.25" customHeight="1">
      <c r="A82">
        <v>82</v>
      </c>
      <c r="B82" t="s">
        <v>3044</v>
      </c>
      <c r="C82" t="s">
        <v>3048</v>
      </c>
      <c r="D82" t="s">
        <v>3049</v>
      </c>
    </row>
    <row r="83" spans="1:4" ht="11.25" customHeight="1">
      <c r="A83">
        <v>83</v>
      </c>
      <c r="B83" t="s">
        <v>3044</v>
      </c>
      <c r="C83" t="s">
        <v>3050</v>
      </c>
      <c r="D83" t="s">
        <v>3051</v>
      </c>
    </row>
    <row r="84" spans="1:4" ht="11.25" customHeight="1">
      <c r="A84">
        <v>84</v>
      </c>
      <c r="B84" t="s">
        <v>3044</v>
      </c>
      <c r="C84" t="s">
        <v>3052</v>
      </c>
      <c r="D84" t="s">
        <v>3053</v>
      </c>
    </row>
    <row r="85" spans="1:4" ht="11.25" customHeight="1">
      <c r="A85">
        <v>85</v>
      </c>
      <c r="B85" t="s">
        <v>3044</v>
      </c>
      <c r="C85" t="s">
        <v>3054</v>
      </c>
      <c r="D85" t="s">
        <v>3055</v>
      </c>
    </row>
    <row r="86" spans="1:4" ht="11.25" customHeight="1">
      <c r="A86">
        <v>86</v>
      </c>
      <c r="B86" t="s">
        <v>3044</v>
      </c>
      <c r="C86" t="s">
        <v>3056</v>
      </c>
      <c r="D86" t="s">
        <v>3057</v>
      </c>
    </row>
    <row r="87" spans="1:4" ht="11.25" customHeight="1">
      <c r="A87">
        <v>87</v>
      </c>
      <c r="B87" t="s">
        <v>3044</v>
      </c>
      <c r="C87" t="s">
        <v>3058</v>
      </c>
      <c r="D87" t="s">
        <v>3059</v>
      </c>
    </row>
    <row r="88" spans="1:4" ht="11.25" customHeight="1">
      <c r="A88">
        <v>88</v>
      </c>
      <c r="B88" t="s">
        <v>3044</v>
      </c>
      <c r="C88" t="s">
        <v>3060</v>
      </c>
      <c r="D88" t="s">
        <v>3061</v>
      </c>
    </row>
    <row r="89" spans="1:4" ht="11.25" customHeight="1">
      <c r="A89">
        <v>89</v>
      </c>
      <c r="B89" t="s">
        <v>3062</v>
      </c>
      <c r="C89" t="s">
        <v>3063</v>
      </c>
      <c r="D89" t="s">
        <v>3064</v>
      </c>
    </row>
    <row r="90" spans="1:4" ht="11.25" customHeight="1">
      <c r="A90">
        <v>90</v>
      </c>
      <c r="B90" t="s">
        <v>3062</v>
      </c>
      <c r="C90" t="s">
        <v>3065</v>
      </c>
      <c r="D90" t="s">
        <v>3066</v>
      </c>
    </row>
    <row r="91" spans="1:4" ht="11.25" customHeight="1">
      <c r="A91">
        <v>91</v>
      </c>
      <c r="B91" t="s">
        <v>3062</v>
      </c>
      <c r="C91" t="s">
        <v>3062</v>
      </c>
      <c r="D91" t="s">
        <v>3067</v>
      </c>
    </row>
    <row r="92" spans="1:4" ht="11.25" customHeight="1">
      <c r="A92">
        <v>92</v>
      </c>
      <c r="B92" t="s">
        <v>3062</v>
      </c>
      <c r="C92" t="s">
        <v>3068</v>
      </c>
      <c r="D92" t="s">
        <v>3069</v>
      </c>
    </row>
    <row r="93" spans="1:4" ht="11.25" customHeight="1">
      <c r="A93">
        <v>93</v>
      </c>
      <c r="B93" t="s">
        <v>3062</v>
      </c>
      <c r="C93" t="s">
        <v>3070</v>
      </c>
      <c r="D93" t="s">
        <v>3071</v>
      </c>
    </row>
    <row r="94" spans="1:4" ht="11.25" customHeight="1">
      <c r="A94">
        <v>94</v>
      </c>
      <c r="B94" t="s">
        <v>3062</v>
      </c>
      <c r="C94" t="s">
        <v>3072</v>
      </c>
      <c r="D94" t="s">
        <v>3073</v>
      </c>
    </row>
    <row r="95" spans="1:4" ht="11.25" customHeight="1">
      <c r="A95">
        <v>95</v>
      </c>
      <c r="B95" t="s">
        <v>3062</v>
      </c>
      <c r="C95" t="s">
        <v>3074</v>
      </c>
      <c r="D95" t="s">
        <v>3075</v>
      </c>
    </row>
    <row r="96" spans="1:4" ht="11.25" customHeight="1">
      <c r="A96">
        <v>96</v>
      </c>
      <c r="B96" t="s">
        <v>3062</v>
      </c>
      <c r="C96" t="s">
        <v>3076</v>
      </c>
      <c r="D96" t="s">
        <v>3077</v>
      </c>
    </row>
    <row r="97" spans="1:4" ht="11.25" customHeight="1">
      <c r="A97">
        <v>97</v>
      </c>
      <c r="B97" t="s">
        <v>3062</v>
      </c>
      <c r="C97" t="s">
        <v>3078</v>
      </c>
      <c r="D97" t="s">
        <v>3079</v>
      </c>
    </row>
    <row r="98" spans="1:4" ht="11.25" customHeight="1">
      <c r="A98">
        <v>98</v>
      </c>
      <c r="B98" t="s">
        <v>3062</v>
      </c>
      <c r="C98" t="s">
        <v>3080</v>
      </c>
      <c r="D98" t="s">
        <v>3081</v>
      </c>
    </row>
    <row r="99" spans="1:4" ht="11.25" customHeight="1">
      <c r="A99">
        <v>99</v>
      </c>
      <c r="B99" t="s">
        <v>3062</v>
      </c>
      <c r="C99" t="s">
        <v>3082</v>
      </c>
      <c r="D99" t="s">
        <v>3083</v>
      </c>
    </row>
    <row r="100" spans="1:4" ht="11.25" customHeight="1">
      <c r="A100">
        <v>100</v>
      </c>
      <c r="B100" t="s">
        <v>3062</v>
      </c>
      <c r="C100" t="s">
        <v>3084</v>
      </c>
      <c r="D100" t="s">
        <v>3085</v>
      </c>
    </row>
    <row r="101" spans="1:4" ht="11.25" customHeight="1">
      <c r="A101">
        <v>101</v>
      </c>
      <c r="B101" t="s">
        <v>3086</v>
      </c>
      <c r="C101" t="s">
        <v>3086</v>
      </c>
      <c r="D101" t="s">
        <v>3087</v>
      </c>
    </row>
    <row r="102" spans="1:4" ht="11.25" customHeight="1">
      <c r="A102">
        <v>102</v>
      </c>
      <c r="B102" t="s">
        <v>3088</v>
      </c>
      <c r="C102" t="s">
        <v>3088</v>
      </c>
      <c r="D102" t="s">
        <v>3089</v>
      </c>
    </row>
    <row r="103" spans="1:4" ht="11.25" customHeight="1">
      <c r="A103">
        <v>103</v>
      </c>
      <c r="B103" t="s">
        <v>3090</v>
      </c>
      <c r="C103" t="s">
        <v>3090</v>
      </c>
      <c r="D103" t="s">
        <v>3091</v>
      </c>
    </row>
    <row r="104" spans="1:4" ht="11.25" customHeight="1">
      <c r="A104">
        <v>104</v>
      </c>
      <c r="B104" t="s">
        <v>3092</v>
      </c>
      <c r="C104" t="s">
        <v>3092</v>
      </c>
      <c r="D104" t="s">
        <v>3093</v>
      </c>
    </row>
    <row r="105" spans="1:4" ht="11.25" customHeight="1">
      <c r="A105">
        <v>105</v>
      </c>
      <c r="B105" t="s">
        <v>3094</v>
      </c>
      <c r="C105" t="s">
        <v>3094</v>
      </c>
      <c r="D105" t="s">
        <v>3095</v>
      </c>
    </row>
    <row r="106" spans="1:4" ht="11.25" customHeight="1">
      <c r="A106">
        <v>106</v>
      </c>
      <c r="B106" t="s">
        <v>3096</v>
      </c>
      <c r="C106" t="s">
        <v>3096</v>
      </c>
      <c r="D106" t="s">
        <v>3097</v>
      </c>
    </row>
    <row r="107" spans="1:4" ht="11.25" customHeight="1">
      <c r="A107">
        <v>107</v>
      </c>
      <c r="B107" t="s">
        <v>3098</v>
      </c>
      <c r="C107" t="s">
        <v>3098</v>
      </c>
      <c r="D107" t="s">
        <v>3099</v>
      </c>
    </row>
    <row r="108" spans="1:4" ht="11.25" customHeight="1">
      <c r="A108">
        <v>108</v>
      </c>
      <c r="B108" t="s">
        <v>3100</v>
      </c>
      <c r="C108" t="s">
        <v>3100</v>
      </c>
      <c r="D108" t="s">
        <v>3101</v>
      </c>
    </row>
    <row r="109" spans="1:4" ht="11.25" customHeight="1">
      <c r="A109">
        <v>109</v>
      </c>
      <c r="B109" t="s">
        <v>3102</v>
      </c>
      <c r="C109" t="s">
        <v>3102</v>
      </c>
      <c r="D109" t="s">
        <v>3103</v>
      </c>
    </row>
    <row r="110" spans="1:4" ht="11.25" customHeight="1">
      <c r="A110">
        <v>110</v>
      </c>
      <c r="B110" t="s">
        <v>3104</v>
      </c>
      <c r="C110" t="s">
        <v>3104</v>
      </c>
      <c r="D110" t="s">
        <v>3105</v>
      </c>
    </row>
    <row r="111" spans="1:4" ht="11.25" customHeight="1">
      <c r="A111">
        <v>111</v>
      </c>
      <c r="B111" t="s">
        <v>3104</v>
      </c>
      <c r="C111" t="s">
        <v>3106</v>
      </c>
      <c r="D111" t="s">
        <v>3107</v>
      </c>
    </row>
    <row r="112" spans="1:4" ht="11.25" customHeight="1">
      <c r="A112">
        <v>112</v>
      </c>
      <c r="B112" t="s">
        <v>3104</v>
      </c>
      <c r="C112" t="s">
        <v>3108</v>
      </c>
      <c r="D112" t="s">
        <v>3109</v>
      </c>
    </row>
    <row r="113" spans="1:4" ht="11.25" customHeight="1">
      <c r="A113">
        <v>113</v>
      </c>
      <c r="B113" t="s">
        <v>3104</v>
      </c>
      <c r="C113" t="s">
        <v>3110</v>
      </c>
      <c r="D113" t="s">
        <v>3111</v>
      </c>
    </row>
    <row r="114" spans="1:4" ht="11.25" customHeight="1">
      <c r="A114">
        <v>114</v>
      </c>
      <c r="B114" t="s">
        <v>3104</v>
      </c>
      <c r="C114" t="s">
        <v>3112</v>
      </c>
      <c r="D114" t="s">
        <v>3113</v>
      </c>
    </row>
    <row r="115" spans="1:4" ht="11.25" customHeight="1">
      <c r="A115">
        <v>115</v>
      </c>
      <c r="B115" t="s">
        <v>3104</v>
      </c>
      <c r="C115" t="s">
        <v>2988</v>
      </c>
      <c r="D115" t="s">
        <v>3114</v>
      </c>
    </row>
    <row r="116" spans="1:4" ht="11.25" customHeight="1">
      <c r="A116">
        <v>116</v>
      </c>
      <c r="B116" t="s">
        <v>3104</v>
      </c>
      <c r="C116" t="s">
        <v>2992</v>
      </c>
      <c r="D116" t="s">
        <v>3115</v>
      </c>
    </row>
    <row r="117" spans="1:4" ht="11.25" customHeight="1">
      <c r="A117">
        <v>117</v>
      </c>
      <c r="B117" t="s">
        <v>3104</v>
      </c>
      <c r="C117" t="s">
        <v>3116</v>
      </c>
      <c r="D117" t="s">
        <v>3117</v>
      </c>
    </row>
    <row r="118" spans="1:4" ht="11.25" customHeight="1">
      <c r="A118">
        <v>118</v>
      </c>
      <c r="B118" t="s">
        <v>3104</v>
      </c>
      <c r="C118" t="s">
        <v>3118</v>
      </c>
      <c r="D118" t="s">
        <v>3119</v>
      </c>
    </row>
    <row r="119" spans="1:4" ht="11.25" customHeight="1">
      <c r="A119">
        <v>119</v>
      </c>
      <c r="B119" t="s">
        <v>3120</v>
      </c>
      <c r="C119" t="s">
        <v>3121</v>
      </c>
      <c r="D119" t="s">
        <v>3122</v>
      </c>
    </row>
    <row r="120" spans="1:4" ht="11.25" customHeight="1">
      <c r="A120">
        <v>120</v>
      </c>
      <c r="B120" t="s">
        <v>3120</v>
      </c>
      <c r="C120" t="s">
        <v>3120</v>
      </c>
      <c r="D120" t="s">
        <v>3123</v>
      </c>
    </row>
    <row r="121" spans="1:4" ht="11.25" customHeight="1">
      <c r="A121">
        <v>121</v>
      </c>
      <c r="B121" t="s">
        <v>3120</v>
      </c>
      <c r="C121" t="s">
        <v>3124</v>
      </c>
      <c r="D121" t="s">
        <v>3125</v>
      </c>
    </row>
    <row r="122" spans="1:4" ht="11.25" customHeight="1">
      <c r="A122">
        <v>122</v>
      </c>
      <c r="B122" t="s">
        <v>3120</v>
      </c>
      <c r="C122" t="s">
        <v>3126</v>
      </c>
      <c r="D122" t="s">
        <v>3127</v>
      </c>
    </row>
    <row r="123" spans="1:4" ht="11.25" customHeight="1">
      <c r="A123">
        <v>123</v>
      </c>
      <c r="B123" t="s">
        <v>3120</v>
      </c>
      <c r="C123" t="s">
        <v>3128</v>
      </c>
      <c r="D123" t="s">
        <v>3129</v>
      </c>
    </row>
    <row r="124" spans="1:4" ht="11.25" customHeight="1">
      <c r="A124">
        <v>124</v>
      </c>
      <c r="B124" t="s">
        <v>3120</v>
      </c>
      <c r="C124" t="s">
        <v>3130</v>
      </c>
      <c r="D124" t="s">
        <v>3131</v>
      </c>
    </row>
    <row r="125" spans="1:4" ht="11.25" customHeight="1">
      <c r="A125">
        <v>125</v>
      </c>
      <c r="B125" t="s">
        <v>3120</v>
      </c>
      <c r="C125" t="s">
        <v>3132</v>
      </c>
      <c r="D125" t="s">
        <v>3133</v>
      </c>
    </row>
    <row r="126" spans="1:4" ht="11.25" customHeight="1">
      <c r="A126">
        <v>126</v>
      </c>
      <c r="B126" t="s">
        <v>3134</v>
      </c>
      <c r="C126" t="s">
        <v>3134</v>
      </c>
      <c r="D126" t="s">
        <v>3135</v>
      </c>
    </row>
    <row r="127" spans="1:4" ht="11.25" customHeight="1">
      <c r="A127">
        <v>127</v>
      </c>
      <c r="B127" t="s">
        <v>3136</v>
      </c>
      <c r="C127" t="s">
        <v>3137</v>
      </c>
      <c r="D127" t="s">
        <v>3138</v>
      </c>
    </row>
    <row r="128" spans="1:4" ht="11.25" customHeight="1">
      <c r="A128">
        <v>128</v>
      </c>
      <c r="B128" t="s">
        <v>3136</v>
      </c>
      <c r="C128" t="s">
        <v>3139</v>
      </c>
      <c r="D128" t="s">
        <v>3140</v>
      </c>
    </row>
    <row r="129" spans="1:4" ht="11.25" customHeight="1">
      <c r="A129">
        <v>129</v>
      </c>
      <c r="B129" t="s">
        <v>3136</v>
      </c>
      <c r="C129" t="s">
        <v>3141</v>
      </c>
      <c r="D129" t="s">
        <v>3142</v>
      </c>
    </row>
    <row r="130" spans="1:4" ht="11.25" customHeight="1">
      <c r="A130">
        <v>130</v>
      </c>
      <c r="B130" t="s">
        <v>3136</v>
      </c>
      <c r="C130" t="s">
        <v>3136</v>
      </c>
      <c r="D130" t="s">
        <v>3143</v>
      </c>
    </row>
    <row r="131" spans="1:4" ht="11.25" customHeight="1">
      <c r="A131">
        <v>131</v>
      </c>
      <c r="B131" t="s">
        <v>3136</v>
      </c>
      <c r="C131" t="s">
        <v>3144</v>
      </c>
      <c r="D131" t="s">
        <v>3145</v>
      </c>
    </row>
    <row r="132" spans="1:4" ht="11.25" customHeight="1">
      <c r="A132">
        <v>132</v>
      </c>
      <c r="B132" t="s">
        <v>3136</v>
      </c>
      <c r="C132" t="s">
        <v>3146</v>
      </c>
      <c r="D132" t="s">
        <v>3147</v>
      </c>
    </row>
    <row r="133" spans="1:4" ht="11.25" customHeight="1">
      <c r="A133">
        <v>133</v>
      </c>
      <c r="B133" t="s">
        <v>3136</v>
      </c>
      <c r="C133" t="s">
        <v>3148</v>
      </c>
      <c r="D133" t="s">
        <v>3149</v>
      </c>
    </row>
    <row r="134" spans="1:4" ht="11.25" customHeight="1">
      <c r="A134">
        <v>134</v>
      </c>
      <c r="B134" t="s">
        <v>3136</v>
      </c>
      <c r="C134" t="s">
        <v>3150</v>
      </c>
      <c r="D134" t="s">
        <v>3151</v>
      </c>
    </row>
    <row r="135" spans="1:4" ht="11.25" customHeight="1">
      <c r="A135">
        <v>135</v>
      </c>
      <c r="B135" t="s">
        <v>3136</v>
      </c>
      <c r="C135" t="s">
        <v>3152</v>
      </c>
      <c r="D135" t="s">
        <v>3153</v>
      </c>
    </row>
    <row r="136" spans="1:4" ht="11.25" customHeight="1">
      <c r="A136">
        <v>136</v>
      </c>
      <c r="B136" t="s">
        <v>3136</v>
      </c>
      <c r="C136" t="s">
        <v>3154</v>
      </c>
      <c r="D136" t="s">
        <v>3155</v>
      </c>
    </row>
    <row r="137" spans="1:4" ht="11.25" customHeight="1">
      <c r="A137">
        <v>137</v>
      </c>
      <c r="B137" t="s">
        <v>3136</v>
      </c>
      <c r="C137" t="s">
        <v>3156</v>
      </c>
      <c r="D137" t="s">
        <v>3157</v>
      </c>
    </row>
    <row r="138" spans="1:4" ht="11.25" customHeight="1">
      <c r="A138">
        <v>138</v>
      </c>
      <c r="B138" t="s">
        <v>3136</v>
      </c>
      <c r="C138" t="s">
        <v>3158</v>
      </c>
      <c r="D138" t="s">
        <v>3159</v>
      </c>
    </row>
    <row r="139" spans="1:4" ht="11.25" customHeight="1">
      <c r="A139">
        <v>139</v>
      </c>
      <c r="B139" t="s">
        <v>3136</v>
      </c>
      <c r="C139" t="s">
        <v>3160</v>
      </c>
      <c r="D139" t="s">
        <v>3161</v>
      </c>
    </row>
    <row r="140" spans="1:4" ht="11.25" customHeight="1">
      <c r="A140">
        <v>140</v>
      </c>
      <c r="B140" t="s">
        <v>3162</v>
      </c>
      <c r="C140" t="s">
        <v>3162</v>
      </c>
      <c r="D140" t="s">
        <v>3163</v>
      </c>
    </row>
    <row r="141" spans="1:4" ht="11.25" customHeight="1">
      <c r="A141">
        <v>141</v>
      </c>
      <c r="B141" t="s">
        <v>3164</v>
      </c>
      <c r="C141" t="s">
        <v>3165</v>
      </c>
      <c r="D141" t="s">
        <v>3166</v>
      </c>
    </row>
    <row r="142" spans="1:4" ht="11.25" customHeight="1">
      <c r="A142">
        <v>142</v>
      </c>
      <c r="B142" t="s">
        <v>3164</v>
      </c>
      <c r="C142" t="s">
        <v>3167</v>
      </c>
      <c r="D142" t="s">
        <v>3168</v>
      </c>
    </row>
    <row r="143" spans="1:4" ht="11.25" customHeight="1">
      <c r="A143">
        <v>143</v>
      </c>
      <c r="B143" t="s">
        <v>3164</v>
      </c>
      <c r="C143" t="s">
        <v>3169</v>
      </c>
      <c r="D143" t="s">
        <v>3170</v>
      </c>
    </row>
    <row r="144" spans="1:4" ht="11.25" customHeight="1">
      <c r="A144">
        <v>144</v>
      </c>
      <c r="B144" t="s">
        <v>3164</v>
      </c>
      <c r="C144" t="s">
        <v>3171</v>
      </c>
      <c r="D144" t="s">
        <v>3172</v>
      </c>
    </row>
    <row r="145" spans="1:4" ht="11.25" customHeight="1">
      <c r="A145">
        <v>145</v>
      </c>
      <c r="B145" t="s">
        <v>3164</v>
      </c>
      <c r="C145" t="s">
        <v>3173</v>
      </c>
      <c r="D145" t="s">
        <v>3174</v>
      </c>
    </row>
    <row r="146" spans="1:4" ht="11.25" customHeight="1">
      <c r="A146">
        <v>146</v>
      </c>
      <c r="B146" t="s">
        <v>3164</v>
      </c>
      <c r="C146" t="s">
        <v>3175</v>
      </c>
      <c r="D146" t="s">
        <v>3176</v>
      </c>
    </row>
    <row r="147" spans="1:4" ht="11.25" customHeight="1">
      <c r="A147">
        <v>147</v>
      </c>
      <c r="B147" t="s">
        <v>3164</v>
      </c>
      <c r="C147" t="s">
        <v>3177</v>
      </c>
      <c r="D147" t="s">
        <v>3178</v>
      </c>
    </row>
    <row r="148" spans="1:4" ht="11.25" customHeight="1">
      <c r="A148">
        <v>148</v>
      </c>
      <c r="B148" t="s">
        <v>3164</v>
      </c>
      <c r="C148" t="s">
        <v>3164</v>
      </c>
      <c r="D148" t="s">
        <v>3179</v>
      </c>
    </row>
    <row r="149" spans="1:4" ht="11.25" customHeight="1">
      <c r="A149">
        <v>149</v>
      </c>
      <c r="B149" t="s">
        <v>3164</v>
      </c>
      <c r="C149" t="s">
        <v>3180</v>
      </c>
      <c r="D149" t="s">
        <v>3181</v>
      </c>
    </row>
    <row r="150" spans="1:4" ht="11.25" customHeight="1">
      <c r="A150">
        <v>150</v>
      </c>
      <c r="B150" t="s">
        <v>3164</v>
      </c>
      <c r="C150" t="s">
        <v>3182</v>
      </c>
      <c r="D150" t="s">
        <v>3183</v>
      </c>
    </row>
    <row r="151" spans="1:4" ht="11.25" customHeight="1">
      <c r="A151">
        <v>151</v>
      </c>
      <c r="B151" t="s">
        <v>3164</v>
      </c>
      <c r="C151" t="s">
        <v>3184</v>
      </c>
      <c r="D151" t="s">
        <v>3185</v>
      </c>
    </row>
    <row r="152" spans="1:4" ht="11.25" customHeight="1">
      <c r="A152">
        <v>152</v>
      </c>
      <c r="B152" t="s">
        <v>3164</v>
      </c>
      <c r="C152" t="s">
        <v>3186</v>
      </c>
      <c r="D152" t="s">
        <v>3187</v>
      </c>
    </row>
    <row r="153" spans="1:4" ht="11.25" customHeight="1">
      <c r="A153">
        <v>153</v>
      </c>
      <c r="B153" t="s">
        <v>3164</v>
      </c>
      <c r="C153" t="s">
        <v>3188</v>
      </c>
      <c r="D153" t="s">
        <v>3189</v>
      </c>
    </row>
    <row r="154" spans="1:4" ht="11.25" customHeight="1">
      <c r="A154">
        <v>154</v>
      </c>
      <c r="B154" t="s">
        <v>3164</v>
      </c>
      <c r="C154" t="s">
        <v>3190</v>
      </c>
      <c r="D154" t="s">
        <v>3191</v>
      </c>
    </row>
    <row r="155" spans="1:4" ht="11.25" customHeight="1">
      <c r="A155">
        <v>155</v>
      </c>
      <c r="B155" t="s">
        <v>3164</v>
      </c>
      <c r="C155" t="s">
        <v>3192</v>
      </c>
      <c r="D155" t="s">
        <v>3193</v>
      </c>
    </row>
    <row r="156" spans="1:4" ht="11.25" customHeight="1">
      <c r="A156">
        <v>156</v>
      </c>
      <c r="B156" t="s">
        <v>3164</v>
      </c>
      <c r="C156" t="s">
        <v>3194</v>
      </c>
      <c r="D156" t="s">
        <v>3195</v>
      </c>
    </row>
    <row r="157" spans="1:4" ht="11.25" customHeight="1">
      <c r="A157">
        <v>157</v>
      </c>
      <c r="B157" t="s">
        <v>3164</v>
      </c>
      <c r="C157" t="s">
        <v>3196</v>
      </c>
      <c r="D157" t="s">
        <v>3197</v>
      </c>
    </row>
    <row r="158" spans="1:4" ht="11.25" customHeight="1">
      <c r="A158">
        <v>158</v>
      </c>
      <c r="B158" t="s">
        <v>3164</v>
      </c>
      <c r="C158" t="s">
        <v>3198</v>
      </c>
      <c r="D158" t="s">
        <v>3199</v>
      </c>
    </row>
    <row r="159" spans="1:4" ht="11.25" customHeight="1">
      <c r="A159">
        <v>159</v>
      </c>
      <c r="B159" t="s">
        <v>3164</v>
      </c>
      <c r="C159" t="s">
        <v>3200</v>
      </c>
      <c r="D159" t="s">
        <v>3201</v>
      </c>
    </row>
    <row r="160" spans="1:4" ht="11.25" customHeight="1">
      <c r="A160">
        <v>160</v>
      </c>
      <c r="B160" t="s">
        <v>3164</v>
      </c>
      <c r="C160" t="s">
        <v>3202</v>
      </c>
      <c r="D160" t="s">
        <v>3203</v>
      </c>
    </row>
    <row r="161" spans="1:4" ht="11.25" customHeight="1">
      <c r="A161">
        <v>161</v>
      </c>
      <c r="B161" t="s">
        <v>3164</v>
      </c>
      <c r="C161" t="s">
        <v>3204</v>
      </c>
      <c r="D161" t="s">
        <v>3205</v>
      </c>
    </row>
    <row r="162" spans="1:4" ht="11.25" customHeight="1">
      <c r="A162">
        <v>162</v>
      </c>
      <c r="B162" t="s">
        <v>3206</v>
      </c>
      <c r="C162" t="s">
        <v>3207</v>
      </c>
      <c r="D162" t="s">
        <v>3208</v>
      </c>
    </row>
    <row r="163" spans="1:4" ht="11.25" customHeight="1">
      <c r="A163">
        <v>163</v>
      </c>
      <c r="B163" t="s">
        <v>3206</v>
      </c>
      <c r="C163" t="s">
        <v>3206</v>
      </c>
      <c r="D163" t="s">
        <v>3209</v>
      </c>
    </row>
    <row r="164" spans="1:4" ht="11.25" customHeight="1">
      <c r="A164">
        <v>164</v>
      </c>
      <c r="B164" t="s">
        <v>3206</v>
      </c>
      <c r="C164" t="s">
        <v>3210</v>
      </c>
      <c r="D164" t="s">
        <v>3211</v>
      </c>
    </row>
    <row r="165" spans="1:4" ht="11.25" customHeight="1">
      <c r="A165">
        <v>165</v>
      </c>
      <c r="B165" t="s">
        <v>3206</v>
      </c>
      <c r="C165" t="s">
        <v>3212</v>
      </c>
      <c r="D165" t="s">
        <v>3213</v>
      </c>
    </row>
    <row r="166" spans="1:4" ht="11.25" customHeight="1">
      <c r="A166">
        <v>166</v>
      </c>
      <c r="B166" t="s">
        <v>3206</v>
      </c>
      <c r="C166" t="s">
        <v>3214</v>
      </c>
      <c r="D166" t="s">
        <v>3215</v>
      </c>
    </row>
    <row r="167" spans="1:4" ht="11.25" customHeight="1">
      <c r="A167">
        <v>167</v>
      </c>
      <c r="B167" t="s">
        <v>3206</v>
      </c>
      <c r="C167" t="s">
        <v>3216</v>
      </c>
      <c r="D167" t="s">
        <v>3217</v>
      </c>
    </row>
    <row r="168" spans="1:4" ht="11.25" customHeight="1">
      <c r="A168">
        <v>168</v>
      </c>
      <c r="B168" t="s">
        <v>3206</v>
      </c>
      <c r="C168" t="s">
        <v>3218</v>
      </c>
      <c r="D168" t="s">
        <v>3219</v>
      </c>
    </row>
    <row r="169" spans="1:4" ht="11.25" customHeight="1">
      <c r="A169">
        <v>169</v>
      </c>
      <c r="B169" t="s">
        <v>3206</v>
      </c>
      <c r="C169" t="s">
        <v>3220</v>
      </c>
      <c r="D169" t="s">
        <v>3221</v>
      </c>
    </row>
    <row r="170" spans="1:4" ht="11.25" customHeight="1">
      <c r="A170">
        <v>170</v>
      </c>
      <c r="B170" t="s">
        <v>3206</v>
      </c>
      <c r="C170" t="s">
        <v>3222</v>
      </c>
      <c r="D170" t="s">
        <v>3223</v>
      </c>
    </row>
    <row r="171" spans="1:4" ht="11.25" customHeight="1">
      <c r="A171">
        <v>171</v>
      </c>
      <c r="B171" t="s">
        <v>3224</v>
      </c>
      <c r="C171" t="s">
        <v>3225</v>
      </c>
      <c r="D171" t="s">
        <v>3226</v>
      </c>
    </row>
    <row r="172" spans="1:4" ht="11.25" customHeight="1">
      <c r="A172">
        <v>172</v>
      </c>
      <c r="B172" t="s">
        <v>3224</v>
      </c>
      <c r="C172" t="s">
        <v>3224</v>
      </c>
      <c r="D172" t="s">
        <v>3227</v>
      </c>
    </row>
    <row r="173" spans="1:4" ht="11.25" customHeight="1">
      <c r="A173">
        <v>173</v>
      </c>
      <c r="B173" t="s">
        <v>3224</v>
      </c>
      <c r="C173" t="s">
        <v>3228</v>
      </c>
      <c r="D173" t="s">
        <v>3229</v>
      </c>
    </row>
    <row r="174" spans="1:4" ht="11.25" customHeight="1">
      <c r="A174">
        <v>174</v>
      </c>
      <c r="B174" t="s">
        <v>3224</v>
      </c>
      <c r="C174" t="s">
        <v>3230</v>
      </c>
      <c r="D174" t="s">
        <v>3231</v>
      </c>
    </row>
    <row r="175" spans="1:4" ht="11.25" customHeight="1">
      <c r="A175">
        <v>175</v>
      </c>
      <c r="B175" t="s">
        <v>3224</v>
      </c>
      <c r="C175" t="s">
        <v>3232</v>
      </c>
      <c r="D175" t="s">
        <v>3233</v>
      </c>
    </row>
    <row r="176" spans="1:4" ht="11.25" customHeight="1">
      <c r="A176">
        <v>176</v>
      </c>
      <c r="B176" t="s">
        <v>3224</v>
      </c>
      <c r="C176" t="s">
        <v>3214</v>
      </c>
      <c r="D176" t="s">
        <v>3234</v>
      </c>
    </row>
    <row r="177" spans="1:4" ht="11.25" customHeight="1">
      <c r="A177">
        <v>177</v>
      </c>
      <c r="B177" t="s">
        <v>3224</v>
      </c>
      <c r="C177" t="s">
        <v>3235</v>
      </c>
      <c r="D177" t="s">
        <v>3236</v>
      </c>
    </row>
    <row r="178" spans="1:4" ht="11.25" customHeight="1">
      <c r="A178">
        <v>178</v>
      </c>
      <c r="B178" t="s">
        <v>3224</v>
      </c>
      <c r="C178" t="s">
        <v>3237</v>
      </c>
      <c r="D178" t="s">
        <v>3238</v>
      </c>
    </row>
    <row r="179" spans="1:4" ht="11.25" customHeight="1">
      <c r="A179">
        <v>179</v>
      </c>
      <c r="B179" t="s">
        <v>3224</v>
      </c>
      <c r="C179" t="s">
        <v>3239</v>
      </c>
      <c r="D179" t="s">
        <v>3240</v>
      </c>
    </row>
    <row r="180" spans="1:4" ht="11.25" customHeight="1">
      <c r="A180">
        <v>180</v>
      </c>
      <c r="B180" t="s">
        <v>3224</v>
      </c>
      <c r="C180" t="s">
        <v>3241</v>
      </c>
      <c r="D180" t="s">
        <v>3242</v>
      </c>
    </row>
    <row r="181" spans="1:4" ht="11.25" customHeight="1">
      <c r="A181">
        <v>181</v>
      </c>
      <c r="B181" t="s">
        <v>3243</v>
      </c>
      <c r="C181" t="s">
        <v>3244</v>
      </c>
      <c r="D181" t="s">
        <v>3245</v>
      </c>
    </row>
    <row r="182" spans="1:4" ht="11.25" customHeight="1">
      <c r="A182">
        <v>182</v>
      </c>
      <c r="B182" t="s">
        <v>3243</v>
      </c>
      <c r="C182" t="s">
        <v>3246</v>
      </c>
      <c r="D182" t="s">
        <v>3247</v>
      </c>
    </row>
    <row r="183" spans="1:4" ht="11.25" customHeight="1">
      <c r="A183">
        <v>183</v>
      </c>
      <c r="B183" t="s">
        <v>3243</v>
      </c>
      <c r="C183" t="s">
        <v>3248</v>
      </c>
      <c r="D183" t="s">
        <v>3249</v>
      </c>
    </row>
    <row r="184" spans="1:4" ht="11.25" customHeight="1">
      <c r="A184">
        <v>184</v>
      </c>
      <c r="B184" t="s">
        <v>3243</v>
      </c>
      <c r="C184" t="s">
        <v>3243</v>
      </c>
      <c r="D184" t="s">
        <v>3250</v>
      </c>
    </row>
    <row r="185" spans="1:4" ht="11.25" customHeight="1">
      <c r="A185">
        <v>185</v>
      </c>
      <c r="B185" t="s">
        <v>3243</v>
      </c>
      <c r="C185" t="s">
        <v>3251</v>
      </c>
      <c r="D185" t="s">
        <v>3252</v>
      </c>
    </row>
    <row r="186" spans="1:4" ht="11.25" customHeight="1">
      <c r="A186">
        <v>186</v>
      </c>
      <c r="B186" t="s">
        <v>3243</v>
      </c>
      <c r="C186" t="s">
        <v>3253</v>
      </c>
      <c r="D186" t="s">
        <v>3254</v>
      </c>
    </row>
    <row r="187" spans="1:4" ht="11.25" customHeight="1">
      <c r="A187">
        <v>187</v>
      </c>
      <c r="B187" t="s">
        <v>3243</v>
      </c>
      <c r="C187" t="s">
        <v>3255</v>
      </c>
      <c r="D187" t="s">
        <v>3256</v>
      </c>
    </row>
    <row r="188" spans="1:4" ht="11.25" customHeight="1">
      <c r="A188">
        <v>188</v>
      </c>
      <c r="B188" t="s">
        <v>3243</v>
      </c>
      <c r="C188" t="s">
        <v>3257</v>
      </c>
      <c r="D188" t="s">
        <v>3258</v>
      </c>
    </row>
    <row r="189" spans="1:4" ht="11.25" customHeight="1">
      <c r="A189">
        <v>189</v>
      </c>
      <c r="B189" t="s">
        <v>3243</v>
      </c>
      <c r="C189" t="s">
        <v>3259</v>
      </c>
      <c r="D189" t="s">
        <v>3260</v>
      </c>
    </row>
    <row r="190" spans="1:4" ht="11.25" customHeight="1">
      <c r="A190">
        <v>190</v>
      </c>
      <c r="B190" t="s">
        <v>3243</v>
      </c>
      <c r="C190" t="s">
        <v>3261</v>
      </c>
      <c r="D190" t="s">
        <v>3262</v>
      </c>
    </row>
    <row r="191" spans="1:4" ht="11.25" customHeight="1">
      <c r="A191">
        <v>191</v>
      </c>
      <c r="B191" t="s">
        <v>3243</v>
      </c>
      <c r="C191" t="s">
        <v>3263</v>
      </c>
      <c r="D191" t="s">
        <v>3264</v>
      </c>
    </row>
    <row r="192" spans="1:4" ht="11.25" customHeight="1">
      <c r="A192">
        <v>192</v>
      </c>
      <c r="B192" t="s">
        <v>3265</v>
      </c>
      <c r="C192" t="s">
        <v>3266</v>
      </c>
      <c r="D192" t="s">
        <v>3267</v>
      </c>
    </row>
    <row r="193" spans="1:4" ht="11.25" customHeight="1">
      <c r="A193">
        <v>193</v>
      </c>
      <c r="B193" t="s">
        <v>3265</v>
      </c>
      <c r="C193" t="s">
        <v>3268</v>
      </c>
      <c r="D193" t="s">
        <v>3269</v>
      </c>
    </row>
    <row r="194" spans="1:4" ht="11.25" customHeight="1">
      <c r="A194">
        <v>194</v>
      </c>
      <c r="B194" t="s">
        <v>3265</v>
      </c>
      <c r="C194" t="s">
        <v>3141</v>
      </c>
      <c r="D194" t="s">
        <v>3270</v>
      </c>
    </row>
    <row r="195" spans="1:4" ht="11.25" customHeight="1">
      <c r="A195">
        <v>195</v>
      </c>
      <c r="B195" t="s">
        <v>3265</v>
      </c>
      <c r="C195" t="s">
        <v>3265</v>
      </c>
      <c r="D195" t="s">
        <v>3271</v>
      </c>
    </row>
    <row r="196" spans="1:4" ht="11.25" customHeight="1">
      <c r="A196">
        <v>196</v>
      </c>
      <c r="B196" t="s">
        <v>3265</v>
      </c>
      <c r="C196" t="s">
        <v>3272</v>
      </c>
      <c r="D196" t="s">
        <v>3273</v>
      </c>
    </row>
    <row r="197" spans="1:4" ht="11.25" customHeight="1">
      <c r="A197">
        <v>197</v>
      </c>
      <c r="B197" t="s">
        <v>3265</v>
      </c>
      <c r="C197" t="s">
        <v>3274</v>
      </c>
      <c r="D197" t="s">
        <v>3275</v>
      </c>
    </row>
    <row r="198" spans="1:4" ht="11.25" customHeight="1">
      <c r="A198">
        <v>198</v>
      </c>
      <c r="B198" t="s">
        <v>3265</v>
      </c>
      <c r="C198" t="s">
        <v>3276</v>
      </c>
      <c r="D198" t="s">
        <v>3277</v>
      </c>
    </row>
    <row r="199" spans="1:4" ht="11.25" customHeight="1">
      <c r="A199">
        <v>199</v>
      </c>
      <c r="B199" t="s">
        <v>3265</v>
      </c>
      <c r="C199" t="s">
        <v>3278</v>
      </c>
      <c r="D199" t="s">
        <v>3279</v>
      </c>
    </row>
    <row r="200" spans="1:4" ht="11.25" customHeight="1">
      <c r="A200">
        <v>200</v>
      </c>
      <c r="B200" t="s">
        <v>3265</v>
      </c>
      <c r="C200" t="s">
        <v>3280</v>
      </c>
      <c r="D200" t="s">
        <v>3281</v>
      </c>
    </row>
    <row r="201" spans="1:4" ht="11.25" customHeight="1">
      <c r="A201">
        <v>201</v>
      </c>
      <c r="B201" t="s">
        <v>3265</v>
      </c>
      <c r="C201" t="s">
        <v>3282</v>
      </c>
      <c r="D201" t="s">
        <v>3283</v>
      </c>
    </row>
    <row r="202" spans="1:4" ht="11.25" customHeight="1">
      <c r="A202">
        <v>202</v>
      </c>
      <c r="B202" t="s">
        <v>3265</v>
      </c>
      <c r="C202" t="s">
        <v>3284</v>
      </c>
      <c r="D202" t="s">
        <v>3285</v>
      </c>
    </row>
    <row r="203" spans="1:4" ht="11.25" customHeight="1">
      <c r="A203">
        <v>203</v>
      </c>
      <c r="B203" t="s">
        <v>3265</v>
      </c>
      <c r="C203" t="s">
        <v>3286</v>
      </c>
      <c r="D203" t="s">
        <v>3287</v>
      </c>
    </row>
    <row r="204" spans="1:4" ht="11.25" customHeight="1">
      <c r="A204">
        <v>204</v>
      </c>
      <c r="B204" t="s">
        <v>3265</v>
      </c>
      <c r="C204" t="s">
        <v>3288</v>
      </c>
      <c r="D204" t="s">
        <v>3289</v>
      </c>
    </row>
    <row r="205" spans="1:4" ht="11.25" customHeight="1">
      <c r="A205">
        <v>205</v>
      </c>
      <c r="B205" t="s">
        <v>3265</v>
      </c>
      <c r="C205" t="s">
        <v>3290</v>
      </c>
      <c r="D205" t="s">
        <v>3291</v>
      </c>
    </row>
    <row r="206" spans="1:4" ht="11.25" customHeight="1">
      <c r="A206">
        <v>206</v>
      </c>
      <c r="B206" t="s">
        <v>3265</v>
      </c>
      <c r="C206" t="s">
        <v>3292</v>
      </c>
      <c r="D206" t="s">
        <v>3293</v>
      </c>
    </row>
    <row r="207" spans="1:4" ht="11.25" customHeight="1">
      <c r="A207">
        <v>207</v>
      </c>
      <c r="B207" t="s">
        <v>3294</v>
      </c>
      <c r="C207" t="s">
        <v>3295</v>
      </c>
      <c r="D207" t="s">
        <v>3296</v>
      </c>
    </row>
    <row r="208" spans="1:4" ht="11.25" customHeight="1">
      <c r="A208">
        <v>208</v>
      </c>
      <c r="B208" t="s">
        <v>3294</v>
      </c>
      <c r="C208" t="s">
        <v>3297</v>
      </c>
      <c r="D208" t="s">
        <v>3298</v>
      </c>
    </row>
    <row r="209" spans="1:4" ht="11.25" customHeight="1">
      <c r="A209">
        <v>209</v>
      </c>
      <c r="B209" t="s">
        <v>3294</v>
      </c>
      <c r="C209" t="s">
        <v>3299</v>
      </c>
      <c r="D209" t="s">
        <v>3300</v>
      </c>
    </row>
    <row r="210" spans="1:4" ht="11.25" customHeight="1">
      <c r="A210">
        <v>210</v>
      </c>
      <c r="B210" t="s">
        <v>3294</v>
      </c>
      <c r="C210" t="s">
        <v>3301</v>
      </c>
      <c r="D210" t="s">
        <v>3302</v>
      </c>
    </row>
    <row r="211" spans="1:4" ht="11.25" customHeight="1">
      <c r="A211">
        <v>211</v>
      </c>
      <c r="B211" t="s">
        <v>3294</v>
      </c>
      <c r="C211" t="s">
        <v>3294</v>
      </c>
      <c r="D211" t="s">
        <v>3303</v>
      </c>
    </row>
    <row r="212" spans="1:4" ht="11.25" customHeight="1">
      <c r="A212">
        <v>212</v>
      </c>
      <c r="B212" t="s">
        <v>3294</v>
      </c>
      <c r="C212" t="s">
        <v>3304</v>
      </c>
      <c r="D212" t="s">
        <v>3305</v>
      </c>
    </row>
    <row r="213" spans="1:4" ht="11.25" customHeight="1">
      <c r="A213">
        <v>213</v>
      </c>
      <c r="B213" t="s">
        <v>3294</v>
      </c>
      <c r="C213" t="s">
        <v>3306</v>
      </c>
      <c r="D213" t="s">
        <v>3307</v>
      </c>
    </row>
    <row r="214" spans="1:4" ht="11.25" customHeight="1">
      <c r="A214">
        <v>214</v>
      </c>
      <c r="B214" t="s">
        <v>3294</v>
      </c>
      <c r="C214" t="s">
        <v>3308</v>
      </c>
      <c r="D214" t="s">
        <v>3309</v>
      </c>
    </row>
    <row r="215" spans="1:4" ht="11.25" customHeight="1">
      <c r="A215">
        <v>215</v>
      </c>
      <c r="B215" t="s">
        <v>3294</v>
      </c>
      <c r="C215" t="s">
        <v>3310</v>
      </c>
      <c r="D215" t="s">
        <v>3311</v>
      </c>
    </row>
    <row r="216" spans="1:4" ht="11.25" customHeight="1">
      <c r="A216">
        <v>216</v>
      </c>
      <c r="B216" t="s">
        <v>3294</v>
      </c>
      <c r="C216" t="s">
        <v>3312</v>
      </c>
      <c r="D216" t="s">
        <v>3313</v>
      </c>
    </row>
    <row r="217" spans="1:4" ht="11.25" customHeight="1">
      <c r="A217">
        <v>217</v>
      </c>
      <c r="B217" t="s">
        <v>3294</v>
      </c>
      <c r="C217" t="s">
        <v>3314</v>
      </c>
      <c r="D217" t="s">
        <v>3315</v>
      </c>
    </row>
    <row r="218" spans="1:4" ht="11.25" customHeight="1">
      <c r="A218">
        <v>218</v>
      </c>
      <c r="B218" t="s">
        <v>3316</v>
      </c>
      <c r="C218" t="s">
        <v>3317</v>
      </c>
      <c r="D218" t="s">
        <v>3318</v>
      </c>
    </row>
    <row r="219" spans="1:4" ht="11.25" customHeight="1">
      <c r="A219">
        <v>219</v>
      </c>
      <c r="B219" t="s">
        <v>3316</v>
      </c>
      <c r="C219" t="s">
        <v>3319</v>
      </c>
      <c r="D219" t="s">
        <v>3320</v>
      </c>
    </row>
    <row r="220" spans="1:4" ht="11.25" customHeight="1">
      <c r="A220">
        <v>220</v>
      </c>
      <c r="B220" t="s">
        <v>3316</v>
      </c>
      <c r="C220" t="s">
        <v>3321</v>
      </c>
      <c r="D220" t="s">
        <v>3322</v>
      </c>
    </row>
    <row r="221" spans="1:4" ht="11.25" customHeight="1">
      <c r="A221">
        <v>221</v>
      </c>
      <c r="B221" t="s">
        <v>3316</v>
      </c>
      <c r="C221" t="s">
        <v>3323</v>
      </c>
      <c r="D221" t="s">
        <v>3324</v>
      </c>
    </row>
    <row r="222" spans="1:4" ht="11.25" customHeight="1">
      <c r="A222">
        <v>222</v>
      </c>
      <c r="B222" t="s">
        <v>3316</v>
      </c>
      <c r="C222" t="s">
        <v>3325</v>
      </c>
      <c r="D222" t="s">
        <v>3326</v>
      </c>
    </row>
    <row r="223" spans="1:4" ht="11.25" customHeight="1">
      <c r="A223">
        <v>223</v>
      </c>
      <c r="B223" t="s">
        <v>3316</v>
      </c>
      <c r="C223" t="s">
        <v>3316</v>
      </c>
      <c r="D223" t="s">
        <v>3327</v>
      </c>
    </row>
    <row r="224" spans="1:4" ht="11.25" customHeight="1">
      <c r="A224">
        <v>224</v>
      </c>
      <c r="B224" t="s">
        <v>3316</v>
      </c>
      <c r="C224" t="s">
        <v>3328</v>
      </c>
      <c r="D224" t="s">
        <v>3329</v>
      </c>
    </row>
    <row r="225" spans="1:4" ht="11.25" customHeight="1">
      <c r="A225">
        <v>225</v>
      </c>
      <c r="B225" t="s">
        <v>3316</v>
      </c>
      <c r="C225" t="s">
        <v>3330</v>
      </c>
      <c r="D225" t="s">
        <v>3331</v>
      </c>
    </row>
    <row r="226" spans="1:4" ht="11.25" customHeight="1">
      <c r="A226">
        <v>226</v>
      </c>
      <c r="B226" t="s">
        <v>3316</v>
      </c>
      <c r="C226" t="s">
        <v>3332</v>
      </c>
      <c r="D226" t="s">
        <v>3333</v>
      </c>
    </row>
    <row r="227" spans="1:4" ht="11.25" customHeight="1">
      <c r="A227">
        <v>227</v>
      </c>
      <c r="B227" t="s">
        <v>3316</v>
      </c>
      <c r="C227" t="s">
        <v>3334</v>
      </c>
      <c r="D227" t="s">
        <v>3335</v>
      </c>
    </row>
    <row r="228" spans="1:4" ht="11.25" customHeight="1">
      <c r="A228">
        <v>228</v>
      </c>
      <c r="B228" t="s">
        <v>3316</v>
      </c>
      <c r="C228" t="s">
        <v>3276</v>
      </c>
      <c r="D228" t="s">
        <v>3336</v>
      </c>
    </row>
    <row r="229" spans="1:4" ht="11.25" customHeight="1">
      <c r="A229">
        <v>229</v>
      </c>
      <c r="B229" t="s">
        <v>3316</v>
      </c>
      <c r="C229" t="s">
        <v>3337</v>
      </c>
      <c r="D229" t="s">
        <v>3338</v>
      </c>
    </row>
    <row r="230" spans="1:4" ht="11.25" customHeight="1">
      <c r="A230">
        <v>230</v>
      </c>
      <c r="B230" t="s">
        <v>3339</v>
      </c>
      <c r="C230" t="s">
        <v>3063</v>
      </c>
      <c r="D230" t="s">
        <v>3340</v>
      </c>
    </row>
    <row r="231" spans="1:4" ht="11.25" customHeight="1">
      <c r="A231">
        <v>231</v>
      </c>
      <c r="B231" t="s">
        <v>3339</v>
      </c>
      <c r="C231" t="s">
        <v>3341</v>
      </c>
      <c r="D231" t="s">
        <v>3342</v>
      </c>
    </row>
    <row r="232" spans="1:4" ht="11.25" customHeight="1">
      <c r="A232">
        <v>232</v>
      </c>
      <c r="B232" t="s">
        <v>3339</v>
      </c>
      <c r="C232" t="s">
        <v>3339</v>
      </c>
      <c r="D232" t="s">
        <v>3343</v>
      </c>
    </row>
    <row r="233" spans="1:4" ht="11.25" customHeight="1">
      <c r="A233">
        <v>233</v>
      </c>
      <c r="B233" t="s">
        <v>3339</v>
      </c>
      <c r="C233" t="s">
        <v>3344</v>
      </c>
      <c r="D233" t="s">
        <v>3345</v>
      </c>
    </row>
    <row r="234" spans="1:4" ht="11.25" customHeight="1">
      <c r="A234">
        <v>234</v>
      </c>
      <c r="B234" t="s">
        <v>3339</v>
      </c>
      <c r="C234" t="s">
        <v>3346</v>
      </c>
      <c r="D234" t="s">
        <v>3347</v>
      </c>
    </row>
    <row r="235" spans="1:4" ht="11.25" customHeight="1">
      <c r="A235">
        <v>235</v>
      </c>
      <c r="B235" t="s">
        <v>3339</v>
      </c>
      <c r="C235" t="s">
        <v>3348</v>
      </c>
      <c r="D235" t="s">
        <v>3349</v>
      </c>
    </row>
    <row r="236" spans="1:4" ht="11.25" customHeight="1">
      <c r="A236">
        <v>236</v>
      </c>
      <c r="B236" t="s">
        <v>3339</v>
      </c>
      <c r="C236" t="s">
        <v>3350</v>
      </c>
      <c r="D236" t="s">
        <v>3351</v>
      </c>
    </row>
    <row r="237" spans="1:4" ht="11.25" customHeight="1">
      <c r="A237">
        <v>237</v>
      </c>
      <c r="B237" t="s">
        <v>3339</v>
      </c>
      <c r="C237" t="s">
        <v>3352</v>
      </c>
      <c r="D237" t="s">
        <v>3353</v>
      </c>
    </row>
    <row r="238" spans="1:4" ht="11.25" customHeight="1">
      <c r="A238">
        <v>238</v>
      </c>
      <c r="B238" t="s">
        <v>3339</v>
      </c>
      <c r="C238" t="s">
        <v>3354</v>
      </c>
      <c r="D238" t="s">
        <v>3355</v>
      </c>
    </row>
    <row r="239" spans="1:4" ht="11.25" customHeight="1">
      <c r="A239">
        <v>239</v>
      </c>
      <c r="B239" t="s">
        <v>3356</v>
      </c>
      <c r="C239" t="s">
        <v>3357</v>
      </c>
      <c r="D239" t="s">
        <v>3358</v>
      </c>
    </row>
    <row r="240" spans="1:4" ht="11.25" customHeight="1">
      <c r="A240">
        <v>240</v>
      </c>
      <c r="B240" t="s">
        <v>3356</v>
      </c>
      <c r="C240" t="s">
        <v>3063</v>
      </c>
      <c r="D240" t="s">
        <v>3359</v>
      </c>
    </row>
    <row r="241" spans="1:4" ht="11.25" customHeight="1">
      <c r="A241">
        <v>241</v>
      </c>
      <c r="B241" t="s">
        <v>3356</v>
      </c>
      <c r="C241" t="s">
        <v>3167</v>
      </c>
      <c r="D241" t="s">
        <v>3360</v>
      </c>
    </row>
    <row r="242" spans="1:4" ht="11.25" customHeight="1">
      <c r="A242">
        <v>242</v>
      </c>
      <c r="B242" t="s">
        <v>3356</v>
      </c>
      <c r="C242" t="s">
        <v>3361</v>
      </c>
      <c r="D242" t="s">
        <v>3362</v>
      </c>
    </row>
    <row r="243" spans="1:4" ht="11.25" customHeight="1">
      <c r="A243">
        <v>243</v>
      </c>
      <c r="B243" t="s">
        <v>3356</v>
      </c>
      <c r="C243" t="s">
        <v>3356</v>
      </c>
      <c r="D243" t="s">
        <v>3363</v>
      </c>
    </row>
    <row r="244" spans="1:4" ht="11.25" customHeight="1">
      <c r="A244">
        <v>244</v>
      </c>
      <c r="B244" t="s">
        <v>3356</v>
      </c>
      <c r="C244" t="s">
        <v>3364</v>
      </c>
      <c r="D244" t="s">
        <v>3365</v>
      </c>
    </row>
    <row r="245" spans="1:4" ht="11.25" customHeight="1">
      <c r="A245">
        <v>245</v>
      </c>
      <c r="B245" t="s">
        <v>3356</v>
      </c>
      <c r="C245" t="s">
        <v>3366</v>
      </c>
      <c r="D245" t="s">
        <v>3367</v>
      </c>
    </row>
    <row r="246" spans="1:4" ht="11.25" customHeight="1">
      <c r="A246">
        <v>246</v>
      </c>
      <c r="B246" t="s">
        <v>3356</v>
      </c>
      <c r="C246" t="s">
        <v>3368</v>
      </c>
      <c r="D246" t="s">
        <v>3369</v>
      </c>
    </row>
    <row r="247" spans="1:4" ht="11.25" customHeight="1">
      <c r="A247">
        <v>247</v>
      </c>
      <c r="B247" t="s">
        <v>3356</v>
      </c>
      <c r="C247" t="s">
        <v>3370</v>
      </c>
      <c r="D247" t="s">
        <v>3371</v>
      </c>
    </row>
    <row r="248" spans="1:4" ht="11.25" customHeight="1">
      <c r="A248">
        <v>248</v>
      </c>
      <c r="B248" t="s">
        <v>3356</v>
      </c>
      <c r="C248" t="s">
        <v>3372</v>
      </c>
      <c r="D248" t="s">
        <v>3373</v>
      </c>
    </row>
    <row r="249" spans="1:4" ht="11.25" customHeight="1">
      <c r="A249">
        <v>249</v>
      </c>
      <c r="B249" t="s">
        <v>3356</v>
      </c>
      <c r="C249" t="s">
        <v>3374</v>
      </c>
      <c r="D249" t="s">
        <v>3375</v>
      </c>
    </row>
    <row r="250" spans="1:4" ht="11.25" customHeight="1">
      <c r="A250">
        <v>250</v>
      </c>
      <c r="B250" t="s">
        <v>3356</v>
      </c>
      <c r="C250" t="s">
        <v>3376</v>
      </c>
      <c r="D250" t="s">
        <v>3377</v>
      </c>
    </row>
    <row r="251" spans="1:4" ht="11.25" customHeight="1">
      <c r="A251">
        <v>251</v>
      </c>
      <c r="B251" t="s">
        <v>3356</v>
      </c>
      <c r="C251" t="s">
        <v>3378</v>
      </c>
      <c r="D251" t="s">
        <v>3379</v>
      </c>
    </row>
    <row r="252" spans="1:4" ht="11.25" customHeight="1">
      <c r="A252">
        <v>252</v>
      </c>
      <c r="B252" t="s">
        <v>3356</v>
      </c>
      <c r="C252" t="s">
        <v>3380</v>
      </c>
      <c r="D252" t="s">
        <v>3381</v>
      </c>
    </row>
    <row r="253" spans="1:4" ht="11.25" customHeight="1">
      <c r="A253">
        <v>253</v>
      </c>
      <c r="B253" t="s">
        <v>3382</v>
      </c>
      <c r="C253" t="s">
        <v>2897</v>
      </c>
      <c r="D253" t="s">
        <v>3383</v>
      </c>
    </row>
    <row r="254" spans="1:4" ht="11.25" customHeight="1">
      <c r="A254">
        <v>254</v>
      </c>
      <c r="B254" t="s">
        <v>3382</v>
      </c>
      <c r="C254" t="s">
        <v>3384</v>
      </c>
      <c r="D254" t="s">
        <v>3385</v>
      </c>
    </row>
    <row r="255" spans="1:4" ht="11.25" customHeight="1">
      <c r="A255">
        <v>255</v>
      </c>
      <c r="B255" t="s">
        <v>3382</v>
      </c>
      <c r="C255" t="s">
        <v>3386</v>
      </c>
      <c r="D255" t="s">
        <v>3387</v>
      </c>
    </row>
    <row r="256" spans="1:4" ht="11.25" customHeight="1">
      <c r="A256">
        <v>256</v>
      </c>
      <c r="B256" t="s">
        <v>3382</v>
      </c>
      <c r="C256" t="s">
        <v>3388</v>
      </c>
      <c r="D256" t="s">
        <v>3389</v>
      </c>
    </row>
    <row r="257" spans="1:4" ht="11.25" customHeight="1">
      <c r="A257">
        <v>257</v>
      </c>
      <c r="B257" t="s">
        <v>3382</v>
      </c>
      <c r="C257" t="s">
        <v>3382</v>
      </c>
      <c r="D257" t="s">
        <v>3390</v>
      </c>
    </row>
    <row r="258" spans="1:4" ht="11.25" customHeight="1">
      <c r="A258">
        <v>258</v>
      </c>
      <c r="B258" t="s">
        <v>3382</v>
      </c>
      <c r="C258" t="s">
        <v>3391</v>
      </c>
      <c r="D258" t="s">
        <v>3392</v>
      </c>
    </row>
    <row r="259" spans="1:4" ht="11.25" customHeight="1">
      <c r="A259">
        <v>259</v>
      </c>
      <c r="B259" t="s">
        <v>3382</v>
      </c>
      <c r="C259" t="s">
        <v>3393</v>
      </c>
      <c r="D259" t="s">
        <v>3394</v>
      </c>
    </row>
    <row r="260" spans="1:4" ht="11.25" customHeight="1">
      <c r="A260">
        <v>260</v>
      </c>
      <c r="B260" t="s">
        <v>3382</v>
      </c>
      <c r="C260" t="s">
        <v>3395</v>
      </c>
      <c r="D260" t="s">
        <v>3396</v>
      </c>
    </row>
    <row r="261" spans="1:4" ht="11.25" customHeight="1">
      <c r="A261">
        <v>261</v>
      </c>
      <c r="B261" t="s">
        <v>3382</v>
      </c>
      <c r="C261" t="s">
        <v>3397</v>
      </c>
      <c r="D261" t="s">
        <v>3398</v>
      </c>
    </row>
    <row r="262" spans="1:4" ht="11.25" customHeight="1">
      <c r="A262">
        <v>262</v>
      </c>
      <c r="B262" t="s">
        <v>3382</v>
      </c>
      <c r="C262" t="s">
        <v>3399</v>
      </c>
      <c r="D262" t="s">
        <v>3400</v>
      </c>
    </row>
    <row r="263" spans="1:4" ht="11.25" customHeight="1">
      <c r="A263">
        <v>263</v>
      </c>
      <c r="B263" t="s">
        <v>3401</v>
      </c>
      <c r="C263" t="s">
        <v>3402</v>
      </c>
      <c r="D263" t="s">
        <v>3403</v>
      </c>
    </row>
    <row r="264" spans="1:4" ht="11.25" customHeight="1">
      <c r="A264">
        <v>264</v>
      </c>
      <c r="B264" t="s">
        <v>3401</v>
      </c>
      <c r="C264" t="s">
        <v>3404</v>
      </c>
      <c r="D264" t="s">
        <v>3405</v>
      </c>
    </row>
    <row r="265" spans="1:4" ht="11.25" customHeight="1">
      <c r="A265">
        <v>265</v>
      </c>
      <c r="B265" t="s">
        <v>3401</v>
      </c>
      <c r="C265" t="s">
        <v>3406</v>
      </c>
      <c r="D265" t="s">
        <v>3407</v>
      </c>
    </row>
    <row r="266" spans="1:4" ht="11.25" customHeight="1">
      <c r="A266">
        <v>266</v>
      </c>
      <c r="B266" t="s">
        <v>3401</v>
      </c>
      <c r="C266" t="s">
        <v>3408</v>
      </c>
      <c r="D266" t="s">
        <v>3409</v>
      </c>
    </row>
    <row r="267" spans="1:4" ht="11.25" customHeight="1">
      <c r="A267">
        <v>267</v>
      </c>
      <c r="B267" t="s">
        <v>3401</v>
      </c>
      <c r="C267" t="s">
        <v>3401</v>
      </c>
      <c r="D267" t="s">
        <v>3410</v>
      </c>
    </row>
    <row r="268" spans="1:4" ht="11.25" customHeight="1">
      <c r="A268">
        <v>268</v>
      </c>
      <c r="B268" t="s">
        <v>3401</v>
      </c>
      <c r="C268" t="s">
        <v>3411</v>
      </c>
      <c r="D268" t="s">
        <v>3412</v>
      </c>
    </row>
    <row r="269" spans="1:4" ht="11.25" customHeight="1">
      <c r="A269">
        <v>269</v>
      </c>
      <c r="B269" t="s">
        <v>3401</v>
      </c>
      <c r="C269" t="s">
        <v>3413</v>
      </c>
      <c r="D269" t="s">
        <v>3414</v>
      </c>
    </row>
    <row r="270" spans="1:4" ht="11.25" customHeight="1">
      <c r="A270">
        <v>270</v>
      </c>
      <c r="B270" t="s">
        <v>3401</v>
      </c>
      <c r="C270" t="s">
        <v>3415</v>
      </c>
      <c r="D270" t="s">
        <v>3416</v>
      </c>
    </row>
    <row r="271" spans="1:4" ht="11.25" customHeight="1">
      <c r="A271">
        <v>271</v>
      </c>
      <c r="B271" t="s">
        <v>3401</v>
      </c>
      <c r="C271" t="s">
        <v>3214</v>
      </c>
      <c r="D271" t="s">
        <v>3417</v>
      </c>
    </row>
    <row r="272" spans="1:4" ht="11.25" customHeight="1">
      <c r="A272">
        <v>272</v>
      </c>
      <c r="B272" t="s">
        <v>3401</v>
      </c>
      <c r="C272" t="s">
        <v>3418</v>
      </c>
      <c r="D272" t="s">
        <v>3419</v>
      </c>
    </row>
    <row r="273" spans="1:4" ht="11.25" customHeight="1">
      <c r="A273">
        <v>273</v>
      </c>
      <c r="B273" t="s">
        <v>3420</v>
      </c>
      <c r="C273" t="s">
        <v>3421</v>
      </c>
      <c r="D273" t="s">
        <v>3422</v>
      </c>
    </row>
    <row r="274" spans="1:4" ht="11.25" customHeight="1">
      <c r="A274">
        <v>274</v>
      </c>
      <c r="B274" t="s">
        <v>3420</v>
      </c>
      <c r="C274" t="s">
        <v>3423</v>
      </c>
      <c r="D274" t="s">
        <v>3424</v>
      </c>
    </row>
    <row r="275" spans="1:4" ht="11.25" customHeight="1">
      <c r="A275">
        <v>275</v>
      </c>
      <c r="B275" t="s">
        <v>3420</v>
      </c>
      <c r="C275" t="s">
        <v>3425</v>
      </c>
      <c r="D275" t="s">
        <v>3426</v>
      </c>
    </row>
    <row r="276" spans="1:4" ht="11.25" customHeight="1">
      <c r="A276">
        <v>276</v>
      </c>
      <c r="B276" t="s">
        <v>3420</v>
      </c>
      <c r="C276" t="s">
        <v>3427</v>
      </c>
      <c r="D276" t="s">
        <v>3428</v>
      </c>
    </row>
    <row r="277" spans="1:4" ht="11.25" customHeight="1">
      <c r="A277">
        <v>277</v>
      </c>
      <c r="B277" t="s">
        <v>3420</v>
      </c>
      <c r="C277" t="s">
        <v>3429</v>
      </c>
      <c r="D277" t="s">
        <v>3430</v>
      </c>
    </row>
    <row r="278" spans="1:4" ht="11.25" customHeight="1">
      <c r="A278">
        <v>278</v>
      </c>
      <c r="B278" t="s">
        <v>3420</v>
      </c>
      <c r="C278" t="s">
        <v>3431</v>
      </c>
      <c r="D278" t="s">
        <v>3432</v>
      </c>
    </row>
    <row r="279" spans="1:4" ht="11.25" customHeight="1">
      <c r="A279">
        <v>279</v>
      </c>
      <c r="B279" t="s">
        <v>3420</v>
      </c>
      <c r="C279" t="s">
        <v>3420</v>
      </c>
      <c r="D279" t="s">
        <v>3433</v>
      </c>
    </row>
    <row r="280" spans="1:4" ht="11.25" customHeight="1">
      <c r="A280">
        <v>280</v>
      </c>
      <c r="B280" t="s">
        <v>3420</v>
      </c>
      <c r="C280" t="s">
        <v>3434</v>
      </c>
      <c r="D280" t="s">
        <v>3435</v>
      </c>
    </row>
    <row r="281" spans="1:4" ht="11.25" customHeight="1">
      <c r="A281">
        <v>281</v>
      </c>
      <c r="B281" t="s">
        <v>3420</v>
      </c>
      <c r="C281" t="s">
        <v>3436</v>
      </c>
      <c r="D281" t="s">
        <v>3437</v>
      </c>
    </row>
    <row r="282" spans="1:4" ht="11.25" customHeight="1">
      <c r="A282">
        <v>282</v>
      </c>
      <c r="B282" t="s">
        <v>3420</v>
      </c>
      <c r="C282" t="s">
        <v>3438</v>
      </c>
      <c r="D282" t="s">
        <v>3439</v>
      </c>
    </row>
    <row r="283" spans="1:4" ht="11.25" customHeight="1">
      <c r="A283">
        <v>283</v>
      </c>
      <c r="B283" t="s">
        <v>3420</v>
      </c>
      <c r="C283" t="s">
        <v>3440</v>
      </c>
      <c r="D283" t="s">
        <v>3441</v>
      </c>
    </row>
    <row r="284" spans="1:4" ht="11.25" customHeight="1">
      <c r="A284">
        <v>284</v>
      </c>
      <c r="B284" t="s">
        <v>3442</v>
      </c>
      <c r="C284" t="s">
        <v>3443</v>
      </c>
      <c r="D284" t="s">
        <v>3444</v>
      </c>
    </row>
    <row r="285" spans="1:4" ht="11.25" customHeight="1">
      <c r="A285">
        <v>285</v>
      </c>
      <c r="B285" t="s">
        <v>3442</v>
      </c>
      <c r="C285" t="s">
        <v>3442</v>
      </c>
      <c r="D285" t="s">
        <v>3445</v>
      </c>
    </row>
    <row r="286" spans="1:4" ht="11.25" customHeight="1">
      <c r="A286">
        <v>286</v>
      </c>
      <c r="B286" t="s">
        <v>3442</v>
      </c>
      <c r="C286" t="s">
        <v>3446</v>
      </c>
      <c r="D286" t="s">
        <v>3447</v>
      </c>
    </row>
    <row r="287" spans="1:4" ht="11.25" customHeight="1">
      <c r="A287">
        <v>287</v>
      </c>
      <c r="B287" t="s">
        <v>3442</v>
      </c>
      <c r="C287" t="s">
        <v>3448</v>
      </c>
      <c r="D287" t="s">
        <v>3449</v>
      </c>
    </row>
    <row r="288" spans="1:4" ht="11.25" customHeight="1">
      <c r="A288">
        <v>288</v>
      </c>
      <c r="B288" t="s">
        <v>3442</v>
      </c>
      <c r="C288" t="s">
        <v>3214</v>
      </c>
      <c r="D288" t="s">
        <v>3450</v>
      </c>
    </row>
    <row r="289" spans="1:4" ht="11.25" customHeight="1">
      <c r="A289">
        <v>289</v>
      </c>
      <c r="B289" t="s">
        <v>3442</v>
      </c>
      <c r="C289" t="s">
        <v>3451</v>
      </c>
      <c r="D289" t="s">
        <v>3452</v>
      </c>
    </row>
    <row r="290" spans="1:4" ht="11.25" customHeight="1">
      <c r="A290">
        <v>290</v>
      </c>
      <c r="B290" t="s">
        <v>3442</v>
      </c>
      <c r="C290" t="s">
        <v>3453</v>
      </c>
      <c r="D290" t="s">
        <v>3454</v>
      </c>
    </row>
    <row r="291" spans="1:4" ht="11.25" customHeight="1">
      <c r="A291">
        <v>291</v>
      </c>
      <c r="B291" t="s">
        <v>3442</v>
      </c>
      <c r="C291" t="s">
        <v>3455</v>
      </c>
      <c r="D291" t="s">
        <v>3456</v>
      </c>
    </row>
    <row r="292" spans="1:4" ht="11.25" customHeight="1">
      <c r="A292">
        <v>292</v>
      </c>
      <c r="B292" t="s">
        <v>3442</v>
      </c>
      <c r="C292" t="s">
        <v>3198</v>
      </c>
      <c r="D292" t="s">
        <v>3457</v>
      </c>
    </row>
    <row r="293" spans="1:4" ht="11.25" customHeight="1">
      <c r="A293">
        <v>293</v>
      </c>
      <c r="B293" t="s">
        <v>3442</v>
      </c>
      <c r="C293" t="s">
        <v>3458</v>
      </c>
      <c r="D293" t="s">
        <v>3459</v>
      </c>
    </row>
    <row r="294" spans="1:4" ht="11.25" customHeight="1">
      <c r="A294">
        <v>294</v>
      </c>
      <c r="B294" t="s">
        <v>3442</v>
      </c>
      <c r="C294" t="s">
        <v>3460</v>
      </c>
      <c r="D294" t="s">
        <v>3461</v>
      </c>
    </row>
    <row r="295" spans="1:4" ht="11.25" customHeight="1">
      <c r="A295">
        <v>295</v>
      </c>
      <c r="B295" t="s">
        <v>3462</v>
      </c>
      <c r="C295" t="s">
        <v>3463</v>
      </c>
      <c r="D295" t="s">
        <v>3464</v>
      </c>
    </row>
    <row r="296" spans="1:4" ht="11.25" customHeight="1">
      <c r="A296">
        <v>296</v>
      </c>
      <c r="B296" t="s">
        <v>3462</v>
      </c>
      <c r="C296" t="s">
        <v>3465</v>
      </c>
      <c r="D296" t="s">
        <v>3466</v>
      </c>
    </row>
    <row r="297" spans="1:4" ht="11.25" customHeight="1">
      <c r="A297">
        <v>297</v>
      </c>
      <c r="B297" t="s">
        <v>3462</v>
      </c>
      <c r="C297" t="s">
        <v>3467</v>
      </c>
      <c r="D297" t="s">
        <v>3468</v>
      </c>
    </row>
    <row r="298" spans="1:4" ht="11.25" customHeight="1">
      <c r="A298">
        <v>298</v>
      </c>
      <c r="B298" t="s">
        <v>3462</v>
      </c>
      <c r="C298" t="s">
        <v>3137</v>
      </c>
      <c r="D298" t="s">
        <v>3469</v>
      </c>
    </row>
    <row r="299" spans="1:4" ht="11.25" customHeight="1">
      <c r="A299">
        <v>299</v>
      </c>
      <c r="B299" t="s">
        <v>3462</v>
      </c>
      <c r="C299" t="s">
        <v>3470</v>
      </c>
      <c r="D299" t="s">
        <v>3471</v>
      </c>
    </row>
    <row r="300" spans="1:4" ht="11.25" customHeight="1">
      <c r="A300">
        <v>300</v>
      </c>
      <c r="B300" t="s">
        <v>3462</v>
      </c>
      <c r="C300" t="s">
        <v>3472</v>
      </c>
      <c r="D300" t="s">
        <v>3473</v>
      </c>
    </row>
    <row r="301" spans="1:4" ht="11.25" customHeight="1">
      <c r="A301">
        <v>301</v>
      </c>
      <c r="B301" t="s">
        <v>3462</v>
      </c>
      <c r="C301" t="s">
        <v>3474</v>
      </c>
      <c r="D301" t="s">
        <v>3475</v>
      </c>
    </row>
    <row r="302" spans="1:4" ht="11.25" customHeight="1">
      <c r="A302">
        <v>302</v>
      </c>
      <c r="B302" t="s">
        <v>3462</v>
      </c>
      <c r="C302" t="s">
        <v>2907</v>
      </c>
      <c r="D302" t="s">
        <v>3476</v>
      </c>
    </row>
    <row r="303" spans="1:4" ht="11.25" customHeight="1">
      <c r="A303">
        <v>303</v>
      </c>
      <c r="B303" t="s">
        <v>3462</v>
      </c>
      <c r="C303" t="s">
        <v>3462</v>
      </c>
      <c r="D303" t="s">
        <v>3477</v>
      </c>
    </row>
    <row r="304" spans="1:4" ht="11.25" customHeight="1">
      <c r="A304">
        <v>304</v>
      </c>
      <c r="B304" t="s">
        <v>3462</v>
      </c>
      <c r="C304" t="s">
        <v>3478</v>
      </c>
      <c r="D304" t="s">
        <v>3479</v>
      </c>
    </row>
    <row r="305" spans="1:4" ht="11.25" customHeight="1">
      <c r="A305">
        <v>305</v>
      </c>
      <c r="B305" t="s">
        <v>3462</v>
      </c>
      <c r="C305" t="s">
        <v>3480</v>
      </c>
      <c r="D305" t="s">
        <v>3481</v>
      </c>
    </row>
    <row r="306" spans="1:4" ht="11.25" customHeight="1">
      <c r="A306">
        <v>306</v>
      </c>
      <c r="B306" t="s">
        <v>3462</v>
      </c>
      <c r="C306" t="s">
        <v>3010</v>
      </c>
      <c r="D306" t="s">
        <v>3482</v>
      </c>
    </row>
    <row r="307" spans="1:4" ht="11.25" customHeight="1">
      <c r="A307">
        <v>307</v>
      </c>
      <c r="B307" t="s">
        <v>3462</v>
      </c>
      <c r="C307" t="s">
        <v>3483</v>
      </c>
      <c r="D307" t="s">
        <v>3484</v>
      </c>
    </row>
    <row r="308" spans="1:4" ht="11.25" customHeight="1">
      <c r="A308">
        <v>308</v>
      </c>
      <c r="B308" t="s">
        <v>3462</v>
      </c>
      <c r="C308" t="s">
        <v>3485</v>
      </c>
      <c r="D308" t="s">
        <v>3486</v>
      </c>
    </row>
    <row r="309" spans="1:4" ht="11.25" customHeight="1">
      <c r="A309">
        <v>309</v>
      </c>
      <c r="B309" t="s">
        <v>3462</v>
      </c>
      <c r="C309" t="s">
        <v>3312</v>
      </c>
      <c r="D309" t="s">
        <v>3487</v>
      </c>
    </row>
    <row r="310" spans="1:4" ht="11.25" customHeight="1">
      <c r="A310">
        <v>310</v>
      </c>
      <c r="B310" t="s">
        <v>3462</v>
      </c>
      <c r="C310" t="s">
        <v>3488</v>
      </c>
      <c r="D310" t="s">
        <v>3489</v>
      </c>
    </row>
    <row r="311" spans="1:4" ht="11.25" customHeight="1">
      <c r="A311">
        <v>311</v>
      </c>
      <c r="B311" t="s">
        <v>3462</v>
      </c>
      <c r="C311" t="s">
        <v>3490</v>
      </c>
      <c r="D311" t="s">
        <v>3491</v>
      </c>
    </row>
    <row r="312" spans="1:4" ht="11.25" customHeight="1">
      <c r="A312">
        <v>312</v>
      </c>
      <c r="B312" t="s">
        <v>3462</v>
      </c>
      <c r="C312" t="s">
        <v>3492</v>
      </c>
      <c r="D312" t="s">
        <v>3493</v>
      </c>
    </row>
    <row r="313" spans="1:4" ht="11.25" customHeight="1">
      <c r="A313">
        <v>313</v>
      </c>
      <c r="B313" t="s">
        <v>3462</v>
      </c>
      <c r="C313" t="s">
        <v>3042</v>
      </c>
      <c r="D313" t="s">
        <v>3494</v>
      </c>
    </row>
    <row r="314" spans="1:4" ht="11.25" customHeight="1">
      <c r="A314">
        <v>314</v>
      </c>
      <c r="B314" t="s">
        <v>3495</v>
      </c>
      <c r="C314" t="s">
        <v>3496</v>
      </c>
      <c r="D314" t="s">
        <v>3497</v>
      </c>
    </row>
    <row r="315" spans="1:4" ht="11.25" customHeight="1">
      <c r="A315">
        <v>315</v>
      </c>
      <c r="B315" t="s">
        <v>3495</v>
      </c>
      <c r="C315" t="s">
        <v>3498</v>
      </c>
      <c r="D315" t="s">
        <v>3499</v>
      </c>
    </row>
    <row r="316" spans="1:4" ht="11.25" customHeight="1">
      <c r="A316">
        <v>316</v>
      </c>
      <c r="B316" t="s">
        <v>3495</v>
      </c>
      <c r="C316" t="s">
        <v>3500</v>
      </c>
      <c r="D316" t="s">
        <v>3501</v>
      </c>
    </row>
    <row r="317" spans="1:4" ht="11.25" customHeight="1">
      <c r="A317">
        <v>317</v>
      </c>
      <c r="B317" t="s">
        <v>3495</v>
      </c>
      <c r="C317" t="s">
        <v>3502</v>
      </c>
      <c r="D317" t="s">
        <v>3503</v>
      </c>
    </row>
    <row r="318" spans="1:4" ht="11.25" customHeight="1">
      <c r="A318">
        <v>318</v>
      </c>
      <c r="B318" t="s">
        <v>3495</v>
      </c>
      <c r="C318" t="s">
        <v>3504</v>
      </c>
      <c r="D318" t="s">
        <v>3505</v>
      </c>
    </row>
    <row r="319" spans="1:4" ht="11.25" customHeight="1">
      <c r="A319">
        <v>319</v>
      </c>
      <c r="B319" t="s">
        <v>3495</v>
      </c>
      <c r="C319" t="s">
        <v>3506</v>
      </c>
      <c r="D319" t="s">
        <v>3507</v>
      </c>
    </row>
    <row r="320" spans="1:4" ht="11.25" customHeight="1">
      <c r="A320">
        <v>320</v>
      </c>
      <c r="B320" t="s">
        <v>3495</v>
      </c>
      <c r="C320" t="s">
        <v>3508</v>
      </c>
      <c r="D320" t="s">
        <v>3509</v>
      </c>
    </row>
    <row r="321" spans="1:4" ht="11.25" customHeight="1">
      <c r="A321">
        <v>321</v>
      </c>
      <c r="B321" t="s">
        <v>3495</v>
      </c>
      <c r="C321" t="s">
        <v>3495</v>
      </c>
      <c r="D321" t="s">
        <v>3510</v>
      </c>
    </row>
    <row r="322" spans="1:4" ht="11.25" customHeight="1">
      <c r="A322">
        <v>322</v>
      </c>
      <c r="B322" t="s">
        <v>3495</v>
      </c>
      <c r="C322" t="s">
        <v>3511</v>
      </c>
      <c r="D322" t="s">
        <v>3512</v>
      </c>
    </row>
    <row r="323" spans="1:4" ht="11.25" customHeight="1">
      <c r="A323">
        <v>323</v>
      </c>
      <c r="B323" t="s">
        <v>3495</v>
      </c>
      <c r="C323" t="s">
        <v>3513</v>
      </c>
      <c r="D323" t="s">
        <v>3514</v>
      </c>
    </row>
    <row r="324" spans="1:4" ht="11.25" customHeight="1">
      <c r="A324">
        <v>324</v>
      </c>
      <c r="B324" t="s">
        <v>3495</v>
      </c>
      <c r="C324" t="s">
        <v>3312</v>
      </c>
      <c r="D324" t="s">
        <v>3515</v>
      </c>
    </row>
    <row r="325" spans="1:4" ht="11.25" customHeight="1">
      <c r="A325">
        <v>325</v>
      </c>
      <c r="B325" t="s">
        <v>3495</v>
      </c>
      <c r="C325" t="s">
        <v>3516</v>
      </c>
      <c r="D325" t="s">
        <v>3517</v>
      </c>
    </row>
    <row r="326" spans="1:4" ht="11.25" customHeight="1">
      <c r="A326">
        <v>326</v>
      </c>
      <c r="B326" t="s">
        <v>3495</v>
      </c>
      <c r="C326" t="s">
        <v>3518</v>
      </c>
      <c r="D326" t="s">
        <v>3519</v>
      </c>
    </row>
    <row r="327" spans="1:4" ht="11.25" customHeight="1">
      <c r="A327">
        <v>327</v>
      </c>
      <c r="B327" t="s">
        <v>3495</v>
      </c>
      <c r="C327" t="s">
        <v>3520</v>
      </c>
      <c r="D327" t="s">
        <v>3521</v>
      </c>
    </row>
    <row r="328" spans="1:4" ht="11.25" customHeight="1">
      <c r="A328">
        <v>328</v>
      </c>
      <c r="B328" t="s">
        <v>3522</v>
      </c>
      <c r="C328" t="s">
        <v>3523</v>
      </c>
      <c r="D328" t="s">
        <v>3524</v>
      </c>
    </row>
    <row r="329" spans="1:4" ht="11.25" customHeight="1">
      <c r="A329">
        <v>329</v>
      </c>
      <c r="B329" t="s">
        <v>3522</v>
      </c>
      <c r="C329" t="s">
        <v>3525</v>
      </c>
      <c r="D329" t="s">
        <v>3526</v>
      </c>
    </row>
    <row r="330" spans="1:4" ht="11.25" customHeight="1">
      <c r="A330">
        <v>330</v>
      </c>
      <c r="B330" t="s">
        <v>3522</v>
      </c>
      <c r="C330" t="s">
        <v>3527</v>
      </c>
      <c r="D330" t="s">
        <v>3528</v>
      </c>
    </row>
    <row r="331" spans="1:4" ht="11.25" customHeight="1">
      <c r="A331">
        <v>331</v>
      </c>
      <c r="B331" t="s">
        <v>3522</v>
      </c>
      <c r="C331" t="s">
        <v>3522</v>
      </c>
      <c r="D331" t="s">
        <v>3529</v>
      </c>
    </row>
    <row r="332" spans="1:4" ht="11.25" customHeight="1">
      <c r="A332">
        <v>332</v>
      </c>
      <c r="B332" t="s">
        <v>3522</v>
      </c>
      <c r="C332" t="s">
        <v>3028</v>
      </c>
      <c r="D332" t="s">
        <v>3530</v>
      </c>
    </row>
    <row r="333" spans="1:4" ht="11.25" customHeight="1">
      <c r="A333">
        <v>333</v>
      </c>
      <c r="B333" t="s">
        <v>3522</v>
      </c>
      <c r="C333" t="s">
        <v>3531</v>
      </c>
      <c r="D333" t="s">
        <v>3532</v>
      </c>
    </row>
    <row r="334" spans="1:4" ht="11.25" customHeight="1">
      <c r="A334">
        <v>334</v>
      </c>
      <c r="B334" t="s">
        <v>3522</v>
      </c>
      <c r="C334" t="s">
        <v>3010</v>
      </c>
      <c r="D334" t="s">
        <v>3533</v>
      </c>
    </row>
    <row r="335" spans="1:4" ht="11.25" customHeight="1">
      <c r="A335">
        <v>335</v>
      </c>
      <c r="B335" t="s">
        <v>3522</v>
      </c>
      <c r="C335" t="s">
        <v>3534</v>
      </c>
      <c r="D335" t="s">
        <v>3535</v>
      </c>
    </row>
    <row r="336" spans="1:4" ht="11.25" customHeight="1">
      <c r="A336">
        <v>336</v>
      </c>
      <c r="B336" t="s">
        <v>3522</v>
      </c>
      <c r="C336" t="s">
        <v>3536</v>
      </c>
      <c r="D336" t="s">
        <v>3537</v>
      </c>
    </row>
    <row r="337" spans="1:4" ht="11.25" customHeight="1">
      <c r="A337">
        <v>337</v>
      </c>
      <c r="B337" t="s">
        <v>3538</v>
      </c>
      <c r="C337" t="s">
        <v>3539</v>
      </c>
      <c r="D337" t="s">
        <v>3540</v>
      </c>
    </row>
    <row r="338" spans="1:4" ht="11.25" customHeight="1">
      <c r="A338">
        <v>338</v>
      </c>
      <c r="B338" t="s">
        <v>3538</v>
      </c>
      <c r="C338" t="s">
        <v>3541</v>
      </c>
      <c r="D338" t="s">
        <v>3542</v>
      </c>
    </row>
    <row r="339" spans="1:4" ht="11.25" customHeight="1">
      <c r="A339">
        <v>339</v>
      </c>
      <c r="B339" t="s">
        <v>3538</v>
      </c>
      <c r="C339" t="s">
        <v>3543</v>
      </c>
      <c r="D339" t="s">
        <v>3544</v>
      </c>
    </row>
    <row r="340" spans="1:4" ht="11.25" customHeight="1">
      <c r="A340">
        <v>340</v>
      </c>
      <c r="B340" t="s">
        <v>3538</v>
      </c>
      <c r="C340" t="s">
        <v>3545</v>
      </c>
      <c r="D340" t="s">
        <v>3546</v>
      </c>
    </row>
    <row r="341" spans="1:4" ht="11.25" customHeight="1">
      <c r="A341">
        <v>341</v>
      </c>
      <c r="B341" t="s">
        <v>3538</v>
      </c>
      <c r="C341" t="s">
        <v>3547</v>
      </c>
      <c r="D341" t="s">
        <v>3548</v>
      </c>
    </row>
    <row r="342" spans="1:4" ht="11.25" customHeight="1">
      <c r="A342">
        <v>342</v>
      </c>
      <c r="B342" t="s">
        <v>3538</v>
      </c>
      <c r="C342" t="s">
        <v>3538</v>
      </c>
      <c r="D342" t="s">
        <v>3549</v>
      </c>
    </row>
    <row r="343" spans="1:4" ht="11.25" customHeight="1">
      <c r="A343">
        <v>343</v>
      </c>
      <c r="B343" t="s">
        <v>3538</v>
      </c>
      <c r="C343" t="s">
        <v>3010</v>
      </c>
      <c r="D343" t="s">
        <v>3550</v>
      </c>
    </row>
    <row r="344" spans="1:4" ht="11.25" customHeight="1">
      <c r="A344">
        <v>344</v>
      </c>
      <c r="B344" t="s">
        <v>3538</v>
      </c>
      <c r="C344" t="s">
        <v>3551</v>
      </c>
      <c r="D344" t="s">
        <v>3552</v>
      </c>
    </row>
    <row r="345" spans="1:4" ht="11.25" customHeight="1">
      <c r="A345">
        <v>345</v>
      </c>
      <c r="B345" t="s">
        <v>3538</v>
      </c>
      <c r="C345" t="s">
        <v>3553</v>
      </c>
      <c r="D345" t="s">
        <v>3554</v>
      </c>
    </row>
    <row r="346" spans="1:4" ht="11.25" customHeight="1">
      <c r="A346">
        <v>346</v>
      </c>
      <c r="B346" t="s">
        <v>3538</v>
      </c>
      <c r="C346" t="s">
        <v>3555</v>
      </c>
      <c r="D346" t="s">
        <v>3556</v>
      </c>
    </row>
    <row r="347" spans="1:4" ht="11.25" customHeight="1">
      <c r="A347">
        <v>347</v>
      </c>
      <c r="B347" t="s">
        <v>3538</v>
      </c>
      <c r="C347" t="s">
        <v>3557</v>
      </c>
      <c r="D347" t="s">
        <v>3558</v>
      </c>
    </row>
    <row r="348" spans="1:4" ht="11.25" customHeight="1">
      <c r="A348">
        <v>348</v>
      </c>
      <c r="B348" t="s">
        <v>3538</v>
      </c>
      <c r="C348" t="s">
        <v>3559</v>
      </c>
      <c r="D348" t="s">
        <v>3560</v>
      </c>
    </row>
    <row r="349" spans="1:4" ht="11.25" customHeight="1">
      <c r="A349">
        <v>349</v>
      </c>
      <c r="B349" t="s">
        <v>3538</v>
      </c>
      <c r="C349" t="s">
        <v>3561</v>
      </c>
      <c r="D349" t="s">
        <v>3562</v>
      </c>
    </row>
    <row r="350" spans="1:4" ht="11.25" customHeight="1">
      <c r="A350">
        <v>350</v>
      </c>
      <c r="B350" t="s">
        <v>3563</v>
      </c>
      <c r="C350" t="s">
        <v>3564</v>
      </c>
      <c r="D350" t="s">
        <v>3565</v>
      </c>
    </row>
    <row r="351" spans="1:4" ht="11.25" customHeight="1">
      <c r="A351">
        <v>351</v>
      </c>
      <c r="B351" t="s">
        <v>3563</v>
      </c>
      <c r="C351" t="s">
        <v>3566</v>
      </c>
      <c r="D351" t="s">
        <v>3567</v>
      </c>
    </row>
    <row r="352" spans="1:4" ht="11.25" customHeight="1">
      <c r="A352">
        <v>352</v>
      </c>
      <c r="B352" t="s">
        <v>3563</v>
      </c>
      <c r="C352" t="s">
        <v>3568</v>
      </c>
      <c r="D352" t="s">
        <v>3569</v>
      </c>
    </row>
    <row r="353" spans="1:4" ht="11.25" customHeight="1">
      <c r="A353">
        <v>353</v>
      </c>
      <c r="B353" t="s">
        <v>3563</v>
      </c>
      <c r="C353" t="s">
        <v>3563</v>
      </c>
      <c r="D353" t="s">
        <v>3570</v>
      </c>
    </row>
    <row r="354" spans="1:4" ht="11.25" customHeight="1">
      <c r="A354">
        <v>354</v>
      </c>
      <c r="B354" t="s">
        <v>3563</v>
      </c>
      <c r="C354" t="s">
        <v>3571</v>
      </c>
      <c r="D354" t="s">
        <v>3572</v>
      </c>
    </row>
    <row r="355" spans="1:4" ht="11.25" customHeight="1">
      <c r="A355">
        <v>355</v>
      </c>
      <c r="B355" t="s">
        <v>3563</v>
      </c>
      <c r="C355" t="s">
        <v>3573</v>
      </c>
      <c r="D355" t="s">
        <v>3574</v>
      </c>
    </row>
    <row r="356" spans="1:4" ht="11.25" customHeight="1">
      <c r="A356">
        <v>356</v>
      </c>
      <c r="B356" t="s">
        <v>3563</v>
      </c>
      <c r="C356" t="s">
        <v>3082</v>
      </c>
      <c r="D356" t="s">
        <v>3575</v>
      </c>
    </row>
    <row r="357" spans="1:4" ht="11.25" customHeight="1">
      <c r="A357">
        <v>357</v>
      </c>
      <c r="B357" t="s">
        <v>3563</v>
      </c>
      <c r="C357" t="s">
        <v>3576</v>
      </c>
      <c r="D357" t="s">
        <v>3577</v>
      </c>
    </row>
    <row r="358" spans="1:4" ht="11.25" customHeight="1">
      <c r="A358">
        <v>358</v>
      </c>
      <c r="B358" t="s">
        <v>3578</v>
      </c>
      <c r="C358" t="s">
        <v>3579</v>
      </c>
      <c r="D358" t="s">
        <v>3580</v>
      </c>
    </row>
    <row r="359" spans="1:4" ht="11.25" customHeight="1">
      <c r="A359">
        <v>359</v>
      </c>
      <c r="B359" t="s">
        <v>3578</v>
      </c>
      <c r="C359" t="s">
        <v>3244</v>
      </c>
      <c r="D359" t="s">
        <v>3581</v>
      </c>
    </row>
    <row r="360" spans="1:4" ht="11.25" customHeight="1">
      <c r="A360">
        <v>360</v>
      </c>
      <c r="B360" t="s">
        <v>3578</v>
      </c>
      <c r="C360" t="s">
        <v>3582</v>
      </c>
      <c r="D360" t="s">
        <v>3583</v>
      </c>
    </row>
    <row r="361" spans="1:4" ht="11.25" customHeight="1">
      <c r="A361">
        <v>361</v>
      </c>
      <c r="B361" t="s">
        <v>3578</v>
      </c>
      <c r="C361" t="s">
        <v>3427</v>
      </c>
      <c r="D361" t="s">
        <v>3584</v>
      </c>
    </row>
    <row r="362" spans="1:4" ht="11.25" customHeight="1">
      <c r="A362">
        <v>362</v>
      </c>
      <c r="B362" t="s">
        <v>3578</v>
      </c>
      <c r="C362" t="s">
        <v>3502</v>
      </c>
      <c r="D362" t="s">
        <v>3585</v>
      </c>
    </row>
    <row r="363" spans="1:4" ht="11.25" customHeight="1">
      <c r="A363">
        <v>363</v>
      </c>
      <c r="B363" t="s">
        <v>3578</v>
      </c>
      <c r="C363" t="s">
        <v>3108</v>
      </c>
      <c r="D363" t="s">
        <v>3586</v>
      </c>
    </row>
    <row r="364" spans="1:4" ht="11.25" customHeight="1">
      <c r="A364">
        <v>364</v>
      </c>
      <c r="B364" t="s">
        <v>3578</v>
      </c>
      <c r="C364" t="s">
        <v>3587</v>
      </c>
      <c r="D364" t="s">
        <v>3588</v>
      </c>
    </row>
    <row r="365" spans="1:4" ht="11.25" customHeight="1">
      <c r="A365">
        <v>365</v>
      </c>
      <c r="B365" t="s">
        <v>3578</v>
      </c>
      <c r="C365" t="s">
        <v>3578</v>
      </c>
      <c r="D365" t="s">
        <v>3589</v>
      </c>
    </row>
    <row r="366" spans="1:4" ht="11.25" customHeight="1">
      <c r="A366">
        <v>366</v>
      </c>
      <c r="B366" t="s">
        <v>3578</v>
      </c>
      <c r="C366" t="s">
        <v>3590</v>
      </c>
      <c r="D366" t="s">
        <v>3591</v>
      </c>
    </row>
    <row r="367" spans="1:4" ht="11.25" customHeight="1">
      <c r="A367">
        <v>367</v>
      </c>
      <c r="B367" t="s">
        <v>3578</v>
      </c>
      <c r="C367" t="s">
        <v>3592</v>
      </c>
      <c r="D367" t="s">
        <v>3593</v>
      </c>
    </row>
    <row r="368" spans="1:4" ht="11.25" customHeight="1">
      <c r="A368">
        <v>368</v>
      </c>
      <c r="B368" t="s">
        <v>3578</v>
      </c>
      <c r="C368" t="s">
        <v>3594</v>
      </c>
      <c r="D368" t="s">
        <v>3595</v>
      </c>
    </row>
    <row r="369" spans="1:4" ht="11.25" customHeight="1">
      <c r="A369">
        <v>369</v>
      </c>
      <c r="B369" t="s">
        <v>3578</v>
      </c>
      <c r="C369" t="s">
        <v>3596</v>
      </c>
      <c r="D369" t="s">
        <v>3597</v>
      </c>
    </row>
    <row r="370" spans="1:4" ht="11.25" customHeight="1">
      <c r="A370">
        <v>370</v>
      </c>
      <c r="B370" t="s">
        <v>3578</v>
      </c>
      <c r="C370" t="s">
        <v>3598</v>
      </c>
      <c r="D370" t="s">
        <v>3599</v>
      </c>
    </row>
    <row r="371" spans="1:4" ht="11.25" customHeight="1">
      <c r="A371">
        <v>371</v>
      </c>
      <c r="B371" t="s">
        <v>3578</v>
      </c>
      <c r="C371" t="s">
        <v>3600</v>
      </c>
      <c r="D371" t="s">
        <v>3601</v>
      </c>
    </row>
    <row r="372" spans="1:4" ht="11.25" customHeight="1">
      <c r="A372">
        <v>372</v>
      </c>
      <c r="B372" t="s">
        <v>3578</v>
      </c>
      <c r="C372" t="s">
        <v>3602</v>
      </c>
      <c r="D372" t="s">
        <v>3603</v>
      </c>
    </row>
    <row r="373" spans="1:4" ht="11.25" customHeight="1">
      <c r="A373">
        <v>373</v>
      </c>
      <c r="B373" t="s">
        <v>3578</v>
      </c>
      <c r="C373" t="s">
        <v>3604</v>
      </c>
      <c r="D373" t="s">
        <v>3605</v>
      </c>
    </row>
    <row r="374" spans="1:4" ht="11.25" customHeight="1">
      <c r="A374">
        <v>374</v>
      </c>
      <c r="B374" t="s">
        <v>3606</v>
      </c>
      <c r="C374" t="s">
        <v>3607</v>
      </c>
      <c r="D374" t="s">
        <v>3608</v>
      </c>
    </row>
    <row r="375" spans="1:4" ht="11.25" customHeight="1">
      <c r="A375">
        <v>375</v>
      </c>
      <c r="B375" t="s">
        <v>3606</v>
      </c>
      <c r="C375" t="s">
        <v>3609</v>
      </c>
      <c r="D375" t="s">
        <v>3610</v>
      </c>
    </row>
    <row r="376" spans="1:4" ht="11.25" customHeight="1">
      <c r="A376">
        <v>376</v>
      </c>
      <c r="B376" t="s">
        <v>3606</v>
      </c>
      <c r="C376" t="s">
        <v>3611</v>
      </c>
      <c r="D376" t="s">
        <v>3612</v>
      </c>
    </row>
    <row r="377" spans="1:4" ht="11.25" customHeight="1">
      <c r="A377">
        <v>377</v>
      </c>
      <c r="B377" t="s">
        <v>3606</v>
      </c>
      <c r="C377" t="s">
        <v>3613</v>
      </c>
      <c r="D377" t="s">
        <v>3614</v>
      </c>
    </row>
    <row r="378" spans="1:4" ht="11.25" customHeight="1">
      <c r="A378">
        <v>378</v>
      </c>
      <c r="B378" t="s">
        <v>3606</v>
      </c>
      <c r="C378" t="s">
        <v>3615</v>
      </c>
      <c r="D378" t="s">
        <v>3616</v>
      </c>
    </row>
    <row r="379" spans="1:4" ht="11.25" customHeight="1">
      <c r="A379">
        <v>379</v>
      </c>
      <c r="B379" t="s">
        <v>3606</v>
      </c>
      <c r="C379" t="s">
        <v>3606</v>
      </c>
      <c r="D379" t="s">
        <v>3617</v>
      </c>
    </row>
    <row r="380" spans="1:4" ht="11.25" customHeight="1">
      <c r="A380">
        <v>380</v>
      </c>
      <c r="B380" t="s">
        <v>3606</v>
      </c>
      <c r="C380" t="s">
        <v>3618</v>
      </c>
      <c r="D380" t="s">
        <v>3619</v>
      </c>
    </row>
    <row r="381" spans="1:4" ht="11.25" customHeight="1">
      <c r="A381">
        <v>381</v>
      </c>
      <c r="B381" t="s">
        <v>3606</v>
      </c>
      <c r="C381" t="s">
        <v>3620</v>
      </c>
      <c r="D381" t="s">
        <v>3621</v>
      </c>
    </row>
    <row r="382" spans="1:4" ht="11.25" customHeight="1">
      <c r="A382">
        <v>382</v>
      </c>
      <c r="B382" t="s">
        <v>3606</v>
      </c>
      <c r="C382" t="s">
        <v>3622</v>
      </c>
      <c r="D382" t="s">
        <v>3623</v>
      </c>
    </row>
    <row r="383" spans="1:4" ht="11.25" customHeight="1">
      <c r="A383">
        <v>383</v>
      </c>
      <c r="B383" t="s">
        <v>3606</v>
      </c>
      <c r="C383" t="s">
        <v>3624</v>
      </c>
      <c r="D383" t="s">
        <v>3625</v>
      </c>
    </row>
    <row r="384" spans="1:4" ht="11.25" customHeight="1">
      <c r="A384">
        <v>384</v>
      </c>
      <c r="B384" t="s">
        <v>3626</v>
      </c>
      <c r="C384" t="s">
        <v>3627</v>
      </c>
      <c r="D384" t="s">
        <v>3628</v>
      </c>
    </row>
    <row r="385" spans="1:4" ht="11.25" customHeight="1">
      <c r="A385">
        <v>385</v>
      </c>
      <c r="B385" t="s">
        <v>3626</v>
      </c>
      <c r="C385" t="s">
        <v>3629</v>
      </c>
      <c r="D385" t="s">
        <v>3630</v>
      </c>
    </row>
    <row r="386" spans="1:4" ht="11.25" customHeight="1">
      <c r="A386">
        <v>386</v>
      </c>
      <c r="B386" t="s">
        <v>3626</v>
      </c>
      <c r="C386" t="s">
        <v>3063</v>
      </c>
      <c r="D386" t="s">
        <v>3631</v>
      </c>
    </row>
    <row r="387" spans="1:4" ht="11.25" customHeight="1">
      <c r="A387">
        <v>387</v>
      </c>
      <c r="B387" t="s">
        <v>3626</v>
      </c>
      <c r="C387" t="s">
        <v>3632</v>
      </c>
      <c r="D387" t="s">
        <v>3633</v>
      </c>
    </row>
    <row r="388" spans="1:4" ht="11.25" customHeight="1">
      <c r="A388">
        <v>388</v>
      </c>
      <c r="B388" t="s">
        <v>3626</v>
      </c>
      <c r="C388" t="s">
        <v>3634</v>
      </c>
      <c r="D388" t="s">
        <v>3635</v>
      </c>
    </row>
    <row r="389" spans="1:4" ht="11.25" customHeight="1">
      <c r="A389">
        <v>389</v>
      </c>
      <c r="B389" t="s">
        <v>3626</v>
      </c>
      <c r="C389" t="s">
        <v>3636</v>
      </c>
      <c r="D389" t="s">
        <v>3637</v>
      </c>
    </row>
    <row r="390" spans="1:4" ht="11.25" customHeight="1">
      <c r="A390">
        <v>390</v>
      </c>
      <c r="B390" t="s">
        <v>3626</v>
      </c>
      <c r="C390" t="s">
        <v>3638</v>
      </c>
      <c r="D390" t="s">
        <v>3639</v>
      </c>
    </row>
    <row r="391" spans="1:4" ht="11.25" customHeight="1">
      <c r="A391">
        <v>391</v>
      </c>
      <c r="B391" t="s">
        <v>3626</v>
      </c>
      <c r="C391" t="s">
        <v>3640</v>
      </c>
      <c r="D391" t="s">
        <v>3641</v>
      </c>
    </row>
    <row r="392" spans="1:4" ht="11.25" customHeight="1">
      <c r="A392">
        <v>392</v>
      </c>
      <c r="B392" t="s">
        <v>3626</v>
      </c>
      <c r="C392" t="s">
        <v>3642</v>
      </c>
      <c r="D392" t="s">
        <v>3643</v>
      </c>
    </row>
    <row r="393" spans="1:4" ht="11.25" customHeight="1">
      <c r="A393">
        <v>393</v>
      </c>
      <c r="B393" t="s">
        <v>3626</v>
      </c>
      <c r="C393" t="s">
        <v>3644</v>
      </c>
      <c r="D393" t="s">
        <v>3645</v>
      </c>
    </row>
    <row r="394" spans="1:4" ht="11.25" customHeight="1">
      <c r="A394">
        <v>394</v>
      </c>
      <c r="B394" t="s">
        <v>3626</v>
      </c>
      <c r="C394" t="s">
        <v>3626</v>
      </c>
      <c r="D394" t="s">
        <v>3646</v>
      </c>
    </row>
    <row r="395" spans="1:4" ht="11.25" customHeight="1">
      <c r="A395">
        <v>395</v>
      </c>
      <c r="B395" t="s">
        <v>3626</v>
      </c>
      <c r="C395" t="s">
        <v>2988</v>
      </c>
      <c r="D395" t="s">
        <v>3647</v>
      </c>
    </row>
    <row r="396" spans="1:4" ht="11.25" customHeight="1">
      <c r="A396">
        <v>396</v>
      </c>
      <c r="B396" t="s">
        <v>3626</v>
      </c>
      <c r="C396" t="s">
        <v>3648</v>
      </c>
      <c r="D396" t="s">
        <v>3649</v>
      </c>
    </row>
    <row r="397" spans="1:4" ht="11.25" customHeight="1">
      <c r="A397">
        <v>397</v>
      </c>
      <c r="B397" t="s">
        <v>3626</v>
      </c>
      <c r="C397" t="s">
        <v>3650</v>
      </c>
      <c r="D397" t="s">
        <v>3651</v>
      </c>
    </row>
    <row r="398" spans="1:4" ht="11.25" customHeight="1">
      <c r="A398">
        <v>398</v>
      </c>
      <c r="B398" t="s">
        <v>3626</v>
      </c>
      <c r="C398" t="s">
        <v>3652</v>
      </c>
      <c r="D398" t="s">
        <v>3653</v>
      </c>
    </row>
    <row r="399" spans="1:4" ht="11.25" customHeight="1">
      <c r="A399">
        <v>399</v>
      </c>
      <c r="B399" t="s">
        <v>3626</v>
      </c>
      <c r="C399" t="s">
        <v>3654</v>
      </c>
      <c r="D399" t="s">
        <v>3655</v>
      </c>
    </row>
    <row r="400" spans="1:4" ht="11.25" customHeight="1">
      <c r="A400">
        <v>400</v>
      </c>
      <c r="B400" t="s">
        <v>3626</v>
      </c>
      <c r="C400" t="s">
        <v>3656</v>
      </c>
      <c r="D400" t="s">
        <v>3657</v>
      </c>
    </row>
    <row r="401" spans="1:4" ht="11.25" customHeight="1">
      <c r="A401">
        <v>401</v>
      </c>
      <c r="B401" t="s">
        <v>3626</v>
      </c>
      <c r="C401" t="s">
        <v>3658</v>
      </c>
      <c r="D401" t="s">
        <v>3659</v>
      </c>
    </row>
    <row r="402" spans="1:4" ht="11.25" customHeight="1">
      <c r="A402">
        <v>402</v>
      </c>
      <c r="B402" t="s">
        <v>3626</v>
      </c>
      <c r="C402" t="s">
        <v>3660</v>
      </c>
      <c r="D402" t="s">
        <v>3661</v>
      </c>
    </row>
    <row r="403" spans="1:4" ht="11.25" customHeight="1">
      <c r="A403">
        <v>403</v>
      </c>
      <c r="B403" t="s">
        <v>3662</v>
      </c>
      <c r="C403" t="s">
        <v>2999</v>
      </c>
      <c r="D403" t="s">
        <v>3663</v>
      </c>
    </row>
    <row r="404" spans="1:4" ht="11.25" customHeight="1">
      <c r="A404">
        <v>404</v>
      </c>
      <c r="B404" t="s">
        <v>3662</v>
      </c>
      <c r="C404" t="s">
        <v>3664</v>
      </c>
      <c r="D404" t="s">
        <v>3665</v>
      </c>
    </row>
    <row r="405" spans="1:4" ht="11.25" customHeight="1">
      <c r="A405">
        <v>405</v>
      </c>
      <c r="B405" t="s">
        <v>3662</v>
      </c>
      <c r="C405" t="s">
        <v>3666</v>
      </c>
      <c r="D405" t="s">
        <v>3667</v>
      </c>
    </row>
    <row r="406" spans="1:4" ht="11.25" customHeight="1">
      <c r="A406">
        <v>406</v>
      </c>
      <c r="B406" t="s">
        <v>3662</v>
      </c>
      <c r="C406" t="s">
        <v>3146</v>
      </c>
      <c r="D406" t="s">
        <v>3668</v>
      </c>
    </row>
    <row r="407" spans="1:4" ht="11.25" customHeight="1">
      <c r="A407">
        <v>407</v>
      </c>
      <c r="B407" t="s">
        <v>3662</v>
      </c>
      <c r="C407" t="s">
        <v>3010</v>
      </c>
      <c r="D407" t="s">
        <v>3669</v>
      </c>
    </row>
    <row r="408" spans="1:4" ht="11.25" customHeight="1">
      <c r="A408">
        <v>408</v>
      </c>
      <c r="B408" t="s">
        <v>3662</v>
      </c>
      <c r="C408" t="s">
        <v>3670</v>
      </c>
      <c r="D408" t="s">
        <v>3671</v>
      </c>
    </row>
    <row r="409" spans="1:4" ht="11.25" customHeight="1">
      <c r="A409">
        <v>409</v>
      </c>
      <c r="B409" t="s">
        <v>3662</v>
      </c>
      <c r="C409" t="s">
        <v>3672</v>
      </c>
      <c r="D409" t="s">
        <v>3673</v>
      </c>
    </row>
    <row r="410" spans="1:4" ht="11.25" customHeight="1">
      <c r="A410">
        <v>410</v>
      </c>
      <c r="B410" t="s">
        <v>3662</v>
      </c>
      <c r="C410" t="s">
        <v>3662</v>
      </c>
      <c r="D410" t="s">
        <v>3674</v>
      </c>
    </row>
    <row r="411" spans="1:4" ht="11.25" customHeight="1">
      <c r="A411">
        <v>411</v>
      </c>
      <c r="B411" t="s">
        <v>3662</v>
      </c>
      <c r="C411" t="s">
        <v>3675</v>
      </c>
      <c r="D411" t="s">
        <v>3676</v>
      </c>
    </row>
    <row r="412" spans="1:4" ht="11.25" customHeight="1">
      <c r="A412">
        <v>412</v>
      </c>
      <c r="B412" t="s">
        <v>3662</v>
      </c>
      <c r="C412" t="s">
        <v>3677</v>
      </c>
      <c r="D412" t="s">
        <v>3678</v>
      </c>
    </row>
    <row r="413" spans="1:4" ht="11.25" customHeight="1">
      <c r="A413">
        <v>413</v>
      </c>
      <c r="B413" t="s">
        <v>3679</v>
      </c>
      <c r="C413" t="s">
        <v>3680</v>
      </c>
      <c r="D413" t="s">
        <v>3681</v>
      </c>
    </row>
    <row r="414" spans="1:4" ht="11.25" customHeight="1">
      <c r="A414">
        <v>414</v>
      </c>
      <c r="B414" t="s">
        <v>3679</v>
      </c>
      <c r="C414" t="s">
        <v>3682</v>
      </c>
      <c r="D414" t="s">
        <v>3683</v>
      </c>
    </row>
    <row r="415" spans="1:4" ht="11.25" customHeight="1">
      <c r="A415">
        <v>415</v>
      </c>
      <c r="B415" t="s">
        <v>3679</v>
      </c>
      <c r="C415" t="s">
        <v>3684</v>
      </c>
      <c r="D415" t="s">
        <v>3685</v>
      </c>
    </row>
    <row r="416" spans="1:4" ht="11.25" customHeight="1">
      <c r="A416">
        <v>416</v>
      </c>
      <c r="B416" t="s">
        <v>3679</v>
      </c>
      <c r="C416" t="s">
        <v>3686</v>
      </c>
      <c r="D416" t="s">
        <v>3687</v>
      </c>
    </row>
    <row r="417" spans="1:4" ht="11.25" customHeight="1">
      <c r="A417">
        <v>417</v>
      </c>
      <c r="B417" t="s">
        <v>3679</v>
      </c>
      <c r="C417" t="s">
        <v>3688</v>
      </c>
      <c r="D417" t="s">
        <v>3689</v>
      </c>
    </row>
    <row r="418" spans="1:4" ht="11.25" customHeight="1">
      <c r="A418">
        <v>418</v>
      </c>
      <c r="B418" t="s">
        <v>3679</v>
      </c>
      <c r="C418" t="s">
        <v>3690</v>
      </c>
      <c r="D418" t="s">
        <v>3691</v>
      </c>
    </row>
    <row r="419" spans="1:4" ht="11.25" customHeight="1">
      <c r="A419">
        <v>419</v>
      </c>
      <c r="B419" t="s">
        <v>3679</v>
      </c>
      <c r="C419" t="s">
        <v>3511</v>
      </c>
      <c r="D419" t="s">
        <v>3692</v>
      </c>
    </row>
    <row r="420" spans="1:4" ht="11.25" customHeight="1">
      <c r="A420">
        <v>420</v>
      </c>
      <c r="B420" t="s">
        <v>3679</v>
      </c>
      <c r="C420" t="s">
        <v>3010</v>
      </c>
      <c r="D420" t="s">
        <v>3693</v>
      </c>
    </row>
    <row r="421" spans="1:4" ht="11.25" customHeight="1">
      <c r="A421">
        <v>421</v>
      </c>
      <c r="B421" t="s">
        <v>3679</v>
      </c>
      <c r="C421" t="s">
        <v>3694</v>
      </c>
      <c r="D421" t="s">
        <v>3695</v>
      </c>
    </row>
    <row r="422" spans="1:4" ht="11.25" customHeight="1">
      <c r="A422">
        <v>422</v>
      </c>
      <c r="B422" t="s">
        <v>3679</v>
      </c>
      <c r="C422" t="s">
        <v>3696</v>
      </c>
      <c r="D422" t="s">
        <v>3697</v>
      </c>
    </row>
    <row r="423" spans="1:4" ht="11.25" customHeight="1">
      <c r="A423">
        <v>423</v>
      </c>
      <c r="B423" t="s">
        <v>3679</v>
      </c>
      <c r="C423" t="s">
        <v>3679</v>
      </c>
      <c r="D423" t="s">
        <v>3698</v>
      </c>
    </row>
    <row r="424" spans="1:4" ht="11.25" customHeight="1">
      <c r="A424">
        <v>424</v>
      </c>
      <c r="B424" t="s">
        <v>3679</v>
      </c>
      <c r="C424" t="s">
        <v>3699</v>
      </c>
      <c r="D424" t="s">
        <v>3700</v>
      </c>
    </row>
    <row r="425" spans="1:4" ht="11.25" customHeight="1">
      <c r="A425">
        <v>425</v>
      </c>
      <c r="B425" t="s">
        <v>3701</v>
      </c>
      <c r="C425" t="s">
        <v>2933</v>
      </c>
      <c r="D425" t="s">
        <v>3702</v>
      </c>
    </row>
    <row r="426" spans="1:4" ht="11.25" customHeight="1">
      <c r="A426">
        <v>426</v>
      </c>
      <c r="B426" t="s">
        <v>3701</v>
      </c>
      <c r="C426" t="s">
        <v>3703</v>
      </c>
      <c r="D426" t="s">
        <v>3704</v>
      </c>
    </row>
    <row r="427" spans="1:4" ht="11.25" customHeight="1">
      <c r="A427">
        <v>427</v>
      </c>
      <c r="B427" t="s">
        <v>3701</v>
      </c>
      <c r="C427" t="s">
        <v>3705</v>
      </c>
      <c r="D427" t="s">
        <v>3706</v>
      </c>
    </row>
    <row r="428" spans="1:4" ht="11.25" customHeight="1">
      <c r="A428">
        <v>428</v>
      </c>
      <c r="B428" t="s">
        <v>3701</v>
      </c>
      <c r="C428" t="s">
        <v>3707</v>
      </c>
      <c r="D428" t="s">
        <v>3708</v>
      </c>
    </row>
    <row r="429" spans="1:4" ht="11.25" customHeight="1">
      <c r="A429">
        <v>429</v>
      </c>
      <c r="B429" t="s">
        <v>3701</v>
      </c>
      <c r="C429" t="s">
        <v>3709</v>
      </c>
      <c r="D429" t="s">
        <v>3710</v>
      </c>
    </row>
    <row r="430" spans="1:4" ht="11.25" customHeight="1">
      <c r="A430">
        <v>430</v>
      </c>
      <c r="B430" t="s">
        <v>3701</v>
      </c>
      <c r="C430" t="s">
        <v>3711</v>
      </c>
      <c r="D430" t="s">
        <v>3712</v>
      </c>
    </row>
    <row r="431" spans="1:4" ht="11.25" customHeight="1">
      <c r="A431">
        <v>431</v>
      </c>
      <c r="B431" t="s">
        <v>3701</v>
      </c>
      <c r="C431" t="s">
        <v>3713</v>
      </c>
      <c r="D431" t="s">
        <v>3714</v>
      </c>
    </row>
    <row r="432" spans="1:4" ht="11.25" customHeight="1">
      <c r="A432">
        <v>432</v>
      </c>
      <c r="B432" t="s">
        <v>3701</v>
      </c>
      <c r="C432" t="s">
        <v>3715</v>
      </c>
      <c r="D432" t="s">
        <v>3716</v>
      </c>
    </row>
    <row r="433" spans="1:4" ht="11.25" customHeight="1">
      <c r="A433">
        <v>433</v>
      </c>
      <c r="B433" t="s">
        <v>3701</v>
      </c>
      <c r="C433" t="s">
        <v>3717</v>
      </c>
      <c r="D433" t="s">
        <v>3718</v>
      </c>
    </row>
    <row r="434" spans="1:4" ht="11.25" customHeight="1">
      <c r="A434">
        <v>434</v>
      </c>
      <c r="B434" t="s">
        <v>3701</v>
      </c>
      <c r="C434" t="s">
        <v>3701</v>
      </c>
      <c r="D434" t="s">
        <v>3719</v>
      </c>
    </row>
    <row r="435" spans="1:4" ht="11.25" customHeight="1">
      <c r="A435">
        <v>435</v>
      </c>
      <c r="B435" t="s">
        <v>3701</v>
      </c>
      <c r="C435" t="s">
        <v>3720</v>
      </c>
      <c r="D435" t="s">
        <v>3721</v>
      </c>
    </row>
    <row r="436" spans="1:4" ht="11.25" customHeight="1">
      <c r="A436">
        <v>436</v>
      </c>
      <c r="B436" t="s">
        <v>3701</v>
      </c>
      <c r="C436" t="s">
        <v>3722</v>
      </c>
      <c r="D436" t="s">
        <v>3723</v>
      </c>
    </row>
    <row r="437" spans="1:4" ht="11.25" customHeight="1">
      <c r="A437">
        <v>437</v>
      </c>
      <c r="B437" t="s">
        <v>3701</v>
      </c>
      <c r="C437" t="s">
        <v>3724</v>
      </c>
      <c r="D437" t="s">
        <v>3725</v>
      </c>
    </row>
    <row r="438" spans="1:4" ht="11.25" customHeight="1">
      <c r="A438">
        <v>438</v>
      </c>
      <c r="B438" t="s">
        <v>3701</v>
      </c>
      <c r="C438" t="s">
        <v>3726</v>
      </c>
      <c r="D438" t="s">
        <v>3727</v>
      </c>
    </row>
    <row r="439" spans="1:4" ht="11.25" customHeight="1">
      <c r="A439">
        <v>439</v>
      </c>
      <c r="B439" t="s">
        <v>3728</v>
      </c>
      <c r="C439" t="s">
        <v>3729</v>
      </c>
      <c r="D439" t="s">
        <v>3730</v>
      </c>
    </row>
    <row r="440" spans="1:4" ht="11.25" customHeight="1">
      <c r="A440">
        <v>440</v>
      </c>
      <c r="B440" t="s">
        <v>3728</v>
      </c>
      <c r="C440" t="s">
        <v>3731</v>
      </c>
      <c r="D440" t="s">
        <v>3732</v>
      </c>
    </row>
    <row r="441" spans="1:4" ht="11.25" customHeight="1">
      <c r="A441">
        <v>441</v>
      </c>
      <c r="B441" t="s">
        <v>3728</v>
      </c>
      <c r="C441" t="s">
        <v>3733</v>
      </c>
      <c r="D441" t="s">
        <v>3734</v>
      </c>
    </row>
    <row r="442" spans="1:4" ht="11.25" customHeight="1">
      <c r="A442">
        <v>442</v>
      </c>
      <c r="B442" t="s">
        <v>3728</v>
      </c>
      <c r="C442" t="s">
        <v>3735</v>
      </c>
      <c r="D442" t="s">
        <v>3736</v>
      </c>
    </row>
    <row r="443" spans="1:4" ht="11.25" customHeight="1">
      <c r="A443">
        <v>443</v>
      </c>
      <c r="B443" t="s">
        <v>3728</v>
      </c>
      <c r="C443" t="s">
        <v>3312</v>
      </c>
      <c r="D443" t="s">
        <v>3737</v>
      </c>
    </row>
    <row r="444" spans="1:4" ht="11.25" customHeight="1">
      <c r="A444">
        <v>444</v>
      </c>
      <c r="B444" t="s">
        <v>3728</v>
      </c>
      <c r="C444" t="s">
        <v>3738</v>
      </c>
      <c r="D444" t="s">
        <v>3739</v>
      </c>
    </row>
    <row r="445" spans="1:4" ht="11.25" customHeight="1">
      <c r="A445">
        <v>445</v>
      </c>
      <c r="B445" t="s">
        <v>3728</v>
      </c>
      <c r="C445" t="s">
        <v>3728</v>
      </c>
      <c r="D445" t="s">
        <v>3740</v>
      </c>
    </row>
    <row r="446" spans="1:4" ht="11.25" customHeight="1">
      <c r="A446">
        <v>446</v>
      </c>
      <c r="B446" t="s">
        <v>3728</v>
      </c>
      <c r="C446" t="s">
        <v>3741</v>
      </c>
      <c r="D446" t="s">
        <v>3742</v>
      </c>
    </row>
    <row r="447" spans="1:4" ht="11.25" customHeight="1">
      <c r="A447">
        <v>447</v>
      </c>
      <c r="B447" t="s">
        <v>3728</v>
      </c>
      <c r="C447" t="s">
        <v>3743</v>
      </c>
      <c r="D447" t="s">
        <v>3744</v>
      </c>
    </row>
    <row r="448" spans="1:4" ht="11.25" customHeight="1">
      <c r="A448">
        <v>448</v>
      </c>
      <c r="B448" t="s">
        <v>3728</v>
      </c>
      <c r="C448" t="s">
        <v>3745</v>
      </c>
      <c r="D448" t="s">
        <v>3746</v>
      </c>
    </row>
    <row r="449" spans="1:4" ht="11.25" customHeight="1">
      <c r="A449">
        <v>449</v>
      </c>
      <c r="B449" t="s">
        <v>3728</v>
      </c>
      <c r="C449" t="s">
        <v>3747</v>
      </c>
      <c r="D449" t="s">
        <v>3748</v>
      </c>
    </row>
    <row r="450" spans="1:4" ht="11.25" customHeight="1">
      <c r="A450">
        <v>450</v>
      </c>
      <c r="B450" t="s">
        <v>3728</v>
      </c>
      <c r="C450" t="s">
        <v>3749</v>
      </c>
      <c r="D450" t="s">
        <v>3750</v>
      </c>
    </row>
    <row r="451" spans="1:4" ht="11.25" customHeight="1">
      <c r="A451">
        <v>451</v>
      </c>
      <c r="B451" t="s">
        <v>3728</v>
      </c>
      <c r="C451" t="s">
        <v>3751</v>
      </c>
      <c r="D451" t="s">
        <v>3752</v>
      </c>
    </row>
    <row r="452" spans="1:4" ht="11.25" customHeight="1">
      <c r="A452">
        <v>452</v>
      </c>
      <c r="B452" t="s">
        <v>3753</v>
      </c>
      <c r="C452" t="s">
        <v>3754</v>
      </c>
      <c r="D452" t="s">
        <v>3755</v>
      </c>
    </row>
    <row r="453" spans="1:4" ht="11.25" customHeight="1">
      <c r="A453">
        <v>453</v>
      </c>
      <c r="B453" t="s">
        <v>3753</v>
      </c>
      <c r="C453" t="s">
        <v>3756</v>
      </c>
      <c r="D453" t="s">
        <v>3757</v>
      </c>
    </row>
    <row r="454" spans="1:4" ht="11.25" customHeight="1">
      <c r="A454">
        <v>454</v>
      </c>
      <c r="B454" t="s">
        <v>3753</v>
      </c>
      <c r="C454" t="s">
        <v>3758</v>
      </c>
      <c r="D454" t="s">
        <v>3759</v>
      </c>
    </row>
    <row r="455" spans="1:4" ht="11.25" customHeight="1">
      <c r="A455">
        <v>455</v>
      </c>
      <c r="B455" t="s">
        <v>3753</v>
      </c>
      <c r="C455" t="s">
        <v>3760</v>
      </c>
      <c r="D455" t="s">
        <v>3761</v>
      </c>
    </row>
    <row r="456" spans="1:4" ht="11.25" customHeight="1">
      <c r="A456">
        <v>456</v>
      </c>
      <c r="B456" t="s">
        <v>3753</v>
      </c>
      <c r="C456" t="s">
        <v>3762</v>
      </c>
      <c r="D456" t="s">
        <v>3763</v>
      </c>
    </row>
    <row r="457" spans="1:4" ht="11.25" customHeight="1">
      <c r="A457">
        <v>457</v>
      </c>
      <c r="B457" t="s">
        <v>3753</v>
      </c>
      <c r="C457" t="s">
        <v>3425</v>
      </c>
      <c r="D457" t="s">
        <v>3764</v>
      </c>
    </row>
    <row r="458" spans="1:4" ht="11.25" customHeight="1">
      <c r="A458">
        <v>458</v>
      </c>
      <c r="B458" t="s">
        <v>3753</v>
      </c>
      <c r="C458" t="s">
        <v>3765</v>
      </c>
      <c r="D458" t="s">
        <v>3766</v>
      </c>
    </row>
    <row r="459" spans="1:4" ht="11.25" customHeight="1">
      <c r="A459">
        <v>459</v>
      </c>
      <c r="B459" t="s">
        <v>3753</v>
      </c>
      <c r="C459" t="s">
        <v>3767</v>
      </c>
      <c r="D459" t="s">
        <v>3768</v>
      </c>
    </row>
    <row r="460" spans="1:4" ht="11.25" customHeight="1">
      <c r="A460">
        <v>460</v>
      </c>
      <c r="B460" t="s">
        <v>3753</v>
      </c>
      <c r="C460" t="s">
        <v>3769</v>
      </c>
      <c r="D460" t="s">
        <v>3770</v>
      </c>
    </row>
    <row r="461" spans="1:4" ht="11.25" customHeight="1">
      <c r="A461">
        <v>461</v>
      </c>
      <c r="B461" t="s">
        <v>3753</v>
      </c>
      <c r="C461" t="s">
        <v>3753</v>
      </c>
      <c r="D461" t="s">
        <v>3771</v>
      </c>
    </row>
    <row r="462" spans="1:4" ht="11.25" customHeight="1">
      <c r="A462">
        <v>462</v>
      </c>
      <c r="B462" t="s">
        <v>3753</v>
      </c>
      <c r="C462" t="s">
        <v>3622</v>
      </c>
      <c r="D462" t="s">
        <v>3772</v>
      </c>
    </row>
    <row r="463" spans="1:4" ht="11.25" customHeight="1">
      <c r="A463">
        <v>463</v>
      </c>
      <c r="B463" t="s">
        <v>3753</v>
      </c>
      <c r="C463" t="s">
        <v>3773</v>
      </c>
      <c r="D463" t="s">
        <v>3774</v>
      </c>
    </row>
    <row r="464" spans="1:4" ht="11.25" customHeight="1">
      <c r="A464">
        <v>464</v>
      </c>
      <c r="B464" t="s">
        <v>3753</v>
      </c>
      <c r="C464" t="s">
        <v>3775</v>
      </c>
      <c r="D464" t="s">
        <v>3776</v>
      </c>
    </row>
    <row r="465" spans="1:4" ht="11.25" customHeight="1">
      <c r="A465">
        <v>465</v>
      </c>
      <c r="B465" t="s">
        <v>3777</v>
      </c>
      <c r="C465" t="s">
        <v>3778</v>
      </c>
      <c r="D465" t="s">
        <v>3779</v>
      </c>
    </row>
    <row r="466" spans="1:4" ht="11.25" customHeight="1">
      <c r="A466">
        <v>466</v>
      </c>
      <c r="B466" t="s">
        <v>3777</v>
      </c>
      <c r="C466" t="s">
        <v>3780</v>
      </c>
      <c r="D466" t="s">
        <v>3781</v>
      </c>
    </row>
    <row r="467" spans="1:4" ht="11.25" customHeight="1">
      <c r="A467">
        <v>467</v>
      </c>
      <c r="B467" t="s">
        <v>3777</v>
      </c>
      <c r="C467" t="s">
        <v>3782</v>
      </c>
      <c r="D467" t="s">
        <v>3783</v>
      </c>
    </row>
    <row r="468" spans="1:4" ht="11.25" customHeight="1">
      <c r="A468">
        <v>468</v>
      </c>
      <c r="B468" t="s">
        <v>3777</v>
      </c>
      <c r="C468" t="s">
        <v>3784</v>
      </c>
      <c r="D468" t="s">
        <v>3785</v>
      </c>
    </row>
    <row r="469" spans="1:4" ht="11.25" customHeight="1">
      <c r="A469">
        <v>469</v>
      </c>
      <c r="B469" t="s">
        <v>3777</v>
      </c>
      <c r="C469" t="s">
        <v>3786</v>
      </c>
      <c r="D469" t="s">
        <v>3787</v>
      </c>
    </row>
    <row r="470" spans="1:4" ht="11.25" customHeight="1">
      <c r="A470">
        <v>470</v>
      </c>
      <c r="B470" t="s">
        <v>3777</v>
      </c>
      <c r="C470" t="s">
        <v>3788</v>
      </c>
      <c r="D470" t="s">
        <v>3789</v>
      </c>
    </row>
    <row r="471" spans="1:4" ht="11.25" customHeight="1">
      <c r="A471">
        <v>471</v>
      </c>
      <c r="B471" t="s">
        <v>3777</v>
      </c>
      <c r="C471" t="s">
        <v>3790</v>
      </c>
      <c r="D471" t="s">
        <v>3791</v>
      </c>
    </row>
    <row r="472" spans="1:4" ht="11.25" customHeight="1">
      <c r="A472">
        <v>472</v>
      </c>
      <c r="B472" t="s">
        <v>3777</v>
      </c>
      <c r="C472" t="s">
        <v>3792</v>
      </c>
      <c r="D472" t="s">
        <v>3793</v>
      </c>
    </row>
    <row r="473" spans="1:4" ht="11.25" customHeight="1">
      <c r="A473">
        <v>473</v>
      </c>
      <c r="B473" t="s">
        <v>3777</v>
      </c>
      <c r="C473" t="s">
        <v>3794</v>
      </c>
      <c r="D473" t="s">
        <v>3795</v>
      </c>
    </row>
    <row r="474" spans="1:4" ht="11.25" customHeight="1">
      <c r="A474">
        <v>474</v>
      </c>
      <c r="B474" t="s">
        <v>3777</v>
      </c>
      <c r="C474" t="s">
        <v>3796</v>
      </c>
      <c r="D474" t="s">
        <v>3797</v>
      </c>
    </row>
    <row r="475" spans="1:4" ht="11.25" customHeight="1">
      <c r="A475">
        <v>475</v>
      </c>
      <c r="B475" t="s">
        <v>3777</v>
      </c>
      <c r="C475" t="s">
        <v>3798</v>
      </c>
      <c r="D475" t="s">
        <v>3799</v>
      </c>
    </row>
    <row r="476" spans="1:4" ht="11.25" customHeight="1">
      <c r="A476">
        <v>476</v>
      </c>
      <c r="B476" t="s">
        <v>3777</v>
      </c>
      <c r="C476" t="s">
        <v>3800</v>
      </c>
      <c r="D476" t="s">
        <v>3801</v>
      </c>
    </row>
    <row r="477" spans="1:4" ht="11.25" customHeight="1">
      <c r="A477">
        <v>477</v>
      </c>
      <c r="B477" t="s">
        <v>3777</v>
      </c>
      <c r="C477" t="s">
        <v>3536</v>
      </c>
      <c r="D477" t="s">
        <v>3802</v>
      </c>
    </row>
    <row r="478" spans="1:4" ht="11.25" customHeight="1">
      <c r="A478">
        <v>478</v>
      </c>
      <c r="B478" t="s">
        <v>3777</v>
      </c>
      <c r="C478" t="s">
        <v>3777</v>
      </c>
      <c r="D478" t="s">
        <v>3803</v>
      </c>
    </row>
    <row r="479" spans="1:4" ht="11.25" customHeight="1">
      <c r="A479">
        <v>479</v>
      </c>
      <c r="B479" t="s">
        <v>3777</v>
      </c>
      <c r="C479" t="s">
        <v>3804</v>
      </c>
      <c r="D479" t="s">
        <v>3805</v>
      </c>
    </row>
    <row r="480" spans="1:4" ht="11.25" customHeight="1">
      <c r="A480">
        <v>480</v>
      </c>
      <c r="B480" t="s">
        <v>3777</v>
      </c>
      <c r="C480" t="s">
        <v>3490</v>
      </c>
      <c r="D480" t="s">
        <v>3806</v>
      </c>
    </row>
    <row r="481" spans="1:4" ht="11.25" customHeight="1">
      <c r="A481">
        <v>481</v>
      </c>
      <c r="B481" t="s">
        <v>3777</v>
      </c>
      <c r="C481" t="s">
        <v>3807</v>
      </c>
      <c r="D481" t="s">
        <v>3808</v>
      </c>
    </row>
    <row r="482" spans="1:4" ht="11.25" customHeight="1">
      <c r="A482">
        <v>482</v>
      </c>
      <c r="B482" t="s">
        <v>3777</v>
      </c>
      <c r="C482" t="s">
        <v>3809</v>
      </c>
      <c r="D482" t="s">
        <v>3810</v>
      </c>
    </row>
    <row r="483" spans="1:4" ht="11.25" customHeight="1">
      <c r="A483">
        <v>483</v>
      </c>
      <c r="B483" t="s">
        <v>3811</v>
      </c>
      <c r="C483" t="s">
        <v>3812</v>
      </c>
      <c r="D483" t="s">
        <v>3813</v>
      </c>
    </row>
    <row r="484" spans="1:4" ht="11.25" customHeight="1">
      <c r="A484">
        <v>484</v>
      </c>
      <c r="B484" t="s">
        <v>3811</v>
      </c>
      <c r="C484" t="s">
        <v>3814</v>
      </c>
      <c r="D484" t="s">
        <v>3815</v>
      </c>
    </row>
    <row r="485" spans="1:4" ht="11.25" customHeight="1">
      <c r="A485">
        <v>485</v>
      </c>
      <c r="B485" t="s">
        <v>3811</v>
      </c>
      <c r="C485" t="s">
        <v>2907</v>
      </c>
      <c r="D485" t="s">
        <v>3816</v>
      </c>
    </row>
    <row r="486" spans="1:4" ht="11.25" customHeight="1">
      <c r="A486">
        <v>486</v>
      </c>
      <c r="B486" t="s">
        <v>3811</v>
      </c>
      <c r="C486" t="s">
        <v>3817</v>
      </c>
      <c r="D486" t="s">
        <v>3818</v>
      </c>
    </row>
    <row r="487" spans="1:4" ht="11.25" customHeight="1">
      <c r="A487">
        <v>487</v>
      </c>
      <c r="B487" t="s">
        <v>3811</v>
      </c>
      <c r="C487" t="s">
        <v>3819</v>
      </c>
      <c r="D487" t="s">
        <v>3820</v>
      </c>
    </row>
    <row r="488" spans="1:4" ht="11.25" customHeight="1">
      <c r="A488">
        <v>488</v>
      </c>
      <c r="B488" t="s">
        <v>3811</v>
      </c>
      <c r="C488" t="s">
        <v>3811</v>
      </c>
      <c r="D488" t="s">
        <v>3821</v>
      </c>
    </row>
    <row r="489" spans="1:4" ht="11.25" customHeight="1">
      <c r="A489">
        <v>489</v>
      </c>
      <c r="B489" t="s">
        <v>3811</v>
      </c>
      <c r="C489" t="s">
        <v>3822</v>
      </c>
      <c r="D489" t="s">
        <v>3823</v>
      </c>
    </row>
    <row r="490" spans="1:4" ht="11.25" customHeight="1">
      <c r="A490">
        <v>490</v>
      </c>
      <c r="B490" t="s">
        <v>3811</v>
      </c>
      <c r="C490" t="s">
        <v>3082</v>
      </c>
      <c r="D490" t="s">
        <v>3824</v>
      </c>
    </row>
    <row r="491" spans="1:4" ht="11.25" customHeight="1">
      <c r="A491">
        <v>491</v>
      </c>
      <c r="B491" t="s">
        <v>3811</v>
      </c>
      <c r="C491" t="s">
        <v>3825</v>
      </c>
      <c r="D491" t="s">
        <v>3826</v>
      </c>
    </row>
    <row r="492" spans="1:4" ht="11.25" customHeight="1">
      <c r="A492">
        <v>492</v>
      </c>
      <c r="B492" t="s">
        <v>3811</v>
      </c>
      <c r="C492" t="s">
        <v>3827</v>
      </c>
      <c r="D492" t="s">
        <v>3828</v>
      </c>
    </row>
    <row r="493" spans="1:4" ht="11.25" customHeight="1">
      <c r="A493">
        <v>493</v>
      </c>
      <c r="B493" t="s">
        <v>3829</v>
      </c>
      <c r="C493" t="s">
        <v>3830</v>
      </c>
      <c r="D493" t="s">
        <v>3831</v>
      </c>
    </row>
    <row r="494" spans="1:4" ht="11.25" customHeight="1">
      <c r="A494">
        <v>494</v>
      </c>
      <c r="B494" t="s">
        <v>3829</v>
      </c>
      <c r="C494" t="s">
        <v>3832</v>
      </c>
      <c r="D494" t="s">
        <v>3833</v>
      </c>
    </row>
    <row r="495" spans="1:4" ht="11.25" customHeight="1">
      <c r="A495">
        <v>495</v>
      </c>
      <c r="B495" t="s">
        <v>3829</v>
      </c>
      <c r="C495" t="s">
        <v>3690</v>
      </c>
      <c r="D495" t="s">
        <v>3834</v>
      </c>
    </row>
    <row r="496" spans="1:4" ht="11.25" customHeight="1">
      <c r="A496">
        <v>496</v>
      </c>
      <c r="B496" t="s">
        <v>3829</v>
      </c>
      <c r="C496" t="s">
        <v>3835</v>
      </c>
      <c r="D496" t="s">
        <v>3836</v>
      </c>
    </row>
    <row r="497" spans="1:4" ht="11.25" customHeight="1">
      <c r="A497">
        <v>497</v>
      </c>
      <c r="B497" t="s">
        <v>3829</v>
      </c>
      <c r="C497" t="s">
        <v>3837</v>
      </c>
      <c r="D497" t="s">
        <v>3838</v>
      </c>
    </row>
    <row r="498" spans="1:4" ht="11.25" customHeight="1">
      <c r="A498">
        <v>498</v>
      </c>
      <c r="B498" t="s">
        <v>3829</v>
      </c>
      <c r="C498" t="s">
        <v>3839</v>
      </c>
      <c r="D498" t="s">
        <v>3840</v>
      </c>
    </row>
    <row r="499" spans="1:4" ht="11.25" customHeight="1">
      <c r="A499">
        <v>499</v>
      </c>
      <c r="B499" t="s">
        <v>3829</v>
      </c>
      <c r="C499" t="s">
        <v>3841</v>
      </c>
      <c r="D499" t="s">
        <v>3842</v>
      </c>
    </row>
    <row r="500" spans="1:4" ht="11.25" customHeight="1">
      <c r="A500">
        <v>500</v>
      </c>
      <c r="B500" t="s">
        <v>3829</v>
      </c>
      <c r="C500" t="s">
        <v>3829</v>
      </c>
      <c r="D500" t="s">
        <v>3843</v>
      </c>
    </row>
    <row r="501" spans="1:4" ht="11.25" customHeight="1">
      <c r="A501">
        <v>501</v>
      </c>
      <c r="B501" t="s">
        <v>3829</v>
      </c>
      <c r="C501" t="s">
        <v>3844</v>
      </c>
      <c r="D501" t="s">
        <v>3845</v>
      </c>
    </row>
    <row r="502" spans="1:4" ht="11.25" customHeight="1">
      <c r="A502">
        <v>502</v>
      </c>
      <c r="B502" t="s">
        <v>3829</v>
      </c>
      <c r="C502" t="s">
        <v>3846</v>
      </c>
      <c r="D502" t="s">
        <v>3847</v>
      </c>
    </row>
    <row r="503" spans="1:4" ht="11.25" customHeight="1">
      <c r="A503">
        <v>503</v>
      </c>
      <c r="B503" t="s">
        <v>3829</v>
      </c>
      <c r="C503" t="s">
        <v>3848</v>
      </c>
      <c r="D503" t="s">
        <v>3849</v>
      </c>
    </row>
    <row r="504" spans="1:4" ht="11.25" customHeight="1">
      <c r="A504">
        <v>504</v>
      </c>
      <c r="B504" t="s">
        <v>3829</v>
      </c>
      <c r="C504" t="s">
        <v>3850</v>
      </c>
      <c r="D504" t="s">
        <v>3851</v>
      </c>
    </row>
    <row r="505" spans="1:4" ht="11.25" customHeight="1">
      <c r="A505">
        <v>505</v>
      </c>
      <c r="B505" t="s">
        <v>3829</v>
      </c>
      <c r="C505" t="s">
        <v>3852</v>
      </c>
      <c r="D505" t="s">
        <v>3853</v>
      </c>
    </row>
    <row r="506" spans="1:4" ht="11.25" customHeight="1">
      <c r="A506">
        <v>506</v>
      </c>
      <c r="B506" t="s">
        <v>3854</v>
      </c>
      <c r="C506" t="s">
        <v>3063</v>
      </c>
      <c r="D506" t="s">
        <v>3855</v>
      </c>
    </row>
    <row r="507" spans="1:4" ht="11.25" customHeight="1">
      <c r="A507">
        <v>507</v>
      </c>
      <c r="B507" t="s">
        <v>3854</v>
      </c>
      <c r="C507" t="s">
        <v>3361</v>
      </c>
      <c r="D507" t="s">
        <v>3856</v>
      </c>
    </row>
    <row r="508" spans="1:4" ht="11.25" customHeight="1">
      <c r="A508">
        <v>508</v>
      </c>
      <c r="B508" t="s">
        <v>3854</v>
      </c>
      <c r="C508" t="s">
        <v>3857</v>
      </c>
      <c r="D508" t="s">
        <v>3858</v>
      </c>
    </row>
    <row r="509" spans="1:4" ht="11.25" customHeight="1">
      <c r="A509">
        <v>509</v>
      </c>
      <c r="B509" t="s">
        <v>3854</v>
      </c>
      <c r="C509" t="s">
        <v>3859</v>
      </c>
      <c r="D509" t="s">
        <v>3860</v>
      </c>
    </row>
    <row r="510" spans="1:4" ht="11.25" customHeight="1">
      <c r="A510">
        <v>510</v>
      </c>
      <c r="B510" t="s">
        <v>3854</v>
      </c>
      <c r="C510" t="s">
        <v>3854</v>
      </c>
      <c r="D510" t="s">
        <v>3861</v>
      </c>
    </row>
    <row r="511" spans="1:4" ht="11.25" customHeight="1">
      <c r="A511">
        <v>511</v>
      </c>
      <c r="B511" t="s">
        <v>3854</v>
      </c>
      <c r="C511" t="s">
        <v>3862</v>
      </c>
      <c r="D511" t="s">
        <v>3863</v>
      </c>
    </row>
    <row r="512" spans="1:4" ht="11.25" customHeight="1">
      <c r="A512">
        <v>512</v>
      </c>
      <c r="B512" t="s">
        <v>3854</v>
      </c>
      <c r="C512" t="s">
        <v>3864</v>
      </c>
      <c r="D512" t="s">
        <v>3865</v>
      </c>
    </row>
    <row r="513" spans="1:4" ht="11.25" customHeight="1">
      <c r="A513">
        <v>513</v>
      </c>
      <c r="B513" t="s">
        <v>3854</v>
      </c>
      <c r="C513" t="s">
        <v>3866</v>
      </c>
      <c r="D513" t="s">
        <v>3867</v>
      </c>
    </row>
    <row r="514" spans="1:4" ht="11.25" customHeight="1">
      <c r="A514">
        <v>514</v>
      </c>
      <c r="B514" t="s">
        <v>3854</v>
      </c>
      <c r="C514" t="s">
        <v>3154</v>
      </c>
      <c r="D514" t="s">
        <v>3868</v>
      </c>
    </row>
    <row r="515" spans="1:4" ht="11.25" customHeight="1">
      <c r="A515">
        <v>515</v>
      </c>
      <c r="B515" t="s">
        <v>3869</v>
      </c>
      <c r="C515" t="s">
        <v>3870</v>
      </c>
      <c r="D515" t="s">
        <v>3871</v>
      </c>
    </row>
    <row r="516" spans="1:4" ht="11.25" customHeight="1">
      <c r="A516">
        <v>516</v>
      </c>
      <c r="B516" t="s">
        <v>3869</v>
      </c>
      <c r="C516" t="s">
        <v>2939</v>
      </c>
      <c r="D516" t="s">
        <v>3872</v>
      </c>
    </row>
    <row r="517" spans="1:4" ht="11.25" customHeight="1">
      <c r="A517">
        <v>517</v>
      </c>
      <c r="B517" t="s">
        <v>3869</v>
      </c>
      <c r="C517" t="s">
        <v>3873</v>
      </c>
      <c r="D517" t="s">
        <v>3874</v>
      </c>
    </row>
    <row r="518" spans="1:4" ht="11.25" customHeight="1">
      <c r="A518">
        <v>518</v>
      </c>
      <c r="B518" t="s">
        <v>3869</v>
      </c>
      <c r="C518" t="s">
        <v>3875</v>
      </c>
      <c r="D518" t="s">
        <v>3876</v>
      </c>
    </row>
    <row r="519" spans="1:4" ht="11.25" customHeight="1">
      <c r="A519">
        <v>519</v>
      </c>
      <c r="B519" t="s">
        <v>3869</v>
      </c>
      <c r="C519" t="s">
        <v>3869</v>
      </c>
      <c r="D519" t="s">
        <v>3877</v>
      </c>
    </row>
    <row r="520" spans="1:4" ht="11.25" customHeight="1">
      <c r="A520">
        <v>520</v>
      </c>
      <c r="B520" t="s">
        <v>3869</v>
      </c>
      <c r="C520" t="s">
        <v>3878</v>
      </c>
      <c r="D520" t="s">
        <v>3879</v>
      </c>
    </row>
    <row r="521" spans="1:4" ht="11.25" customHeight="1">
      <c r="A521">
        <v>521</v>
      </c>
      <c r="B521" t="s">
        <v>3869</v>
      </c>
      <c r="C521" t="s">
        <v>3880</v>
      </c>
      <c r="D521" t="s">
        <v>3881</v>
      </c>
    </row>
    <row r="522" spans="1:4" ht="11.25" customHeight="1">
      <c r="A522">
        <v>522</v>
      </c>
      <c r="B522" t="s">
        <v>3882</v>
      </c>
      <c r="C522" t="s">
        <v>3463</v>
      </c>
      <c r="D522" t="s">
        <v>3883</v>
      </c>
    </row>
    <row r="523" spans="1:4" ht="11.25" customHeight="1">
      <c r="A523">
        <v>523</v>
      </c>
      <c r="B523" t="s">
        <v>3882</v>
      </c>
      <c r="C523" t="s">
        <v>3884</v>
      </c>
      <c r="D523" t="s">
        <v>3885</v>
      </c>
    </row>
    <row r="524" spans="1:4" ht="11.25" customHeight="1">
      <c r="A524">
        <v>524</v>
      </c>
      <c r="B524" t="s">
        <v>3882</v>
      </c>
      <c r="C524" t="s">
        <v>3886</v>
      </c>
      <c r="D524" t="s">
        <v>3887</v>
      </c>
    </row>
    <row r="525" spans="1:4" ht="11.25" customHeight="1">
      <c r="A525">
        <v>525</v>
      </c>
      <c r="B525" t="s">
        <v>3882</v>
      </c>
      <c r="C525" t="s">
        <v>3888</v>
      </c>
      <c r="D525" t="s">
        <v>3889</v>
      </c>
    </row>
    <row r="526" spans="1:4" ht="11.25" customHeight="1">
      <c r="A526">
        <v>526</v>
      </c>
      <c r="B526" t="s">
        <v>3882</v>
      </c>
      <c r="C526" t="s">
        <v>3882</v>
      </c>
      <c r="D526" t="s">
        <v>3890</v>
      </c>
    </row>
    <row r="527" spans="1:4" ht="11.25" customHeight="1">
      <c r="A527">
        <v>527</v>
      </c>
      <c r="B527" t="s">
        <v>3891</v>
      </c>
      <c r="C527" t="s">
        <v>2931</v>
      </c>
      <c r="D527" t="s">
        <v>3892</v>
      </c>
    </row>
    <row r="528" spans="1:4" ht="11.25" customHeight="1">
      <c r="A528">
        <v>528</v>
      </c>
      <c r="B528" t="s">
        <v>3891</v>
      </c>
      <c r="C528" t="s">
        <v>3893</v>
      </c>
      <c r="D528" t="s">
        <v>3894</v>
      </c>
    </row>
    <row r="529" spans="1:4" ht="11.25" customHeight="1">
      <c r="A529">
        <v>529</v>
      </c>
      <c r="B529" t="s">
        <v>3891</v>
      </c>
      <c r="C529" t="s">
        <v>3895</v>
      </c>
      <c r="D529" t="s">
        <v>3896</v>
      </c>
    </row>
    <row r="530" spans="1:4" ht="11.25" customHeight="1">
      <c r="A530">
        <v>530</v>
      </c>
      <c r="B530" t="s">
        <v>3891</v>
      </c>
      <c r="C530" t="s">
        <v>3897</v>
      </c>
      <c r="D530" t="s">
        <v>3898</v>
      </c>
    </row>
    <row r="531" spans="1:4" ht="11.25" customHeight="1">
      <c r="A531">
        <v>531</v>
      </c>
      <c r="B531" t="s">
        <v>3891</v>
      </c>
      <c r="C531" t="s">
        <v>3891</v>
      </c>
      <c r="D531" t="s">
        <v>3899</v>
      </c>
    </row>
    <row r="532" spans="1:4" ht="11.25" customHeight="1">
      <c r="A532">
        <v>532</v>
      </c>
      <c r="B532" t="s">
        <v>3891</v>
      </c>
      <c r="C532" t="s">
        <v>3900</v>
      </c>
      <c r="D532" t="s">
        <v>3901</v>
      </c>
    </row>
    <row r="533" spans="1:4" ht="11.25" customHeight="1">
      <c r="A533">
        <v>533</v>
      </c>
      <c r="B533" t="s">
        <v>3902</v>
      </c>
      <c r="C533" t="s">
        <v>3903</v>
      </c>
      <c r="D533" t="s">
        <v>3904</v>
      </c>
    </row>
    <row r="534" spans="1:4" ht="11.25" customHeight="1">
      <c r="A534">
        <v>534</v>
      </c>
      <c r="B534" t="s">
        <v>3902</v>
      </c>
      <c r="C534" t="s">
        <v>3905</v>
      </c>
      <c r="D534" t="s">
        <v>3906</v>
      </c>
    </row>
    <row r="535" spans="1:4" ht="11.25" customHeight="1">
      <c r="A535">
        <v>535</v>
      </c>
      <c r="B535" t="s">
        <v>3902</v>
      </c>
      <c r="C535" t="s">
        <v>3425</v>
      </c>
      <c r="D535" t="s">
        <v>3907</v>
      </c>
    </row>
    <row r="536" spans="1:4" ht="11.25" customHeight="1">
      <c r="A536">
        <v>536</v>
      </c>
      <c r="B536" t="s">
        <v>3902</v>
      </c>
      <c r="C536" t="s">
        <v>3908</v>
      </c>
      <c r="D536" t="s">
        <v>3909</v>
      </c>
    </row>
    <row r="537" spans="1:4" ht="11.25" customHeight="1">
      <c r="A537">
        <v>537</v>
      </c>
      <c r="B537" t="s">
        <v>3902</v>
      </c>
      <c r="C537" t="s">
        <v>3910</v>
      </c>
      <c r="D537" t="s">
        <v>3911</v>
      </c>
    </row>
    <row r="538" spans="1:4" ht="11.25" customHeight="1">
      <c r="A538">
        <v>538</v>
      </c>
      <c r="B538" t="s">
        <v>3902</v>
      </c>
      <c r="C538" t="s">
        <v>3912</v>
      </c>
      <c r="D538" t="s">
        <v>3913</v>
      </c>
    </row>
    <row r="539" spans="1:4" ht="11.25" customHeight="1">
      <c r="A539">
        <v>539</v>
      </c>
      <c r="B539" t="s">
        <v>3902</v>
      </c>
      <c r="C539" t="s">
        <v>3230</v>
      </c>
      <c r="D539" t="s">
        <v>3914</v>
      </c>
    </row>
    <row r="540" spans="1:4" ht="11.25" customHeight="1">
      <c r="A540">
        <v>540</v>
      </c>
      <c r="B540" t="s">
        <v>3902</v>
      </c>
      <c r="C540" t="s">
        <v>3915</v>
      </c>
      <c r="D540" t="s">
        <v>3916</v>
      </c>
    </row>
    <row r="541" spans="1:4" ht="11.25" customHeight="1">
      <c r="A541">
        <v>541</v>
      </c>
      <c r="B541" t="s">
        <v>3902</v>
      </c>
      <c r="C541" t="s">
        <v>3917</v>
      </c>
      <c r="D541" t="s">
        <v>3918</v>
      </c>
    </row>
    <row r="542" spans="1:4" ht="11.25" customHeight="1">
      <c r="A542">
        <v>542</v>
      </c>
      <c r="B542" t="s">
        <v>3902</v>
      </c>
      <c r="C542" t="s">
        <v>3919</v>
      </c>
      <c r="D542" t="s">
        <v>3920</v>
      </c>
    </row>
    <row r="543" spans="1:4" ht="11.25" customHeight="1">
      <c r="A543">
        <v>543</v>
      </c>
      <c r="B543" t="s">
        <v>3902</v>
      </c>
      <c r="C543" t="s">
        <v>3921</v>
      </c>
      <c r="D543" t="s">
        <v>3922</v>
      </c>
    </row>
    <row r="544" spans="1:4" ht="11.25" customHeight="1">
      <c r="A544">
        <v>544</v>
      </c>
      <c r="B544" t="s">
        <v>3902</v>
      </c>
      <c r="C544" t="s">
        <v>3923</v>
      </c>
      <c r="D544" t="s">
        <v>3924</v>
      </c>
    </row>
    <row r="545" spans="1:4" ht="11.25" customHeight="1">
      <c r="A545">
        <v>545</v>
      </c>
      <c r="B545" t="s">
        <v>3902</v>
      </c>
      <c r="C545" t="s">
        <v>3925</v>
      </c>
      <c r="D545" t="s">
        <v>3926</v>
      </c>
    </row>
    <row r="546" spans="1:4" ht="11.25" customHeight="1">
      <c r="A546">
        <v>546</v>
      </c>
      <c r="B546" t="s">
        <v>3902</v>
      </c>
      <c r="C546" t="s">
        <v>3927</v>
      </c>
      <c r="D546" t="s">
        <v>3928</v>
      </c>
    </row>
    <row r="547" spans="1:4" ht="11.25" customHeight="1">
      <c r="A547">
        <v>547</v>
      </c>
      <c r="B547" t="s">
        <v>3902</v>
      </c>
      <c r="C547" t="s">
        <v>3929</v>
      </c>
      <c r="D547" t="s">
        <v>3930</v>
      </c>
    </row>
    <row r="548" spans="1:4" ht="11.25" customHeight="1">
      <c r="A548">
        <v>548</v>
      </c>
      <c r="B548" t="s">
        <v>3902</v>
      </c>
      <c r="C548" t="s">
        <v>3902</v>
      </c>
      <c r="D548" t="s">
        <v>3931</v>
      </c>
    </row>
    <row r="549" spans="1:4" ht="11.25" customHeight="1">
      <c r="A549">
        <v>549</v>
      </c>
      <c r="B549" t="s">
        <v>3902</v>
      </c>
      <c r="C549" t="s">
        <v>3932</v>
      </c>
      <c r="D549" t="s">
        <v>3933</v>
      </c>
    </row>
    <row r="550" spans="1:4" ht="11.25" customHeight="1">
      <c r="A550">
        <v>550</v>
      </c>
      <c r="B550" t="s">
        <v>3902</v>
      </c>
      <c r="C550" t="s">
        <v>3934</v>
      </c>
      <c r="D550" t="s">
        <v>3935</v>
      </c>
    </row>
    <row r="551" spans="1:4" ht="11.25" customHeight="1">
      <c r="A551">
        <v>551</v>
      </c>
      <c r="B551" t="s">
        <v>3902</v>
      </c>
      <c r="C551" t="s">
        <v>3936</v>
      </c>
      <c r="D551" t="s">
        <v>3937</v>
      </c>
    </row>
    <row r="552" spans="1:4" ht="11.25" customHeight="1">
      <c r="A552">
        <v>552</v>
      </c>
      <c r="B552" t="s">
        <v>3938</v>
      </c>
      <c r="C552" t="s">
        <v>3939</v>
      </c>
      <c r="D552" t="s">
        <v>3940</v>
      </c>
    </row>
    <row r="553" spans="1:4" ht="11.25" customHeight="1">
      <c r="A553">
        <v>553</v>
      </c>
      <c r="B553" t="s">
        <v>3938</v>
      </c>
      <c r="C553" t="s">
        <v>3941</v>
      </c>
      <c r="D553" t="s">
        <v>3942</v>
      </c>
    </row>
    <row r="554" spans="1:4" ht="11.25" customHeight="1">
      <c r="A554">
        <v>554</v>
      </c>
      <c r="B554" t="s">
        <v>3938</v>
      </c>
      <c r="C554" t="s">
        <v>3943</v>
      </c>
      <c r="D554" t="s">
        <v>3944</v>
      </c>
    </row>
    <row r="555" spans="1:4" ht="11.25" customHeight="1">
      <c r="A555">
        <v>555</v>
      </c>
      <c r="B555" t="s">
        <v>3938</v>
      </c>
      <c r="C555" t="s">
        <v>3938</v>
      </c>
      <c r="D555" t="s">
        <v>3945</v>
      </c>
    </row>
    <row r="556" spans="1:4" ht="11.25" customHeight="1">
      <c r="A556">
        <v>556</v>
      </c>
      <c r="B556" t="s">
        <v>3938</v>
      </c>
      <c r="C556" t="s">
        <v>3946</v>
      </c>
      <c r="D556" t="s">
        <v>3947</v>
      </c>
    </row>
    <row r="557" spans="1:4" ht="11.25" customHeight="1">
      <c r="A557">
        <v>557</v>
      </c>
      <c r="B557" t="s">
        <v>3938</v>
      </c>
      <c r="C557" t="s">
        <v>3948</v>
      </c>
      <c r="D557" t="s">
        <v>3949</v>
      </c>
    </row>
    <row r="558" spans="1:4" ht="11.25" customHeight="1">
      <c r="A558">
        <v>558</v>
      </c>
      <c r="B558" t="s">
        <v>3950</v>
      </c>
      <c r="C558" t="s">
        <v>3951</v>
      </c>
      <c r="D558" t="s">
        <v>3952</v>
      </c>
    </row>
    <row r="559" spans="1:4" ht="11.25" customHeight="1">
      <c r="A559">
        <v>559</v>
      </c>
      <c r="B559" t="s">
        <v>3950</v>
      </c>
      <c r="C559" t="s">
        <v>3953</v>
      </c>
      <c r="D559" t="s">
        <v>3954</v>
      </c>
    </row>
    <row r="560" spans="1:4" ht="11.25" customHeight="1">
      <c r="A560">
        <v>560</v>
      </c>
      <c r="B560" t="s">
        <v>3950</v>
      </c>
      <c r="C560" t="s">
        <v>3709</v>
      </c>
      <c r="D560" t="s">
        <v>3955</v>
      </c>
    </row>
    <row r="561" spans="1:4" ht="11.25" customHeight="1">
      <c r="A561">
        <v>561</v>
      </c>
      <c r="B561" t="s">
        <v>3950</v>
      </c>
      <c r="C561" t="s">
        <v>2907</v>
      </c>
      <c r="D561" t="s">
        <v>3956</v>
      </c>
    </row>
    <row r="562" spans="1:4" ht="11.25" customHeight="1">
      <c r="A562">
        <v>562</v>
      </c>
      <c r="B562" t="s">
        <v>3950</v>
      </c>
      <c r="C562" t="s">
        <v>3304</v>
      </c>
      <c r="D562" t="s">
        <v>3957</v>
      </c>
    </row>
    <row r="563" spans="1:4" ht="11.25" customHeight="1">
      <c r="A563">
        <v>563</v>
      </c>
      <c r="B563" t="s">
        <v>3950</v>
      </c>
      <c r="C563" t="s">
        <v>3690</v>
      </c>
      <c r="D563" t="s">
        <v>3958</v>
      </c>
    </row>
    <row r="564" spans="1:4" ht="11.25" customHeight="1">
      <c r="A564">
        <v>564</v>
      </c>
      <c r="B564" t="s">
        <v>3950</v>
      </c>
      <c r="C564" t="s">
        <v>2939</v>
      </c>
      <c r="D564" t="s">
        <v>3959</v>
      </c>
    </row>
    <row r="565" spans="1:4" ht="11.25" customHeight="1">
      <c r="A565">
        <v>565</v>
      </c>
      <c r="B565" t="s">
        <v>3950</v>
      </c>
      <c r="C565" t="s">
        <v>3960</v>
      </c>
      <c r="D565" t="s">
        <v>3961</v>
      </c>
    </row>
    <row r="566" spans="1:4" ht="11.25" customHeight="1">
      <c r="A566">
        <v>566</v>
      </c>
      <c r="B566" t="s">
        <v>3950</v>
      </c>
      <c r="C566" t="s">
        <v>3962</v>
      </c>
      <c r="D566" t="s">
        <v>3963</v>
      </c>
    </row>
    <row r="567" spans="1:4" ht="11.25" customHeight="1">
      <c r="A567">
        <v>567</v>
      </c>
      <c r="B567" t="s">
        <v>3950</v>
      </c>
      <c r="C567" t="s">
        <v>3964</v>
      </c>
      <c r="D567" t="s">
        <v>3965</v>
      </c>
    </row>
    <row r="568" spans="1:4" ht="11.25" customHeight="1">
      <c r="A568">
        <v>568</v>
      </c>
      <c r="B568" t="s">
        <v>3950</v>
      </c>
      <c r="C568" t="s">
        <v>3312</v>
      </c>
      <c r="D568" t="s">
        <v>3966</v>
      </c>
    </row>
    <row r="569" spans="1:4" ht="11.25" customHeight="1">
      <c r="A569">
        <v>569</v>
      </c>
      <c r="B569" t="s">
        <v>3950</v>
      </c>
      <c r="C569" t="s">
        <v>3773</v>
      </c>
      <c r="D569" t="s">
        <v>3967</v>
      </c>
    </row>
    <row r="570" spans="1:4" ht="11.25" customHeight="1">
      <c r="A570">
        <v>570</v>
      </c>
      <c r="B570" t="s">
        <v>3950</v>
      </c>
      <c r="C570" t="s">
        <v>3950</v>
      </c>
      <c r="D570" t="s">
        <v>3968</v>
      </c>
    </row>
    <row r="571" spans="1:4" ht="11.25" customHeight="1">
      <c r="A571">
        <v>571</v>
      </c>
      <c r="B571" t="s">
        <v>3950</v>
      </c>
      <c r="C571" t="s">
        <v>3969</v>
      </c>
      <c r="D571" t="s">
        <v>3970</v>
      </c>
    </row>
    <row r="572" spans="1:4" ht="11.25" customHeight="1">
      <c r="A572">
        <v>572</v>
      </c>
      <c r="B572" t="s">
        <v>3950</v>
      </c>
      <c r="C572" t="s">
        <v>3971</v>
      </c>
      <c r="D572" t="s">
        <v>3972</v>
      </c>
    </row>
    <row r="573" spans="1:4" ht="11.25" customHeight="1">
      <c r="A573">
        <v>573</v>
      </c>
      <c r="B573" t="s">
        <v>3950</v>
      </c>
      <c r="C573" t="s">
        <v>3973</v>
      </c>
      <c r="D573" t="s">
        <v>3974</v>
      </c>
    </row>
    <row r="574" spans="1:4" ht="11.25" customHeight="1">
      <c r="A574">
        <v>574</v>
      </c>
      <c r="B574" t="s">
        <v>3950</v>
      </c>
      <c r="C574" t="s">
        <v>3975</v>
      </c>
      <c r="D574" t="s">
        <v>3976</v>
      </c>
    </row>
    <row r="575" spans="1:4" ht="11.25" customHeight="1">
      <c r="A575">
        <v>575</v>
      </c>
      <c r="B575" t="s">
        <v>3950</v>
      </c>
      <c r="C575" t="s">
        <v>3977</v>
      </c>
      <c r="D575" t="s">
        <v>3978</v>
      </c>
    </row>
    <row r="576" spans="1:4" ht="11.25" customHeight="1">
      <c r="A576">
        <v>576</v>
      </c>
      <c r="B576" t="s">
        <v>3979</v>
      </c>
      <c r="C576" t="s">
        <v>3980</v>
      </c>
      <c r="D576" t="s">
        <v>3981</v>
      </c>
    </row>
    <row r="577" spans="1:4" ht="11.25" customHeight="1">
      <c r="A577">
        <v>577</v>
      </c>
      <c r="B577" t="s">
        <v>3979</v>
      </c>
      <c r="C577" t="s">
        <v>3982</v>
      </c>
      <c r="D577" t="s">
        <v>3983</v>
      </c>
    </row>
    <row r="578" spans="1:4" ht="11.25" customHeight="1">
      <c r="A578">
        <v>578</v>
      </c>
      <c r="B578" t="s">
        <v>3979</v>
      </c>
      <c r="C578" t="s">
        <v>3984</v>
      </c>
      <c r="D578" t="s">
        <v>3985</v>
      </c>
    </row>
    <row r="579" spans="1:4" ht="11.25" customHeight="1">
      <c r="A579">
        <v>579</v>
      </c>
      <c r="B579" t="s">
        <v>3979</v>
      </c>
      <c r="C579" t="s">
        <v>3986</v>
      </c>
      <c r="D579" t="s">
        <v>3987</v>
      </c>
    </row>
    <row r="580" spans="1:4" ht="11.25" customHeight="1">
      <c r="A580">
        <v>580</v>
      </c>
      <c r="B580" t="s">
        <v>3979</v>
      </c>
      <c r="C580" t="s">
        <v>3988</v>
      </c>
      <c r="D580" t="s">
        <v>3989</v>
      </c>
    </row>
    <row r="581" spans="1:4" ht="11.25" customHeight="1">
      <c r="A581">
        <v>581</v>
      </c>
      <c r="B581" t="s">
        <v>3979</v>
      </c>
      <c r="C581" t="s">
        <v>3990</v>
      </c>
      <c r="D581" t="s">
        <v>3991</v>
      </c>
    </row>
    <row r="582" spans="1:4" ht="11.25" customHeight="1">
      <c r="A582">
        <v>582</v>
      </c>
      <c r="B582" t="s">
        <v>3979</v>
      </c>
      <c r="C582" t="s">
        <v>3992</v>
      </c>
      <c r="D582" t="s">
        <v>3993</v>
      </c>
    </row>
    <row r="583" spans="1:4" ht="11.25" customHeight="1">
      <c r="A583">
        <v>583</v>
      </c>
      <c r="B583" t="s">
        <v>3979</v>
      </c>
      <c r="C583" t="s">
        <v>3979</v>
      </c>
      <c r="D583" t="s">
        <v>3994</v>
      </c>
    </row>
    <row r="584" spans="1:4" ht="11.25" customHeight="1">
      <c r="A584">
        <v>584</v>
      </c>
      <c r="B584" t="s">
        <v>3979</v>
      </c>
      <c r="C584" t="s">
        <v>3995</v>
      </c>
      <c r="D584" t="s">
        <v>3996</v>
      </c>
    </row>
    <row r="585" spans="1:4" ht="11.25" customHeight="1">
      <c r="A585">
        <v>585</v>
      </c>
      <c r="B585" t="s">
        <v>3979</v>
      </c>
      <c r="C585" t="s">
        <v>3997</v>
      </c>
      <c r="D585" t="s">
        <v>3998</v>
      </c>
    </row>
    <row r="586" spans="1:4" ht="11.25" customHeight="1">
      <c r="A586">
        <v>586</v>
      </c>
      <c r="B586" t="s">
        <v>3999</v>
      </c>
      <c r="C586" t="s">
        <v>2933</v>
      </c>
      <c r="D586" t="s">
        <v>4000</v>
      </c>
    </row>
    <row r="587" spans="1:4" ht="11.25" customHeight="1">
      <c r="A587">
        <v>587</v>
      </c>
      <c r="B587" t="s">
        <v>3999</v>
      </c>
      <c r="C587" t="s">
        <v>3703</v>
      </c>
      <c r="D587" t="s">
        <v>4001</v>
      </c>
    </row>
    <row r="588" spans="1:4" ht="11.25" customHeight="1">
      <c r="A588">
        <v>588</v>
      </c>
      <c r="B588" t="s">
        <v>3999</v>
      </c>
      <c r="C588" t="s">
        <v>4002</v>
      </c>
      <c r="D588" t="s">
        <v>4003</v>
      </c>
    </row>
    <row r="589" spans="1:4" ht="11.25" customHeight="1">
      <c r="A589">
        <v>589</v>
      </c>
      <c r="B589" t="s">
        <v>3999</v>
      </c>
      <c r="C589" t="s">
        <v>4004</v>
      </c>
      <c r="D589" t="s">
        <v>4005</v>
      </c>
    </row>
    <row r="590" spans="1:4" ht="11.25" customHeight="1">
      <c r="A590">
        <v>590</v>
      </c>
      <c r="B590" t="s">
        <v>3999</v>
      </c>
      <c r="C590" t="s">
        <v>4006</v>
      </c>
      <c r="D590" t="s">
        <v>4007</v>
      </c>
    </row>
    <row r="591" spans="1:4" ht="11.25" customHeight="1">
      <c r="A591">
        <v>591</v>
      </c>
      <c r="B591" t="s">
        <v>3999</v>
      </c>
      <c r="C591" t="s">
        <v>3297</v>
      </c>
      <c r="D591" t="s">
        <v>4008</v>
      </c>
    </row>
    <row r="592" spans="1:4" ht="11.25" customHeight="1">
      <c r="A592">
        <v>592</v>
      </c>
      <c r="B592" t="s">
        <v>3999</v>
      </c>
      <c r="C592" t="s">
        <v>4009</v>
      </c>
      <c r="D592" t="s">
        <v>4010</v>
      </c>
    </row>
    <row r="593" spans="1:4" ht="11.25" customHeight="1">
      <c r="A593">
        <v>593</v>
      </c>
      <c r="B593" t="s">
        <v>3999</v>
      </c>
      <c r="C593" t="s">
        <v>4011</v>
      </c>
      <c r="D593" t="s">
        <v>4012</v>
      </c>
    </row>
    <row r="594" spans="1:4" ht="11.25" customHeight="1">
      <c r="A594">
        <v>594</v>
      </c>
      <c r="B594" t="s">
        <v>3999</v>
      </c>
      <c r="C594" t="s">
        <v>3999</v>
      </c>
      <c r="D594" t="s">
        <v>4013</v>
      </c>
    </row>
    <row r="595" spans="1:4" ht="11.25" customHeight="1">
      <c r="A595">
        <v>595</v>
      </c>
      <c r="B595" t="s">
        <v>3999</v>
      </c>
      <c r="C595" t="s">
        <v>4014</v>
      </c>
      <c r="D595" t="s">
        <v>4015</v>
      </c>
    </row>
    <row r="596" spans="1:4" ht="11.25" customHeight="1">
      <c r="A596">
        <v>596</v>
      </c>
      <c r="B596" t="s">
        <v>3999</v>
      </c>
      <c r="C596" t="s">
        <v>4016</v>
      </c>
      <c r="D596" t="s">
        <v>4017</v>
      </c>
    </row>
    <row r="597" spans="1:4" ht="11.25" customHeight="1">
      <c r="A597">
        <v>597</v>
      </c>
      <c r="B597" t="s">
        <v>3999</v>
      </c>
      <c r="C597" t="s">
        <v>4018</v>
      </c>
      <c r="D597" t="s">
        <v>4019</v>
      </c>
    </row>
    <row r="598" spans="1:4" ht="11.25" customHeight="1">
      <c r="A598">
        <v>598</v>
      </c>
      <c r="B598" t="s">
        <v>4020</v>
      </c>
      <c r="C598" t="s">
        <v>4021</v>
      </c>
      <c r="D598" t="s">
        <v>4022</v>
      </c>
    </row>
    <row r="599" spans="1:4" ht="11.25" customHeight="1">
      <c r="A599">
        <v>599</v>
      </c>
      <c r="B599" t="s">
        <v>4020</v>
      </c>
      <c r="C599" t="s">
        <v>3063</v>
      </c>
      <c r="D599" t="s">
        <v>4023</v>
      </c>
    </row>
    <row r="600" spans="1:4" ht="11.25" customHeight="1">
      <c r="A600">
        <v>600</v>
      </c>
      <c r="B600" t="s">
        <v>4020</v>
      </c>
      <c r="C600" t="s">
        <v>4024</v>
      </c>
      <c r="D600" t="s">
        <v>4025</v>
      </c>
    </row>
    <row r="601" spans="1:4" ht="11.25" customHeight="1">
      <c r="A601">
        <v>601</v>
      </c>
      <c r="B601" t="s">
        <v>4020</v>
      </c>
      <c r="C601" t="s">
        <v>4026</v>
      </c>
      <c r="D601" t="s">
        <v>4027</v>
      </c>
    </row>
    <row r="602" spans="1:4" ht="11.25" customHeight="1">
      <c r="A602">
        <v>602</v>
      </c>
      <c r="B602" t="s">
        <v>4020</v>
      </c>
      <c r="C602" t="s">
        <v>4006</v>
      </c>
      <c r="D602" t="s">
        <v>4028</v>
      </c>
    </row>
    <row r="603" spans="1:4" ht="11.25" customHeight="1">
      <c r="A603">
        <v>603</v>
      </c>
      <c r="B603" t="s">
        <v>4020</v>
      </c>
      <c r="C603" t="s">
        <v>4029</v>
      </c>
      <c r="D603" t="s">
        <v>4030</v>
      </c>
    </row>
    <row r="604" spans="1:4" ht="11.25" customHeight="1">
      <c r="A604">
        <v>604</v>
      </c>
      <c r="B604" t="s">
        <v>4020</v>
      </c>
      <c r="C604" t="s">
        <v>4031</v>
      </c>
      <c r="D604" t="s">
        <v>4032</v>
      </c>
    </row>
    <row r="605" spans="1:4" ht="11.25" customHeight="1">
      <c r="A605">
        <v>605</v>
      </c>
      <c r="B605" t="s">
        <v>4020</v>
      </c>
      <c r="C605" t="s">
        <v>4033</v>
      </c>
      <c r="D605" t="s">
        <v>4034</v>
      </c>
    </row>
    <row r="606" spans="1:4" ht="11.25" customHeight="1">
      <c r="A606">
        <v>606</v>
      </c>
      <c r="B606" t="s">
        <v>4020</v>
      </c>
      <c r="C606" t="s">
        <v>4035</v>
      </c>
      <c r="D606" t="s">
        <v>4036</v>
      </c>
    </row>
    <row r="607" spans="1:4" ht="11.25" customHeight="1">
      <c r="A607">
        <v>607</v>
      </c>
      <c r="B607" t="s">
        <v>4020</v>
      </c>
      <c r="C607" t="s">
        <v>4020</v>
      </c>
      <c r="D607" t="s">
        <v>4037</v>
      </c>
    </row>
    <row r="608" spans="1:4" ht="11.25" customHeight="1">
      <c r="A608">
        <v>608</v>
      </c>
      <c r="B608" t="s">
        <v>4020</v>
      </c>
      <c r="C608" t="s">
        <v>4038</v>
      </c>
      <c r="D608" t="s">
        <v>4039</v>
      </c>
    </row>
    <row r="609" spans="1:4" ht="11.25" customHeight="1">
      <c r="A609">
        <v>609</v>
      </c>
      <c r="B609" t="s">
        <v>4020</v>
      </c>
      <c r="C609" t="s">
        <v>4040</v>
      </c>
      <c r="D609" t="s">
        <v>4041</v>
      </c>
    </row>
    <row r="610" spans="1:4" ht="11.25" customHeight="1">
      <c r="A610">
        <v>610</v>
      </c>
      <c r="B610" t="s">
        <v>4020</v>
      </c>
      <c r="C610" t="s">
        <v>3132</v>
      </c>
      <c r="D610" t="s">
        <v>4042</v>
      </c>
    </row>
    <row r="611" spans="1:4" ht="11.25" customHeight="1">
      <c r="A611">
        <v>611</v>
      </c>
      <c r="B611" t="s">
        <v>4020</v>
      </c>
      <c r="C611" t="s">
        <v>4043</v>
      </c>
      <c r="D611" t="s">
        <v>4044</v>
      </c>
    </row>
    <row r="612" spans="1:4" ht="11.25" customHeight="1">
      <c r="A612">
        <v>612</v>
      </c>
      <c r="B612" t="s">
        <v>4020</v>
      </c>
      <c r="C612" t="s">
        <v>4045</v>
      </c>
      <c r="D612" t="s">
        <v>4046</v>
      </c>
    </row>
    <row r="613" spans="1:4" ht="11.25" customHeight="1">
      <c r="A613">
        <v>613</v>
      </c>
      <c r="B613" t="s">
        <v>4047</v>
      </c>
      <c r="C613" t="s">
        <v>4048</v>
      </c>
      <c r="D613" t="s">
        <v>4049</v>
      </c>
    </row>
    <row r="614" spans="1:4" ht="11.25" customHeight="1">
      <c r="A614">
        <v>614</v>
      </c>
      <c r="B614" t="s">
        <v>4047</v>
      </c>
      <c r="C614" t="s">
        <v>4050</v>
      </c>
      <c r="D614" t="s">
        <v>4051</v>
      </c>
    </row>
    <row r="615" spans="1:4" ht="11.25" customHeight="1">
      <c r="A615">
        <v>615</v>
      </c>
      <c r="B615" t="s">
        <v>4047</v>
      </c>
      <c r="C615" t="s">
        <v>4052</v>
      </c>
      <c r="D615" t="s">
        <v>4053</v>
      </c>
    </row>
    <row r="616" spans="1:4" ht="11.25" customHeight="1">
      <c r="A616">
        <v>616</v>
      </c>
      <c r="B616" t="s">
        <v>4047</v>
      </c>
      <c r="C616" t="s">
        <v>3590</v>
      </c>
      <c r="D616" t="s">
        <v>4054</v>
      </c>
    </row>
    <row r="617" spans="1:4" ht="11.25" customHeight="1">
      <c r="A617">
        <v>617</v>
      </c>
      <c r="B617" t="s">
        <v>4047</v>
      </c>
      <c r="C617" t="s">
        <v>4055</v>
      </c>
      <c r="D617" t="s">
        <v>4056</v>
      </c>
    </row>
    <row r="618" spans="1:4" ht="11.25" customHeight="1">
      <c r="A618">
        <v>618</v>
      </c>
      <c r="B618" t="s">
        <v>4047</v>
      </c>
      <c r="C618" t="s">
        <v>3866</v>
      </c>
      <c r="D618" t="s">
        <v>4057</v>
      </c>
    </row>
    <row r="619" spans="1:4" ht="11.25" customHeight="1">
      <c r="A619">
        <v>619</v>
      </c>
      <c r="B619" t="s">
        <v>4047</v>
      </c>
      <c r="C619" t="s">
        <v>4047</v>
      </c>
      <c r="D619" t="s">
        <v>4058</v>
      </c>
    </row>
    <row r="620" spans="1:4" ht="11.25" customHeight="1">
      <c r="A620">
        <v>620</v>
      </c>
      <c r="B620" t="s">
        <v>4047</v>
      </c>
      <c r="C620" t="s">
        <v>4059</v>
      </c>
      <c r="D620" t="s">
        <v>4060</v>
      </c>
    </row>
    <row r="621" spans="1:4" ht="11.25" customHeight="1">
      <c r="A621">
        <v>621</v>
      </c>
      <c r="B621" t="s">
        <v>4061</v>
      </c>
      <c r="C621" t="s">
        <v>4062</v>
      </c>
      <c r="D621" t="s">
        <v>4063</v>
      </c>
    </row>
    <row r="622" spans="1:4" ht="11.25" customHeight="1">
      <c r="A622">
        <v>622</v>
      </c>
      <c r="B622" t="s">
        <v>4061</v>
      </c>
      <c r="C622" t="s">
        <v>3028</v>
      </c>
      <c r="D622" t="s">
        <v>4064</v>
      </c>
    </row>
    <row r="623" spans="1:4" ht="11.25" customHeight="1">
      <c r="A623">
        <v>623</v>
      </c>
      <c r="B623" t="s">
        <v>4061</v>
      </c>
      <c r="C623" t="s">
        <v>4065</v>
      </c>
      <c r="D623" t="s">
        <v>4066</v>
      </c>
    </row>
    <row r="624" spans="1:4" ht="11.25" customHeight="1">
      <c r="A624">
        <v>624</v>
      </c>
      <c r="B624" t="s">
        <v>4061</v>
      </c>
      <c r="C624" t="s">
        <v>4067</v>
      </c>
      <c r="D624" t="s">
        <v>4068</v>
      </c>
    </row>
    <row r="625" spans="1:4" ht="11.25" customHeight="1">
      <c r="A625">
        <v>625</v>
      </c>
      <c r="B625" t="s">
        <v>4061</v>
      </c>
      <c r="C625" t="s">
        <v>4069</v>
      </c>
      <c r="D625" t="s">
        <v>4070</v>
      </c>
    </row>
    <row r="626" spans="1:4" ht="11.25" customHeight="1">
      <c r="A626">
        <v>626</v>
      </c>
      <c r="B626" t="s">
        <v>4061</v>
      </c>
      <c r="C626" t="s">
        <v>4071</v>
      </c>
      <c r="D626" t="s">
        <v>4072</v>
      </c>
    </row>
    <row r="627" spans="1:4" ht="11.25" customHeight="1">
      <c r="A627">
        <v>627</v>
      </c>
      <c r="B627" t="s">
        <v>4061</v>
      </c>
      <c r="C627" t="s">
        <v>4073</v>
      </c>
      <c r="D627" t="s">
        <v>4074</v>
      </c>
    </row>
    <row r="628" spans="1:4" ht="11.25" customHeight="1">
      <c r="A628">
        <v>628</v>
      </c>
      <c r="B628" t="s">
        <v>4061</v>
      </c>
      <c r="C628" t="s">
        <v>4061</v>
      </c>
      <c r="D628" t="s">
        <v>4075</v>
      </c>
    </row>
    <row r="629" spans="1:4" ht="11.25" customHeight="1">
      <c r="A629">
        <v>629</v>
      </c>
      <c r="B629" t="s">
        <v>4061</v>
      </c>
      <c r="C629" t="s">
        <v>4076</v>
      </c>
      <c r="D629" t="s">
        <v>4077</v>
      </c>
    </row>
    <row r="630" spans="1:4" ht="11.25" customHeight="1">
      <c r="A630">
        <v>630</v>
      </c>
      <c r="B630" t="s">
        <v>4061</v>
      </c>
      <c r="C630" t="s">
        <v>4078</v>
      </c>
      <c r="D630" t="s">
        <v>4079</v>
      </c>
    </row>
    <row r="631" spans="1:4" ht="11.25" customHeight="1">
      <c r="A631">
        <v>631</v>
      </c>
      <c r="B631" t="s">
        <v>4080</v>
      </c>
      <c r="C631" t="s">
        <v>2933</v>
      </c>
      <c r="D631" t="s">
        <v>4081</v>
      </c>
    </row>
    <row r="632" spans="1:4" ht="11.25" customHeight="1">
      <c r="A632">
        <v>632</v>
      </c>
      <c r="B632" t="s">
        <v>4080</v>
      </c>
      <c r="C632" t="s">
        <v>4082</v>
      </c>
      <c r="D632" t="s">
        <v>4083</v>
      </c>
    </row>
    <row r="633" spans="1:4" ht="11.25" customHeight="1">
      <c r="A633">
        <v>633</v>
      </c>
      <c r="B633" t="s">
        <v>4080</v>
      </c>
      <c r="C633" t="s">
        <v>4084</v>
      </c>
      <c r="D633" t="s">
        <v>4085</v>
      </c>
    </row>
    <row r="634" spans="1:4" ht="11.25" customHeight="1">
      <c r="A634">
        <v>634</v>
      </c>
      <c r="B634" t="s">
        <v>4080</v>
      </c>
      <c r="C634" t="s">
        <v>4086</v>
      </c>
      <c r="D634" t="s">
        <v>4087</v>
      </c>
    </row>
    <row r="635" spans="1:4" ht="11.25" customHeight="1">
      <c r="A635">
        <v>635</v>
      </c>
      <c r="B635" t="s">
        <v>4080</v>
      </c>
      <c r="C635" t="s">
        <v>4088</v>
      </c>
      <c r="D635" t="s">
        <v>4089</v>
      </c>
    </row>
    <row r="636" spans="1:4" ht="11.25" customHeight="1">
      <c r="A636">
        <v>636</v>
      </c>
      <c r="B636" t="s">
        <v>4080</v>
      </c>
      <c r="C636" t="s">
        <v>4090</v>
      </c>
      <c r="D636" t="s">
        <v>4091</v>
      </c>
    </row>
    <row r="637" spans="1:4" ht="11.25" customHeight="1">
      <c r="A637">
        <v>637</v>
      </c>
      <c r="B637" t="s">
        <v>4080</v>
      </c>
      <c r="C637" t="s">
        <v>4092</v>
      </c>
      <c r="D637" t="s">
        <v>4093</v>
      </c>
    </row>
    <row r="638" spans="1:4" ht="11.25" customHeight="1">
      <c r="A638">
        <v>638</v>
      </c>
      <c r="B638" t="s">
        <v>4080</v>
      </c>
      <c r="C638" t="s">
        <v>3690</v>
      </c>
      <c r="D638" t="s">
        <v>4094</v>
      </c>
    </row>
    <row r="639" spans="1:4" ht="11.25" customHeight="1">
      <c r="A639">
        <v>639</v>
      </c>
      <c r="B639" t="s">
        <v>4080</v>
      </c>
      <c r="C639" t="s">
        <v>4095</v>
      </c>
      <c r="D639" t="s">
        <v>4096</v>
      </c>
    </row>
    <row r="640" spans="1:4" ht="11.25" customHeight="1">
      <c r="A640">
        <v>640</v>
      </c>
      <c r="B640" t="s">
        <v>4080</v>
      </c>
      <c r="C640" t="s">
        <v>4097</v>
      </c>
      <c r="D640" t="s">
        <v>4098</v>
      </c>
    </row>
    <row r="641" spans="1:4" ht="11.25" customHeight="1">
      <c r="A641">
        <v>641</v>
      </c>
      <c r="B641" t="s">
        <v>4080</v>
      </c>
      <c r="C641" t="s">
        <v>4014</v>
      </c>
      <c r="D641" t="s">
        <v>4099</v>
      </c>
    </row>
    <row r="642" spans="1:4" ht="11.25" customHeight="1">
      <c r="A642">
        <v>642</v>
      </c>
      <c r="B642" t="s">
        <v>4080</v>
      </c>
      <c r="C642" t="s">
        <v>4080</v>
      </c>
      <c r="D642" t="s">
        <v>4100</v>
      </c>
    </row>
    <row r="643" spans="1:4" ht="11.25" customHeight="1">
      <c r="A643">
        <v>643</v>
      </c>
      <c r="B643" t="s">
        <v>4080</v>
      </c>
      <c r="C643" t="s">
        <v>4101</v>
      </c>
      <c r="D643" t="s">
        <v>4102</v>
      </c>
    </row>
    <row r="644" spans="1:4" ht="11.25" customHeight="1">
      <c r="A644">
        <v>644</v>
      </c>
      <c r="B644" t="s">
        <v>4080</v>
      </c>
      <c r="C644" t="s">
        <v>4103</v>
      </c>
      <c r="D644" t="s">
        <v>4104</v>
      </c>
    </row>
    <row r="645" spans="1:4" ht="11.25" customHeight="1">
      <c r="A645">
        <v>645</v>
      </c>
      <c r="B645" t="s">
        <v>4105</v>
      </c>
      <c r="C645" t="s">
        <v>4106</v>
      </c>
      <c r="D645" t="s">
        <v>4107</v>
      </c>
    </row>
    <row r="646" spans="1:4" ht="11.25" customHeight="1">
      <c r="A646">
        <v>646</v>
      </c>
      <c r="B646" t="s">
        <v>4105</v>
      </c>
      <c r="C646" t="s">
        <v>4108</v>
      </c>
      <c r="D646" t="s">
        <v>4109</v>
      </c>
    </row>
    <row r="647" spans="1:4" ht="11.25" customHeight="1">
      <c r="A647">
        <v>647</v>
      </c>
      <c r="B647" t="s">
        <v>4105</v>
      </c>
      <c r="C647" t="s">
        <v>4110</v>
      </c>
      <c r="D647" t="s">
        <v>4111</v>
      </c>
    </row>
    <row r="648" spans="1:4" ht="11.25" customHeight="1">
      <c r="A648">
        <v>648</v>
      </c>
      <c r="B648" t="s">
        <v>4105</v>
      </c>
      <c r="C648" t="s">
        <v>4112</v>
      </c>
      <c r="D648" t="s">
        <v>4113</v>
      </c>
    </row>
    <row r="649" spans="1:4" ht="11.25" customHeight="1">
      <c r="A649">
        <v>649</v>
      </c>
      <c r="B649" t="s">
        <v>4105</v>
      </c>
      <c r="C649" t="s">
        <v>4114</v>
      </c>
      <c r="D649" t="s">
        <v>4115</v>
      </c>
    </row>
    <row r="650" spans="1:4" ht="11.25" customHeight="1">
      <c r="A650">
        <v>650</v>
      </c>
      <c r="B650" t="s">
        <v>4105</v>
      </c>
      <c r="C650" t="s">
        <v>4116</v>
      </c>
      <c r="D650" t="s">
        <v>4117</v>
      </c>
    </row>
    <row r="651" spans="1:4" ht="11.25" customHeight="1">
      <c r="A651">
        <v>651</v>
      </c>
      <c r="B651" t="s">
        <v>4105</v>
      </c>
      <c r="C651" t="s">
        <v>4118</v>
      </c>
      <c r="D651" t="s">
        <v>4119</v>
      </c>
    </row>
    <row r="652" spans="1:4" ht="11.25" customHeight="1">
      <c r="A652">
        <v>652</v>
      </c>
      <c r="B652" t="s">
        <v>4105</v>
      </c>
      <c r="C652" t="s">
        <v>3866</v>
      </c>
      <c r="D652" t="s">
        <v>4120</v>
      </c>
    </row>
    <row r="653" spans="1:4" ht="11.25" customHeight="1">
      <c r="A653">
        <v>653</v>
      </c>
      <c r="B653" t="s">
        <v>4105</v>
      </c>
      <c r="C653" t="s">
        <v>4121</v>
      </c>
      <c r="D653" t="s">
        <v>4122</v>
      </c>
    </row>
    <row r="654" spans="1:4" ht="11.25" customHeight="1">
      <c r="A654">
        <v>654</v>
      </c>
      <c r="B654" t="s">
        <v>4105</v>
      </c>
      <c r="C654" t="s">
        <v>4105</v>
      </c>
      <c r="D654" t="s">
        <v>4123</v>
      </c>
    </row>
    <row r="655" spans="1:4" ht="11.25" customHeight="1">
      <c r="A655">
        <v>655</v>
      </c>
      <c r="B655" t="s">
        <v>4105</v>
      </c>
      <c r="C655" t="s">
        <v>4124</v>
      </c>
      <c r="D655" t="s">
        <v>4125</v>
      </c>
    </row>
    <row r="656" spans="1:4" ht="11.25" customHeight="1">
      <c r="A656">
        <v>656</v>
      </c>
      <c r="B656" t="s">
        <v>4126</v>
      </c>
      <c r="C656" t="s">
        <v>4127</v>
      </c>
      <c r="D656" t="s">
        <v>4128</v>
      </c>
    </row>
    <row r="657" spans="1:4" ht="11.25" customHeight="1">
      <c r="A657">
        <v>657</v>
      </c>
      <c r="B657" t="s">
        <v>4126</v>
      </c>
      <c r="C657" t="s">
        <v>4129</v>
      </c>
      <c r="D657" t="s">
        <v>4130</v>
      </c>
    </row>
    <row r="658" spans="1:4" ht="11.25" customHeight="1">
      <c r="A658">
        <v>658</v>
      </c>
      <c r="B658" t="s">
        <v>4126</v>
      </c>
      <c r="C658" t="s">
        <v>2899</v>
      </c>
      <c r="D658" t="s">
        <v>4131</v>
      </c>
    </row>
    <row r="659" spans="1:4" ht="11.25" customHeight="1">
      <c r="A659">
        <v>659</v>
      </c>
      <c r="B659" t="s">
        <v>4126</v>
      </c>
      <c r="C659" t="s">
        <v>4132</v>
      </c>
      <c r="D659" t="s">
        <v>4133</v>
      </c>
    </row>
    <row r="660" spans="1:4" ht="11.25" customHeight="1">
      <c r="A660">
        <v>660</v>
      </c>
      <c r="B660" t="s">
        <v>4126</v>
      </c>
      <c r="C660" t="s">
        <v>4134</v>
      </c>
      <c r="D660" t="s">
        <v>4135</v>
      </c>
    </row>
    <row r="661" spans="1:4" ht="11.25" customHeight="1">
      <c r="A661">
        <v>661</v>
      </c>
      <c r="B661" t="s">
        <v>4126</v>
      </c>
      <c r="C661" t="s">
        <v>4136</v>
      </c>
      <c r="D661" t="s">
        <v>4137</v>
      </c>
    </row>
    <row r="662" spans="1:4" ht="11.25" customHeight="1">
      <c r="A662">
        <v>662</v>
      </c>
      <c r="B662" t="s">
        <v>4126</v>
      </c>
      <c r="C662" t="s">
        <v>4138</v>
      </c>
      <c r="D662" t="s">
        <v>4139</v>
      </c>
    </row>
    <row r="663" spans="1:4" ht="11.25" customHeight="1">
      <c r="A663">
        <v>663</v>
      </c>
      <c r="B663" t="s">
        <v>4126</v>
      </c>
      <c r="C663" t="s">
        <v>4140</v>
      </c>
      <c r="D663" t="s">
        <v>4141</v>
      </c>
    </row>
    <row r="664" spans="1:4" ht="11.25" customHeight="1">
      <c r="A664">
        <v>664</v>
      </c>
      <c r="B664" t="s">
        <v>4126</v>
      </c>
      <c r="C664" t="s">
        <v>4142</v>
      </c>
      <c r="D664" t="s">
        <v>4143</v>
      </c>
    </row>
    <row r="665" spans="1:4" ht="11.25" customHeight="1">
      <c r="A665">
        <v>665</v>
      </c>
      <c r="B665" t="s">
        <v>4126</v>
      </c>
      <c r="C665" t="s">
        <v>4144</v>
      </c>
      <c r="D665" t="s">
        <v>4145</v>
      </c>
    </row>
    <row r="666" spans="1:4" ht="11.25" customHeight="1">
      <c r="A666">
        <v>666</v>
      </c>
      <c r="B666" t="s">
        <v>4126</v>
      </c>
      <c r="C666" t="s">
        <v>4126</v>
      </c>
      <c r="D666" t="s">
        <v>4146</v>
      </c>
    </row>
    <row r="667" spans="1:4" ht="11.25" customHeight="1">
      <c r="A667">
        <v>667</v>
      </c>
      <c r="B667" t="s">
        <v>4126</v>
      </c>
      <c r="C667" t="s">
        <v>4147</v>
      </c>
      <c r="D667" t="s">
        <v>4148</v>
      </c>
    </row>
    <row r="668" spans="1:4" ht="11.25" customHeight="1">
      <c r="A668">
        <v>668</v>
      </c>
      <c r="B668" t="s">
        <v>4126</v>
      </c>
      <c r="C668" t="s">
        <v>4149</v>
      </c>
      <c r="D668" t="s">
        <v>4150</v>
      </c>
    </row>
    <row r="669" spans="1:4" ht="11.25" customHeight="1">
      <c r="A669">
        <v>669</v>
      </c>
      <c r="B669" t="s">
        <v>4151</v>
      </c>
      <c r="C669" t="s">
        <v>2999</v>
      </c>
      <c r="D669" t="s">
        <v>4152</v>
      </c>
    </row>
    <row r="670" spans="1:4" ht="11.25" customHeight="1">
      <c r="A670">
        <v>670</v>
      </c>
      <c r="B670" t="s">
        <v>4151</v>
      </c>
      <c r="C670" t="s">
        <v>3063</v>
      </c>
      <c r="D670" t="s">
        <v>4153</v>
      </c>
    </row>
    <row r="671" spans="1:4" ht="11.25" customHeight="1">
      <c r="A671">
        <v>671</v>
      </c>
      <c r="B671" t="s">
        <v>4151</v>
      </c>
      <c r="C671" t="s">
        <v>2909</v>
      </c>
      <c r="D671" t="s">
        <v>4154</v>
      </c>
    </row>
    <row r="672" spans="1:4" ht="11.25" customHeight="1">
      <c r="A672">
        <v>672</v>
      </c>
      <c r="B672" t="s">
        <v>4151</v>
      </c>
      <c r="C672" t="s">
        <v>4155</v>
      </c>
      <c r="D672" t="s">
        <v>4156</v>
      </c>
    </row>
    <row r="673" spans="1:4" ht="11.25" customHeight="1">
      <c r="A673">
        <v>673</v>
      </c>
      <c r="B673" t="s">
        <v>4151</v>
      </c>
      <c r="C673" t="s">
        <v>3366</v>
      </c>
      <c r="D673" t="s">
        <v>4157</v>
      </c>
    </row>
    <row r="674" spans="1:4" ht="11.25" customHeight="1">
      <c r="A674">
        <v>674</v>
      </c>
      <c r="B674" t="s">
        <v>4151</v>
      </c>
      <c r="C674" t="s">
        <v>4158</v>
      </c>
      <c r="D674" t="s">
        <v>4159</v>
      </c>
    </row>
    <row r="675" spans="1:4" ht="11.25" customHeight="1">
      <c r="A675">
        <v>675</v>
      </c>
      <c r="B675" t="s">
        <v>4151</v>
      </c>
      <c r="C675" t="s">
        <v>4160</v>
      </c>
      <c r="D675" t="s">
        <v>4161</v>
      </c>
    </row>
    <row r="676" spans="1:4" ht="11.25" customHeight="1">
      <c r="A676">
        <v>676</v>
      </c>
      <c r="B676" t="s">
        <v>4151</v>
      </c>
      <c r="C676" t="s">
        <v>4162</v>
      </c>
      <c r="D676" t="s">
        <v>4163</v>
      </c>
    </row>
    <row r="677" spans="1:4" ht="11.25" customHeight="1">
      <c r="A677">
        <v>677</v>
      </c>
      <c r="B677" t="s">
        <v>4151</v>
      </c>
      <c r="C677" t="s">
        <v>4151</v>
      </c>
      <c r="D677" t="s">
        <v>4164</v>
      </c>
    </row>
    <row r="678" spans="1:4" ht="11.25" customHeight="1">
      <c r="A678">
        <v>678</v>
      </c>
      <c r="B678" t="s">
        <v>4151</v>
      </c>
      <c r="C678" t="s">
        <v>4078</v>
      </c>
      <c r="D678" t="s">
        <v>4165</v>
      </c>
    </row>
    <row r="679" spans="1:4" ht="11.25" customHeight="1">
      <c r="A679">
        <v>679</v>
      </c>
      <c r="B679" t="s">
        <v>4166</v>
      </c>
      <c r="C679" t="s">
        <v>4167</v>
      </c>
      <c r="D679" t="s">
        <v>4168</v>
      </c>
    </row>
    <row r="680" spans="1:4" ht="11.25" customHeight="1">
      <c r="A680">
        <v>680</v>
      </c>
      <c r="B680" t="s">
        <v>4166</v>
      </c>
      <c r="C680" t="s">
        <v>4169</v>
      </c>
      <c r="D680" t="s">
        <v>4170</v>
      </c>
    </row>
    <row r="681" spans="1:4" ht="11.25" customHeight="1">
      <c r="A681">
        <v>681</v>
      </c>
      <c r="B681" t="s">
        <v>4166</v>
      </c>
      <c r="C681" t="s">
        <v>4171</v>
      </c>
      <c r="D681" t="s">
        <v>4172</v>
      </c>
    </row>
    <row r="682" spans="1:4" ht="11.25" customHeight="1">
      <c r="A682">
        <v>682</v>
      </c>
      <c r="B682" t="s">
        <v>4166</v>
      </c>
      <c r="C682" t="s">
        <v>4173</v>
      </c>
      <c r="D682" t="s">
        <v>4174</v>
      </c>
    </row>
    <row r="683" spans="1:4" ht="11.25" customHeight="1">
      <c r="A683">
        <v>683</v>
      </c>
      <c r="B683" t="s">
        <v>4166</v>
      </c>
      <c r="C683" t="s">
        <v>4175</v>
      </c>
      <c r="D683" t="s">
        <v>4176</v>
      </c>
    </row>
    <row r="684" spans="1:4" ht="11.25" customHeight="1">
      <c r="A684">
        <v>684</v>
      </c>
      <c r="B684" t="s">
        <v>4166</v>
      </c>
      <c r="C684" t="s">
        <v>4177</v>
      </c>
      <c r="D684" t="s">
        <v>4178</v>
      </c>
    </row>
    <row r="685" spans="1:4" ht="11.25" customHeight="1">
      <c r="A685">
        <v>685</v>
      </c>
      <c r="B685" t="s">
        <v>4166</v>
      </c>
      <c r="C685" t="s">
        <v>4179</v>
      </c>
      <c r="D685" t="s">
        <v>4180</v>
      </c>
    </row>
    <row r="686" spans="1:4" ht="11.25" customHeight="1">
      <c r="A686">
        <v>686</v>
      </c>
      <c r="B686" t="s">
        <v>4166</v>
      </c>
      <c r="C686" t="s">
        <v>4181</v>
      </c>
      <c r="D686" t="s">
        <v>4182</v>
      </c>
    </row>
    <row r="687" spans="1:4" ht="11.25" customHeight="1">
      <c r="A687">
        <v>687</v>
      </c>
      <c r="B687" t="s">
        <v>4166</v>
      </c>
      <c r="C687" t="s">
        <v>4166</v>
      </c>
      <c r="D687" t="s">
        <v>4183</v>
      </c>
    </row>
    <row r="688" spans="1:4" ht="11.25" customHeight="1">
      <c r="A688">
        <v>688</v>
      </c>
      <c r="B688" t="s">
        <v>4166</v>
      </c>
      <c r="C688" t="s">
        <v>4184</v>
      </c>
      <c r="D688" t="s">
        <v>4185</v>
      </c>
    </row>
    <row r="689" spans="1:4" ht="11.25" customHeight="1">
      <c r="A689">
        <v>689</v>
      </c>
      <c r="B689" t="s">
        <v>4186</v>
      </c>
      <c r="C689" t="s">
        <v>4187</v>
      </c>
      <c r="D689" t="s">
        <v>4188</v>
      </c>
    </row>
    <row r="690" spans="1:4" ht="11.25" customHeight="1">
      <c r="A690">
        <v>690</v>
      </c>
      <c r="B690" t="s">
        <v>4186</v>
      </c>
      <c r="C690" t="s">
        <v>3632</v>
      </c>
      <c r="D690" t="s">
        <v>4189</v>
      </c>
    </row>
    <row r="691" spans="1:4" ht="11.25" customHeight="1">
      <c r="A691">
        <v>691</v>
      </c>
      <c r="B691" t="s">
        <v>4186</v>
      </c>
      <c r="C691" t="s">
        <v>4190</v>
      </c>
      <c r="D691" t="s">
        <v>4191</v>
      </c>
    </row>
    <row r="692" spans="1:4" ht="11.25" customHeight="1">
      <c r="A692">
        <v>692</v>
      </c>
      <c r="B692" t="s">
        <v>4186</v>
      </c>
      <c r="C692" t="s">
        <v>4192</v>
      </c>
      <c r="D692" t="s">
        <v>4193</v>
      </c>
    </row>
    <row r="693" spans="1:4" ht="11.25" customHeight="1">
      <c r="A693">
        <v>693</v>
      </c>
      <c r="B693" t="s">
        <v>4186</v>
      </c>
      <c r="C693" t="s">
        <v>3124</v>
      </c>
      <c r="D693" t="s">
        <v>4194</v>
      </c>
    </row>
    <row r="694" spans="1:4" ht="11.25" customHeight="1">
      <c r="A694">
        <v>694</v>
      </c>
      <c r="B694" t="s">
        <v>4186</v>
      </c>
      <c r="C694" t="s">
        <v>4195</v>
      </c>
      <c r="D694" t="s">
        <v>4196</v>
      </c>
    </row>
    <row r="695" spans="1:4" ht="11.25" customHeight="1">
      <c r="A695">
        <v>695</v>
      </c>
      <c r="B695" t="s">
        <v>4186</v>
      </c>
      <c r="C695" t="s">
        <v>4169</v>
      </c>
      <c r="D695" t="s">
        <v>4197</v>
      </c>
    </row>
    <row r="696" spans="1:4" ht="11.25" customHeight="1">
      <c r="A696">
        <v>696</v>
      </c>
      <c r="B696" t="s">
        <v>4186</v>
      </c>
      <c r="C696" t="s">
        <v>4198</v>
      </c>
      <c r="D696" t="s">
        <v>4199</v>
      </c>
    </row>
    <row r="697" spans="1:4" ht="11.25" customHeight="1">
      <c r="A697">
        <v>697</v>
      </c>
      <c r="B697" t="s">
        <v>4186</v>
      </c>
      <c r="C697" t="s">
        <v>4200</v>
      </c>
      <c r="D697" t="s">
        <v>4201</v>
      </c>
    </row>
    <row r="698" spans="1:4" ht="11.25" customHeight="1">
      <c r="A698">
        <v>698</v>
      </c>
      <c r="B698" t="s">
        <v>4186</v>
      </c>
      <c r="C698" t="s">
        <v>4202</v>
      </c>
      <c r="D698" t="s">
        <v>4203</v>
      </c>
    </row>
    <row r="699" spans="1:4" ht="11.25" customHeight="1">
      <c r="A699">
        <v>699</v>
      </c>
      <c r="B699" t="s">
        <v>4186</v>
      </c>
      <c r="C699" t="s">
        <v>2988</v>
      </c>
      <c r="D699" t="s">
        <v>4204</v>
      </c>
    </row>
    <row r="700" spans="1:4" ht="11.25" customHeight="1">
      <c r="A700">
        <v>700</v>
      </c>
      <c r="B700" t="s">
        <v>4186</v>
      </c>
      <c r="C700" t="s">
        <v>4205</v>
      </c>
      <c r="D700" t="s">
        <v>4206</v>
      </c>
    </row>
    <row r="701" spans="1:4" ht="11.25" customHeight="1">
      <c r="A701">
        <v>701</v>
      </c>
      <c r="B701" t="s">
        <v>4186</v>
      </c>
      <c r="C701" t="s">
        <v>3741</v>
      </c>
      <c r="D701" t="s">
        <v>4207</v>
      </c>
    </row>
    <row r="702" spans="1:4" ht="11.25" customHeight="1">
      <c r="A702">
        <v>702</v>
      </c>
      <c r="B702" t="s">
        <v>4186</v>
      </c>
      <c r="C702" t="s">
        <v>4208</v>
      </c>
      <c r="D702" t="s">
        <v>4209</v>
      </c>
    </row>
    <row r="703" spans="1:4" ht="11.25" customHeight="1">
      <c r="A703">
        <v>703</v>
      </c>
      <c r="B703" t="s">
        <v>4186</v>
      </c>
      <c r="C703" t="s">
        <v>4210</v>
      </c>
      <c r="D703" t="s">
        <v>4211</v>
      </c>
    </row>
    <row r="704" spans="1:4" ht="11.25" customHeight="1">
      <c r="A704">
        <v>704</v>
      </c>
      <c r="B704" t="s">
        <v>4186</v>
      </c>
      <c r="C704" t="s">
        <v>4212</v>
      </c>
      <c r="D704" t="s">
        <v>4213</v>
      </c>
    </row>
    <row r="705" spans="1:4" ht="11.25" customHeight="1">
      <c r="A705">
        <v>705</v>
      </c>
      <c r="B705" t="s">
        <v>4186</v>
      </c>
      <c r="C705" t="s">
        <v>4214</v>
      </c>
      <c r="D705" t="s">
        <v>4215</v>
      </c>
    </row>
    <row r="706" spans="1:4" ht="11.25" customHeight="1">
      <c r="A706">
        <v>706</v>
      </c>
      <c r="B706" t="s">
        <v>4186</v>
      </c>
      <c r="C706" t="s">
        <v>4216</v>
      </c>
      <c r="D706" t="s">
        <v>4217</v>
      </c>
    </row>
    <row r="707" spans="1:4" ht="11.25" customHeight="1">
      <c r="A707">
        <v>707</v>
      </c>
      <c r="B707" t="s">
        <v>4186</v>
      </c>
      <c r="C707" t="s">
        <v>4186</v>
      </c>
      <c r="D707" t="s">
        <v>4218</v>
      </c>
    </row>
    <row r="708" spans="1:4" ht="11.25" customHeight="1">
      <c r="A708">
        <v>708</v>
      </c>
      <c r="B708" t="s">
        <v>4186</v>
      </c>
      <c r="C708" t="s">
        <v>4219</v>
      </c>
      <c r="D708" t="s">
        <v>4220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475"/>
    <col min="2" max="2" width="84.28515625" style="2475" customWidth="1"/>
    <col min="3" max="3" width="9.140625" style="2475"/>
  </cols>
  <sheetData>
    <row r="1" spans="1:3" ht="11.25" customHeight="1">
      <c r="A1" s="765" t="s">
        <v>4221</v>
      </c>
      <c r="B1" s="765" t="s">
        <v>4222</v>
      </c>
      <c r="C1" s="765" t="s">
        <v>1217</v>
      </c>
    </row>
    <row r="2" spans="1:3" ht="11.25" customHeight="1">
      <c r="A2" s="765">
        <v>4189678</v>
      </c>
      <c r="B2" s="765" t="s">
        <v>4223</v>
      </c>
      <c r="C2" s="765" t="s">
        <v>4224</v>
      </c>
    </row>
    <row r="3" spans="1:3" ht="11.25" customHeight="1">
      <c r="A3" s="765">
        <v>4190415</v>
      </c>
      <c r="B3" s="765" t="s">
        <v>4225</v>
      </c>
      <c r="C3" s="765" t="s">
        <v>4224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477" customWidth="1"/>
    <col min="2" max="5" width="9.140625" style="2477"/>
  </cols>
  <sheetData>
    <row r="1" spans="1:5" ht="15" customHeight="1">
      <c r="A1" s="100" t="s">
        <v>4226</v>
      </c>
      <c r="B1" s="100" t="s">
        <v>4227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4228</v>
      </c>
      <c r="B1" t="b">
        <v>1</v>
      </c>
    </row>
    <row r="2" spans="1:2" ht="11.25" customHeight="1">
      <c r="A2" t="s">
        <v>4229</v>
      </c>
      <c r="B2" t="b">
        <v>0</v>
      </c>
    </row>
    <row r="3" spans="1:2" ht="11.25" customHeight="1">
      <c r="A3" t="s">
        <v>4230</v>
      </c>
      <c r="B3" t="b">
        <v>1</v>
      </c>
    </row>
    <row r="4" spans="1:2" ht="11.25" customHeight="1">
      <c r="A4" t="s">
        <v>4231</v>
      </c>
      <c r="B4" t="b">
        <v>0</v>
      </c>
    </row>
    <row r="5" spans="1:2" ht="11.25" customHeight="1">
      <c r="A5" t="s">
        <v>4232</v>
      </c>
      <c r="B5" t="b">
        <v>0</v>
      </c>
    </row>
    <row r="6" spans="1:2" ht="11.25" customHeight="1">
      <c r="A6" t="s">
        <v>4233</v>
      </c>
      <c r="B6" t="b">
        <v>0</v>
      </c>
    </row>
    <row r="7" spans="1:2" ht="11.25" customHeight="1">
      <c r="A7" t="s">
        <v>4234</v>
      </c>
      <c r="B7" t="b">
        <v>0</v>
      </c>
    </row>
    <row r="8" spans="1:2" ht="11.25" customHeight="1">
      <c r="A8" t="s">
        <v>4235</v>
      </c>
      <c r="B8" t="b">
        <v>0</v>
      </c>
    </row>
    <row r="9" spans="1:2" ht="11.25" customHeight="1">
      <c r="A9" t="s">
        <v>4236</v>
      </c>
      <c r="B9" t="b">
        <v>0</v>
      </c>
    </row>
    <row r="10" spans="1:2" ht="11.25" customHeight="1">
      <c r="A10" t="s">
        <v>4237</v>
      </c>
      <c r="B10" t="b">
        <v>0</v>
      </c>
    </row>
    <row r="11" spans="1:2" ht="11.25" customHeight="1">
      <c r="A11" t="s">
        <v>4238</v>
      </c>
      <c r="B11" t="b">
        <v>0</v>
      </c>
    </row>
    <row r="12" spans="1:2" ht="11.25" customHeight="1">
      <c r="A12" t="s">
        <v>4239</v>
      </c>
      <c r="B12" t="b">
        <v>1</v>
      </c>
    </row>
    <row r="13" spans="1:2" ht="11.25" customHeight="1">
      <c r="A13" t="s">
        <v>4240</v>
      </c>
      <c r="B13" t="b">
        <v>0</v>
      </c>
    </row>
    <row r="14" spans="1:2" ht="11.25" customHeight="1">
      <c r="A14" t="s">
        <v>4241</v>
      </c>
      <c r="B14" t="b">
        <v>0</v>
      </c>
    </row>
    <row r="15" spans="1:2" ht="11.25" customHeight="1">
      <c r="A15" t="s">
        <v>4242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396"/>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410" customWidth="1"/>
    <col min="2" max="2" width="21.140625" style="2410" customWidth="1"/>
  </cols>
  <sheetData>
    <row r="1" spans="1:2" ht="11.25" customHeight="1">
      <c r="A1" s="7" t="s">
        <v>4243</v>
      </c>
      <c r="B1" s="7" t="s">
        <v>4244</v>
      </c>
    </row>
    <row r="2" spans="1:2" ht="11.25" customHeight="1">
      <c r="A2" s="3" t="s">
        <v>4245</v>
      </c>
      <c r="B2" s="3" t="s">
        <v>4246</v>
      </c>
    </row>
    <row r="3" spans="1:2" ht="11.25" customHeight="1">
      <c r="A3" s="3" t="s">
        <v>4247</v>
      </c>
      <c r="B3" s="3" t="s">
        <v>4248</v>
      </c>
    </row>
    <row r="4" spans="1:2" ht="11.25" customHeight="1">
      <c r="A4" s="3" t="s">
        <v>4249</v>
      </c>
      <c r="B4" s="3" t="s">
        <v>4250</v>
      </c>
    </row>
    <row r="5" spans="1:2" ht="11.25" customHeight="1">
      <c r="A5" s="3" t="s">
        <v>4251</v>
      </c>
      <c r="B5" s="3" t="s">
        <v>4252</v>
      </c>
    </row>
    <row r="6" spans="1:2" ht="11.25" customHeight="1">
      <c r="A6" s="3" t="s">
        <v>4253</v>
      </c>
      <c r="B6" s="3" t="s">
        <v>4254</v>
      </c>
    </row>
    <row r="7" spans="1:2" ht="11.25" customHeight="1">
      <c r="A7" s="3" t="s">
        <v>4255</v>
      </c>
      <c r="B7" s="3" t="s">
        <v>4256</v>
      </c>
    </row>
    <row r="8" spans="1:2" ht="11.25" customHeight="1">
      <c r="A8" s="3" t="s">
        <v>4257</v>
      </c>
      <c r="B8" s="3" t="s">
        <v>4258</v>
      </c>
    </row>
    <row r="9" spans="1:2" ht="11.25" customHeight="1">
      <c r="A9" s="3" t="s">
        <v>4259</v>
      </c>
      <c r="B9" s="3" t="s">
        <v>4260</v>
      </c>
    </row>
    <row r="10" spans="1:2" ht="11.25" customHeight="1">
      <c r="A10" s="3" t="s">
        <v>4261</v>
      </c>
      <c r="B10" s="3" t="s">
        <v>4262</v>
      </c>
    </row>
    <row r="11" spans="1:2" ht="11.25" customHeight="1">
      <c r="A11" s="3" t="s">
        <v>4263</v>
      </c>
      <c r="B11" s="3" t="s">
        <v>4264</v>
      </c>
    </row>
    <row r="12" spans="1:2" ht="11.25" customHeight="1">
      <c r="A12" s="3" t="s">
        <v>4265</v>
      </c>
      <c r="B12" s="3" t="s">
        <v>4266</v>
      </c>
    </row>
    <row r="13" spans="1:2" ht="11.25" customHeight="1">
      <c r="A13" s="3" t="s">
        <v>4267</v>
      </c>
      <c r="B13" s="3" t="s">
        <v>4268</v>
      </c>
    </row>
    <row r="14" spans="1:2" ht="11.25" customHeight="1">
      <c r="A14" s="3" t="s">
        <v>4269</v>
      </c>
      <c r="B14" s="3" t="s">
        <v>4270</v>
      </c>
    </row>
    <row r="15" spans="1:2" ht="11.25" customHeight="1">
      <c r="A15" s="3" t="s">
        <v>4271</v>
      </c>
      <c r="B15" s="3" t="s">
        <v>4272</v>
      </c>
    </row>
    <row r="16" spans="1:2" ht="11.25" customHeight="1">
      <c r="A16" s="3" t="s">
        <v>4273</v>
      </c>
      <c r="B16" s="3" t="s">
        <v>4274</v>
      </c>
    </row>
    <row r="17" spans="1:2" ht="11.25" customHeight="1">
      <c r="A17" s="3" t="s">
        <v>4275</v>
      </c>
      <c r="B17" s="3" t="s">
        <v>4276</v>
      </c>
    </row>
    <row r="18" spans="1:2" ht="11.25" customHeight="1">
      <c r="A18" s="3" t="s">
        <v>4277</v>
      </c>
      <c r="B18" s="3" t="s">
        <v>4278</v>
      </c>
    </row>
    <row r="19" spans="1:2" ht="11.25" customHeight="1">
      <c r="A19" s="3" t="s">
        <v>4279</v>
      </c>
      <c r="B19" s="3" t="s">
        <v>4280</v>
      </c>
    </row>
    <row r="20" spans="1:2" ht="11.25" customHeight="1">
      <c r="A20" s="3" t="s">
        <v>4281</v>
      </c>
      <c r="B20" s="3" t="s">
        <v>4282</v>
      </c>
    </row>
    <row r="21" spans="1:2" ht="11.25" customHeight="1">
      <c r="A21" s="3" t="s">
        <v>4283</v>
      </c>
      <c r="B21" s="3" t="s">
        <v>4284</v>
      </c>
    </row>
    <row r="22" spans="1:2" ht="11.25" customHeight="1">
      <c r="A22" s="3" t="s">
        <v>4285</v>
      </c>
      <c r="B22" s="3" t="s">
        <v>4286</v>
      </c>
    </row>
    <row r="23" spans="1:2" ht="11.25" customHeight="1">
      <c r="A23" s="3" t="s">
        <v>4287</v>
      </c>
      <c r="B23" s="3" t="s">
        <v>4288</v>
      </c>
    </row>
    <row r="24" spans="1:2" ht="11.25" customHeight="1">
      <c r="A24" s="3" t="s">
        <v>4289</v>
      </c>
      <c r="B24" s="3" t="s">
        <v>4290</v>
      </c>
    </row>
    <row r="25" spans="1:2" ht="11.25" customHeight="1">
      <c r="A25" s="3" t="s">
        <v>4291</v>
      </c>
      <c r="B25" s="3" t="s">
        <v>4292</v>
      </c>
    </row>
    <row r="26" spans="1:2" ht="11.25" customHeight="1">
      <c r="A26" s="3" t="s">
        <v>4293</v>
      </c>
      <c r="B26" s="3" t="s">
        <v>4294</v>
      </c>
    </row>
    <row r="27" spans="1:2" ht="11.25" customHeight="1">
      <c r="A27" s="3" t="s">
        <v>4295</v>
      </c>
      <c r="B27" s="3" t="s">
        <v>4296</v>
      </c>
    </row>
    <row r="28" spans="1:2" ht="11.25" customHeight="1">
      <c r="A28" s="3" t="s">
        <v>4297</v>
      </c>
      <c r="B28" s="3" t="s">
        <v>4298</v>
      </c>
    </row>
    <row r="29" spans="1:2" ht="11.25" customHeight="1">
      <c r="A29" s="3" t="s">
        <v>4299</v>
      </c>
      <c r="B29" s="3" t="s">
        <v>4300</v>
      </c>
    </row>
    <row r="30" spans="1:2" ht="11.25" customHeight="1">
      <c r="A30" s="3" t="s">
        <v>4301</v>
      </c>
      <c r="B30" s="3" t="s">
        <v>4302</v>
      </c>
    </row>
    <row r="31" spans="1:2" ht="11.25" customHeight="1">
      <c r="A31" s="3" t="s">
        <v>4303</v>
      </c>
      <c r="B31" s="3" t="s">
        <v>4304</v>
      </c>
    </row>
    <row r="32" spans="1:2" ht="11.25" customHeight="1">
      <c r="A32" s="3" t="s">
        <v>4305</v>
      </c>
      <c r="B32" s="3" t="s">
        <v>4306</v>
      </c>
    </row>
    <row r="33" spans="1:2" ht="11.25" customHeight="1">
      <c r="A33" s="3" t="s">
        <v>4307</v>
      </c>
      <c r="B33" s="3" t="s">
        <v>4308</v>
      </c>
    </row>
    <row r="34" spans="1:2" ht="11.25" customHeight="1">
      <c r="A34" s="3" t="s">
        <v>4309</v>
      </c>
      <c r="B34" s="3" t="s">
        <v>4310</v>
      </c>
    </row>
    <row r="35" spans="1:2" ht="11.25" customHeight="1">
      <c r="A35" s="3" t="s">
        <v>4311</v>
      </c>
      <c r="B35" s="3" t="s">
        <v>4312</v>
      </c>
    </row>
    <row r="36" spans="1:2" ht="11.25" customHeight="1">
      <c r="A36" s="3" t="s">
        <v>4313</v>
      </c>
      <c r="B36" s="3" t="s">
        <v>4314</v>
      </c>
    </row>
    <row r="37" spans="1:2" ht="11.25" customHeight="1">
      <c r="A37" s="3" t="s">
        <v>4315</v>
      </c>
      <c r="B37" s="3" t="s">
        <v>4316</v>
      </c>
    </row>
    <row r="38" spans="1:2" ht="11.25" customHeight="1">
      <c r="A38" s="3" t="s">
        <v>4317</v>
      </c>
      <c r="B38" s="3" t="s">
        <v>4318</v>
      </c>
    </row>
    <row r="39" spans="1:2" ht="11.25" customHeight="1">
      <c r="A39" s="3" t="s">
        <v>4319</v>
      </c>
      <c r="B39" s="3" t="s">
        <v>4320</v>
      </c>
    </row>
    <row r="40" spans="1:2" ht="11.25" customHeight="1">
      <c r="A40" s="3" t="s">
        <v>4321</v>
      </c>
      <c r="B40" s="3" t="s">
        <v>4322</v>
      </c>
    </row>
    <row r="41" spans="1:2" ht="11.25" customHeight="1">
      <c r="A41" s="3" t="s">
        <v>4323</v>
      </c>
      <c r="B41" s="3" t="s">
        <v>4324</v>
      </c>
    </row>
    <row r="42" spans="1:2" ht="11.25" customHeight="1">
      <c r="A42" s="3" t="s">
        <v>4325</v>
      </c>
      <c r="B42" s="3" t="s">
        <v>4326</v>
      </c>
    </row>
    <row r="43" spans="1:2" ht="11.25" customHeight="1">
      <c r="A43" s="3" t="s">
        <v>4327</v>
      </c>
      <c r="B43" s="3" t="s">
        <v>4328</v>
      </c>
    </row>
    <row r="44" spans="1:2" ht="11.25" customHeight="1">
      <c r="A44" s="3" t="s">
        <v>4329</v>
      </c>
      <c r="B44" s="3" t="s">
        <v>4330</v>
      </c>
    </row>
    <row r="45" spans="1:2" ht="11.25" customHeight="1">
      <c r="A45" s="3" t="s">
        <v>4331</v>
      </c>
      <c r="B45" s="3" t="s">
        <v>4332</v>
      </c>
    </row>
    <row r="46" spans="1:2" ht="11.25" customHeight="1">
      <c r="A46" s="3" t="s">
        <v>4333</v>
      </c>
      <c r="B46" s="3" t="s">
        <v>4334</v>
      </c>
    </row>
    <row r="47" spans="1:2" ht="11.25" customHeight="1">
      <c r="A47" s="3" t="s">
        <v>4335</v>
      </c>
      <c r="B47" s="3" t="s">
        <v>4336</v>
      </c>
    </row>
    <row r="48" spans="1:2" ht="11.25" customHeight="1">
      <c r="A48" s="3" t="s">
        <v>4337</v>
      </c>
      <c r="B48" s="3" t="s">
        <v>4338</v>
      </c>
    </row>
    <row r="49" spans="1:2" ht="11.25" customHeight="1">
      <c r="A49" s="3" t="s">
        <v>4339</v>
      </c>
      <c r="B49" s="3" t="s">
        <v>4340</v>
      </c>
    </row>
    <row r="50" spans="1:2" ht="11.25" customHeight="1">
      <c r="A50" s="3" t="s">
        <v>4341</v>
      </c>
      <c r="B50" s="3" t="s">
        <v>4342</v>
      </c>
    </row>
    <row r="51" spans="1:2" ht="11.25" customHeight="1">
      <c r="A51" s="3" t="s">
        <v>4343</v>
      </c>
      <c r="B51" s="3" t="s">
        <v>4344</v>
      </c>
    </row>
    <row r="52" spans="1:2" ht="11.25" customHeight="1">
      <c r="A52" s="3" t="s">
        <v>4345</v>
      </c>
      <c r="B52" s="3" t="s">
        <v>4346</v>
      </c>
    </row>
    <row r="53" spans="1:2" ht="11.25" customHeight="1">
      <c r="A53" s="3" t="s">
        <v>4347</v>
      </c>
      <c r="B53" s="3" t="s">
        <v>4348</v>
      </c>
    </row>
    <row r="54" spans="1:2" ht="11.25" customHeight="1">
      <c r="A54" s="3" t="s">
        <v>4349</v>
      </c>
      <c r="B54" s="3" t="s">
        <v>4350</v>
      </c>
    </row>
    <row r="55" spans="1:2" ht="11.25" customHeight="1">
      <c r="A55" s="3" t="s">
        <v>4351</v>
      </c>
      <c r="B55" s="3" t="s">
        <v>4352</v>
      </c>
    </row>
    <row r="56" spans="1:2" ht="11.25" customHeight="1">
      <c r="A56" s="3" t="s">
        <v>4353</v>
      </c>
      <c r="B56" s="3" t="s">
        <v>4354</v>
      </c>
    </row>
    <row r="57" spans="1:2" ht="11.25" customHeight="1">
      <c r="A57" s="3" t="s">
        <v>4355</v>
      </c>
      <c r="B57" s="3" t="s">
        <v>4356</v>
      </c>
    </row>
    <row r="58" spans="1:2" ht="11.25" customHeight="1">
      <c r="A58" s="3" t="s">
        <v>4357</v>
      </c>
      <c r="B58" s="3" t="s">
        <v>4358</v>
      </c>
    </row>
    <row r="59" spans="1:2" ht="11.25" customHeight="1">
      <c r="A59" s="3" t="s">
        <v>4359</v>
      </c>
      <c r="B59" s="3" t="s">
        <v>4360</v>
      </c>
    </row>
    <row r="60" spans="1:2" ht="11.25" customHeight="1">
      <c r="A60" s="3" t="s">
        <v>4361</v>
      </c>
      <c r="B60" s="3" t="s">
        <v>4362</v>
      </c>
    </row>
    <row r="61" spans="1:2" ht="11.25" customHeight="1">
      <c r="A61" s="3"/>
      <c r="B61" s="3" t="s">
        <v>4363</v>
      </c>
    </row>
    <row r="62" spans="1:2" ht="11.25" customHeight="1">
      <c r="A62" s="3"/>
      <c r="B62" s="3" t="s">
        <v>4364</v>
      </c>
    </row>
    <row r="63" spans="1:2" ht="11.25" customHeight="1">
      <c r="A63" s="3"/>
      <c r="B63" s="3" t="s">
        <v>4365</v>
      </c>
    </row>
    <row r="64" spans="1:2" ht="11.25" customHeight="1">
      <c r="A64" s="3"/>
      <c r="B64" s="3" t="s">
        <v>4366</v>
      </c>
    </row>
    <row r="65" spans="1:2" ht="11.25" customHeight="1">
      <c r="A65" s="3"/>
      <c r="B65" s="3" t="s">
        <v>4367</v>
      </c>
    </row>
    <row r="66" spans="1:2" ht="11.25" customHeight="1">
      <c r="A66" s="3"/>
      <c r="B66" s="3" t="s">
        <v>4368</v>
      </c>
    </row>
    <row r="67" spans="1:2" ht="11.25" customHeight="1">
      <c r="A67" s="3"/>
      <c r="B67" s="3" t="s">
        <v>4369</v>
      </c>
    </row>
    <row r="68" spans="1:2" ht="11.25" customHeight="1">
      <c r="A68" s="3"/>
      <c r="B68" s="3" t="s">
        <v>4370</v>
      </c>
    </row>
    <row r="69" spans="1:2" ht="11.25" customHeight="1">
      <c r="A69" s="3"/>
      <c r="B69" s="3" t="s">
        <v>4371</v>
      </c>
    </row>
    <row r="70" spans="1:2" ht="11.25" customHeight="1">
      <c r="A70" s="3"/>
      <c r="B70" s="3" t="s">
        <v>4372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410" customWidth="1"/>
    <col min="2" max="2" width="90.7109375" style="2410" customWidth="1"/>
    <col min="3" max="4" width="9.140625" style="2410"/>
  </cols>
  <sheetData>
    <row r="1" spans="2:4" ht="11.25" customHeight="1">
      <c r="B1" s="33" t="s">
        <v>4373</v>
      </c>
    </row>
    <row r="2" spans="2:4" ht="90" customHeight="1">
      <c r="B2" s="34" t="s">
        <v>4374</v>
      </c>
    </row>
    <row r="3" spans="2:4" ht="67.5" customHeight="1">
      <c r="B3" s="34" t="s">
        <v>4375</v>
      </c>
    </row>
    <row r="4" spans="2:4" ht="33.75" customHeight="1">
      <c r="B4" s="34" t="s">
        <v>4376</v>
      </c>
    </row>
    <row r="5" spans="2:4" ht="11.25" customHeight="1">
      <c r="B5" s="34" t="s">
        <v>4377</v>
      </c>
    </row>
    <row r="6" spans="2:4" ht="22.5" customHeight="1">
      <c r="B6" s="34" t="s">
        <v>4378</v>
      </c>
    </row>
    <row r="7" spans="2:4" ht="22.5" customHeight="1">
      <c r="B7" s="34" t="s">
        <v>4379</v>
      </c>
    </row>
    <row r="8" spans="2:4" ht="22.5" customHeight="1">
      <c r="B8" s="34" t="s">
        <v>4380</v>
      </c>
    </row>
    <row r="9" spans="2:4" ht="22.5" customHeight="1">
      <c r="B9" s="34" t="s">
        <v>4381</v>
      </c>
    </row>
    <row r="10" spans="2:4" ht="56.25" customHeight="1">
      <c r="B10" s="34" t="s">
        <v>4382</v>
      </c>
    </row>
    <row r="11" spans="2:4" ht="12.75" customHeight="1">
      <c r="B11" s="97" t="s">
        <v>4383</v>
      </c>
    </row>
    <row r="12" spans="2:4" ht="11.25" customHeight="1">
      <c r="B12" s="33" t="s">
        <v>4384</v>
      </c>
    </row>
    <row r="13" spans="2:4" ht="22.5" customHeight="1">
      <c r="B13" s="34" t="s">
        <v>4385</v>
      </c>
    </row>
    <row r="14" spans="2:4" ht="67.5" customHeight="1">
      <c r="B14" s="34" t="s">
        <v>4386</v>
      </c>
    </row>
    <row r="15" spans="2:4" ht="22.5" customHeight="1">
      <c r="B15" s="34" t="s">
        <v>4387</v>
      </c>
    </row>
    <row r="16" spans="2:4" ht="11.25" customHeight="1">
      <c r="B16" s="33" t="s">
        <v>4388</v>
      </c>
      <c r="D16" s="40"/>
    </row>
    <row r="17" spans="1:2" ht="33.75" customHeight="1">
      <c r="B17" s="34" t="s">
        <v>4389</v>
      </c>
    </row>
    <row r="18" spans="1:2" ht="33.75" customHeight="1">
      <c r="B18" s="34" t="s">
        <v>4390</v>
      </c>
    </row>
    <row r="19" spans="1:2" ht="11.25" customHeight="1">
      <c r="B19" s="34" t="s">
        <v>4391</v>
      </c>
    </row>
    <row r="20" spans="1:2" ht="33.75" customHeight="1">
      <c r="B20" s="34" t="s">
        <v>4392</v>
      </c>
    </row>
    <row r="21" spans="1:2" ht="11.25" customHeight="1">
      <c r="B21" s="33" t="s">
        <v>4393</v>
      </c>
    </row>
    <row r="22" spans="1:2" ht="11.25" customHeight="1">
      <c r="B22" s="34" t="s">
        <v>4394</v>
      </c>
    </row>
    <row r="24" spans="1:2" ht="22.5" customHeight="1">
      <c r="B24" s="99" t="s">
        <v>4395</v>
      </c>
    </row>
    <row r="26" spans="1:2" ht="11.25" customHeight="1">
      <c r="B26" s="33" t="s">
        <v>4396</v>
      </c>
    </row>
    <row r="27" spans="1:2" ht="22.5" customHeight="1">
      <c r="B27" s="98" t="s">
        <v>387</v>
      </c>
    </row>
    <row r="28" spans="1:2" ht="56.25" customHeight="1">
      <c r="B28" s="98" t="s">
        <v>4397</v>
      </c>
    </row>
    <row r="29" spans="1:2" ht="11.25" customHeight="1">
      <c r="B29" s="147" t="s">
        <v>4398</v>
      </c>
    </row>
    <row r="30" spans="1:2" ht="22.5" customHeight="1">
      <c r="B30" s="98" t="s">
        <v>4399</v>
      </c>
    </row>
    <row r="32" spans="1:2" ht="11.25" customHeight="1">
      <c r="A32" s="125"/>
      <c r="B32" s="126" t="s">
        <v>4400</v>
      </c>
    </row>
    <row r="33" spans="1:2" ht="14.25" customHeight="1">
      <c r="A33" s="127">
        <v>1</v>
      </c>
      <c r="B33" s="128" t="s">
        <v>4401</v>
      </c>
    </row>
    <row r="34" spans="1:2" ht="14.25" customHeight="1">
      <c r="A34" s="127">
        <v>2</v>
      </c>
      <c r="B34" s="128" t="s">
        <v>4402</v>
      </c>
    </row>
    <row r="35" spans="1:2" ht="11.25" customHeight="1">
      <c r="B35" s="126" t="s">
        <v>4403</v>
      </c>
    </row>
    <row r="36" spans="1:2" ht="11.25" customHeight="1">
      <c r="B36" s="128" t="s">
        <v>4404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398" hidden="1" customWidth="1"/>
    <col min="2" max="2" width="9.140625" style="2400" hidden="1" customWidth="1"/>
    <col min="3" max="3" width="3" style="2412" customWidth="1"/>
    <col min="4" max="4" width="5" style="2400" customWidth="1"/>
    <col min="5" max="5" width="38" style="2400" customWidth="1"/>
    <col min="6" max="7" width="3" style="2400" customWidth="1"/>
    <col min="8" max="8" width="38" style="2400" customWidth="1"/>
    <col min="9" max="9" width="35" style="2400" customWidth="1"/>
    <col min="10" max="10" width="103" style="2400" customWidth="1"/>
    <col min="11" max="11" width="3" style="2409" customWidth="1"/>
    <col min="12" max="14" width="10" style="2407" customWidth="1"/>
    <col min="15" max="15" width="13" style="2407" customWidth="1"/>
    <col min="16" max="16" width="15" style="2407" customWidth="1"/>
    <col min="17" max="17" width="16" style="2407" customWidth="1"/>
    <col min="18" max="21" width="10" style="2407" customWidth="1"/>
    <col min="22" max="22" width="10.5703125" style="2400" hidden="1"/>
  </cols>
  <sheetData>
    <row r="1" spans="1:22" ht="22.5" hidden="1" customHeight="1">
      <c r="E1" s="348"/>
      <c r="F1" s="348"/>
      <c r="G1" s="348"/>
      <c r="H1" s="2620" t="s">
        <v>343</v>
      </c>
      <c r="I1" s="2620"/>
      <c r="V1" s="1525" t="s">
        <v>14</v>
      </c>
    </row>
    <row r="2" spans="1:22" s="2400" customFormat="1" ht="14.25" hidden="1" customHeight="1">
      <c r="C2" s="1537"/>
      <c r="D2" s="2624" t="s">
        <v>102</v>
      </c>
      <c r="E2" s="2626"/>
      <c r="F2" s="1543"/>
      <c r="G2" s="1538" t="s">
        <v>102</v>
      </c>
      <c r="H2" s="1541"/>
      <c r="I2" s="1539"/>
      <c r="L2" s="1540"/>
      <c r="M2" s="1540"/>
      <c r="N2" s="1540"/>
      <c r="O2" s="1540" t="s">
        <v>373</v>
      </c>
      <c r="P2" s="1540"/>
      <c r="Q2" s="1540"/>
      <c r="R2" s="1542" t="s">
        <v>372</v>
      </c>
      <c r="S2" s="1542" t="s">
        <v>372</v>
      </c>
      <c r="T2" s="1540"/>
      <c r="U2" s="1540"/>
      <c r="V2" s="1536">
        <v>0</v>
      </c>
    </row>
    <row r="3" spans="1:22" s="2400" customFormat="1" ht="14.25" hidden="1" customHeight="1">
      <c r="C3" s="1537"/>
      <c r="D3" s="2625"/>
      <c r="E3" s="2627"/>
      <c r="F3" s="341"/>
      <c r="G3" s="795"/>
      <c r="H3" s="795" t="s">
        <v>374</v>
      </c>
      <c r="I3" s="250"/>
      <c r="L3" s="1540"/>
      <c r="M3" s="1540"/>
      <c r="N3" s="1540"/>
      <c r="O3" s="1540"/>
      <c r="P3" s="1540"/>
      <c r="Q3" s="1540"/>
      <c r="R3" s="1542"/>
      <c r="S3" s="1542"/>
      <c r="T3" s="1540"/>
      <c r="U3" s="1540"/>
      <c r="V3" s="1536">
        <v>0</v>
      </c>
    </row>
    <row r="4" spans="1:22" ht="14.25" hidden="1" customHeight="1">
      <c r="V4" s="1525">
        <v>0</v>
      </c>
    </row>
    <row r="5" spans="1:22" s="2430" customFormat="1" ht="5.25" customHeight="1">
      <c r="C5" s="637"/>
      <c r="D5" s="638"/>
      <c r="E5" s="638"/>
      <c r="F5" s="638"/>
      <c r="G5" s="638"/>
      <c r="H5" s="638" t="s">
        <v>347</v>
      </c>
      <c r="I5" s="638"/>
      <c r="J5" s="638"/>
      <c r="L5" s="1532"/>
      <c r="M5" s="1532"/>
      <c r="N5" s="1532"/>
      <c r="O5" s="1532"/>
      <c r="P5" s="1532"/>
      <c r="Q5" s="1532"/>
      <c r="R5" s="1532"/>
      <c r="S5" s="1532"/>
      <c r="T5" s="1532"/>
      <c r="U5" s="1532"/>
      <c r="V5" s="1531">
        <v>5</v>
      </c>
    </row>
    <row r="6" spans="1:22" ht="29.25" customHeight="1">
      <c r="C6" s="1434"/>
      <c r="D6" s="2623" t="s">
        <v>375</v>
      </c>
      <c r="E6" s="2623"/>
      <c r="F6" s="2623"/>
      <c r="G6" s="2623"/>
      <c r="H6" s="2623"/>
      <c r="I6" s="2623"/>
      <c r="J6" s="427"/>
      <c r="K6" s="1533"/>
      <c r="V6" s="1525">
        <v>28</v>
      </c>
    </row>
    <row r="7" spans="1:22" ht="18" customHeight="1">
      <c r="C7" s="1434"/>
      <c r="D7" s="2595" t="str">
        <f>IF(org=0,"Не определено",org)</f>
        <v>ПАО "ТГК-1" (филиал "Кольский")</v>
      </c>
      <c r="E7" s="2595"/>
      <c r="F7" s="2595"/>
      <c r="G7" s="2595"/>
      <c r="H7" s="2595"/>
      <c r="I7" s="2595"/>
      <c r="J7" s="427"/>
      <c r="K7" s="1533"/>
      <c r="V7" s="1525">
        <v>17</v>
      </c>
    </row>
    <row r="8" spans="1:22" s="2399" customFormat="1" ht="5.25" customHeight="1">
      <c r="A8" s="1529"/>
      <c r="C8" s="422"/>
      <c r="D8" s="421"/>
      <c r="E8" s="421"/>
      <c r="F8" s="421"/>
      <c r="G8" s="421"/>
      <c r="H8" s="421"/>
      <c r="I8" s="421"/>
      <c r="J8" s="421"/>
      <c r="L8" s="1532"/>
      <c r="M8" s="1532"/>
      <c r="N8" s="1532"/>
      <c r="O8" s="1532"/>
      <c r="P8" s="1532"/>
      <c r="Q8" s="1532"/>
      <c r="R8" s="1532"/>
      <c r="S8" s="1532"/>
      <c r="T8" s="1532"/>
      <c r="U8" s="1532"/>
      <c r="V8" s="1530">
        <v>5</v>
      </c>
    </row>
    <row r="9" spans="1:22" s="2399" customFormat="1" ht="5.25" customHeight="1">
      <c r="A9" s="1529"/>
      <c r="C9" s="422"/>
      <c r="D9" s="421"/>
      <c r="E9" s="421"/>
      <c r="F9" s="421"/>
      <c r="G9" s="421"/>
      <c r="H9" s="421"/>
      <c r="I9" s="421"/>
      <c r="J9" s="421"/>
      <c r="L9" s="1540"/>
      <c r="M9" s="1540"/>
      <c r="N9" s="1540"/>
      <c r="O9" s="1540"/>
      <c r="P9" s="1540"/>
      <c r="Q9" s="1540"/>
      <c r="R9" s="1540"/>
      <c r="S9" s="1540"/>
      <c r="T9" s="1540"/>
      <c r="U9" s="1540"/>
      <c r="V9" s="1530">
        <v>5</v>
      </c>
    </row>
    <row r="10" spans="1:22" ht="14.65" customHeight="1">
      <c r="C10" s="1434"/>
      <c r="D10" s="2608" t="s">
        <v>291</v>
      </c>
      <c r="E10" s="2621"/>
      <c r="F10" s="2621"/>
      <c r="G10" s="2621"/>
      <c r="H10" s="2621"/>
      <c r="I10" s="2621"/>
      <c r="J10" s="2571" t="s">
        <v>292</v>
      </c>
      <c r="V10" s="1525">
        <v>14</v>
      </c>
    </row>
    <row r="11" spans="1:22" ht="27.4" customHeight="1">
      <c r="C11" s="1434"/>
      <c r="D11" s="2514" t="s">
        <v>84</v>
      </c>
      <c r="E11" s="2571" t="s">
        <v>98</v>
      </c>
      <c r="F11" s="2574" t="s">
        <v>84</v>
      </c>
      <c r="G11" s="2575"/>
      <c r="H11" s="2573" t="s">
        <v>376</v>
      </c>
      <c r="I11" s="2573" t="s">
        <v>377</v>
      </c>
      <c r="J11" s="2571"/>
      <c r="V11" s="1525">
        <v>26</v>
      </c>
    </row>
    <row r="12" spans="1:22" ht="14.65" customHeight="1">
      <c r="C12" s="1434"/>
      <c r="D12" s="2514"/>
      <c r="E12" s="2571"/>
      <c r="F12" s="2579"/>
      <c r="G12" s="2580"/>
      <c r="H12" s="2628"/>
      <c r="I12" s="2628"/>
      <c r="J12" s="2571"/>
      <c r="V12" s="1525">
        <v>14</v>
      </c>
    </row>
    <row r="13" spans="1:22" s="2431" customFormat="1" ht="11.25" hidden="1" customHeight="1">
      <c r="C13" s="434"/>
      <c r="D13" s="435" t="s">
        <v>367</v>
      </c>
      <c r="E13" s="435"/>
      <c r="F13" s="435"/>
      <c r="G13" s="435"/>
      <c r="H13" s="433"/>
      <c r="I13" s="433"/>
      <c r="J13" s="371"/>
      <c r="L13" s="1532"/>
      <c r="M13" s="1532"/>
      <c r="N13" s="1532"/>
      <c r="O13" s="1532"/>
      <c r="P13" s="1532"/>
      <c r="Q13" s="1532"/>
      <c r="R13" s="1532"/>
      <c r="S13" s="1532"/>
      <c r="T13" s="1532"/>
      <c r="U13" s="1532"/>
      <c r="V13" s="432">
        <v>0</v>
      </c>
    </row>
    <row r="14" spans="1:22" ht="14.65" customHeight="1">
      <c r="A14" s="1525"/>
      <c r="C14" s="1434"/>
      <c r="D14" s="2624" t="s">
        <v>102</v>
      </c>
      <c r="E14" s="2626"/>
      <c r="F14" s="1535"/>
      <c r="G14" s="1534" t="s">
        <v>102</v>
      </c>
      <c r="H14" s="1541"/>
      <c r="I14" s="1539"/>
      <c r="J14" s="2558" t="s">
        <v>378</v>
      </c>
      <c r="K14" s="1525"/>
      <c r="R14" s="436" t="s">
        <v>372</v>
      </c>
      <c r="S14" s="436" t="s">
        <v>372</v>
      </c>
      <c r="V14" s="1525">
        <v>14</v>
      </c>
    </row>
    <row r="15" spans="1:22" ht="14.65" customHeight="1">
      <c r="A15" s="1525"/>
      <c r="C15" s="1434"/>
      <c r="D15" s="2625"/>
      <c r="E15" s="2627"/>
      <c r="F15" s="341"/>
      <c r="G15" s="795"/>
      <c r="H15" s="795" t="s">
        <v>374</v>
      </c>
      <c r="I15" s="250"/>
      <c r="J15" s="2559"/>
      <c r="K15" s="1525"/>
      <c r="R15" s="436"/>
      <c r="S15" s="436"/>
      <c r="V15" s="1525">
        <v>14</v>
      </c>
    </row>
    <row r="16" spans="1:22" ht="14.65" customHeight="1">
      <c r="A16" s="1525"/>
      <c r="C16" s="1434"/>
      <c r="D16" s="341"/>
      <c r="E16" s="795" t="s">
        <v>114</v>
      </c>
      <c r="F16" s="250"/>
      <c r="G16" s="250"/>
      <c r="H16" s="342"/>
      <c r="I16" s="342"/>
      <c r="J16" s="2560"/>
      <c r="K16" s="1525"/>
      <c r="V16" s="1525">
        <v>14</v>
      </c>
    </row>
    <row r="17" spans="1:22" ht="14.65" customHeight="1">
      <c r="K17" s="1525"/>
      <c r="V17" s="1525">
        <v>14</v>
      </c>
    </row>
    <row r="18" spans="1:22" ht="22.5" hidden="1" customHeight="1">
      <c r="A18" s="1526" t="s">
        <v>78</v>
      </c>
      <c r="B18" s="1525">
        <v>0</v>
      </c>
      <c r="C18" s="387">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IP_DETAILED_ip_51</vt:lpstr>
      <vt:lpstr>IP_DETAILED_ip_511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IP_FIN_PLAN_ip_51</vt:lpstr>
      <vt:lpstr>IP_FIN_PLAN_ip_511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IP_MAIN_ip_51</vt:lpstr>
      <vt:lpstr>IP_MAIN_ip_511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IP_QRE_ip_51</vt:lpstr>
      <vt:lpstr>IP_QRE_ip_511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Синельцева Елена Владимировна</cp:lastModifiedBy>
  <cp:lastPrinted>2013-08-29T08:11:20Z</cp:lastPrinted>
  <dcterms:created xsi:type="dcterms:W3CDTF">2004-05-21T07:18:45Z</dcterms:created>
  <dcterms:modified xsi:type="dcterms:W3CDTF">2024-11-07T05:13:21Z</dcterms:modified>
</cp:coreProperties>
</file>