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План 2025\2. Утвержденные тарифы 2025\"/>
    </mc:Choice>
  </mc:AlternateContent>
  <bookViews>
    <workbookView xWindow="0" yWindow="0" windowWidth="28800" windowHeight="1173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Резерв мощности" sheetId="13" r:id="rId13"/>
    <sheet name="ТС. Т-ТН" sheetId="14" r:id="rId14"/>
    <sheet name="ТС. Т-передача ТЭ" sheetId="15"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&gt;=25МВт'!$182:$184</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ТСО'!$114:$116</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Т-ТН'!$96:$99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Т-гор.вода'!$146:$148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мощности'!$82:$84</definedName>
    <definedName name="BLOCK_NOTE_P_TARIFF_G">'ТС. Т-подкл'!$63:$65</definedName>
    <definedName name="BLOCK_NOTE_R_TARIFF_A">'ТС. Т-ТЭ | &gt;=25МВт'!$185:$188</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ТСО'!$117:$120</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Т-ТН'!$100:$103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Т-гор.вода'!$149:$151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мощности'!$85:$88</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тарифов'!$151:$175</definedName>
    <definedName name="BLOCK_PT_HEAT">'Перечень тарифов'!$13:$149</definedName>
    <definedName name="BLOCK_PT_HOTVSNA">'Перечень тарифов'!$177:$191</definedName>
    <definedName name="BLOCK_PT_VOTV">'Перечень тарифов'!$193:$207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тарифов'!$Z$12:$Z$209</definedName>
    <definedName name="DIFFERENTIATION_TARIFF_VD_ID">'Перечень тарифов'!$AB$12:$AB$209</definedName>
    <definedName name="DIFFERENTIATION_TARIFF_VTAR_ID">'Перечень тарифов'!$AA$12:$AA$209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Предложение!$L$118</definedName>
    <definedName name="OFFER_METHOD">Предложение!$K$24:$K$116</definedName>
    <definedName name="OFFER_METHOD_FLAG">TEHSHEET!$L$6</definedName>
    <definedName name="OFFER_TARIFF_A_1">Предложение!$24:$42</definedName>
    <definedName name="OFFER_TARIFF_A_2">Предложение!$120:$138</definedName>
    <definedName name="OFFER_TARIFF_A_3">Предложение!$214:$232</definedName>
    <definedName name="OFFER_TARIFF_A_4">Предложение!$308:$326</definedName>
    <definedName name="OFFER_TARIFF_A_5">Предложение!$402:$420</definedName>
    <definedName name="OFFER_TARIFF_A_COLDVSNA_1">Предложение!$84:$86</definedName>
    <definedName name="OFFER_TARIFF_A_COLDVSNA_2">Предложение!$180:$182</definedName>
    <definedName name="OFFER_TARIFF_A_COLDVSNA_3">Предложение!$274:$276</definedName>
    <definedName name="OFFER_TARIFF_A_COLDVSNA_4">Предложение!$368:$370</definedName>
    <definedName name="OFFER_TARIFF_A_COLDVSNA_5">Предложение!$462:$464</definedName>
    <definedName name="OFFER_TARIFF_A_HOTVSNA_1">Предложение!$99:$101</definedName>
    <definedName name="OFFER_TARIFF_A_HOTVSNA_2">Предложение!$195:$197</definedName>
    <definedName name="OFFER_TARIFF_A_HOTVSNA_3">Предложение!$289:$291</definedName>
    <definedName name="OFFER_TARIFF_A_HOTVSNA_4">Предложение!$383:$385</definedName>
    <definedName name="OFFER_TARIFF_A_HOTVSNA_5">Предложение!$477:$479</definedName>
    <definedName name="OFFER_TARIFF_A_VOTV_1">Предложение!$108:$110</definedName>
    <definedName name="OFFER_TARIFF_A_VOTV_2">Предложение!$204:$206</definedName>
    <definedName name="OFFER_TARIFF_A_VOTV_3">Предложение!$298:$300</definedName>
    <definedName name="OFFER_TARIFF_A_VOTV_4">Предложение!$392:$394</definedName>
    <definedName name="OFFER_TARIFF_A_VOTV_5">Предложение!$486:$488</definedName>
    <definedName name="OFFER_TARIFF_B_1">Предложение!$43:$53</definedName>
    <definedName name="OFFER_TARIFF_B_2">Предложение!$139:$149</definedName>
    <definedName name="OFFER_TARIFF_B_3">Предложение!$233:$243</definedName>
    <definedName name="OFFER_TARIFF_B_4">Предложение!$327:$337</definedName>
    <definedName name="OFFER_TARIFF_B_5">Предложение!$421:$431</definedName>
    <definedName name="OFFER_TARIFF_B_COLDVSNA_1">Предложение!$87:$89</definedName>
    <definedName name="OFFER_TARIFF_B_COLDVSNA_2">Предложение!$183:$185</definedName>
    <definedName name="OFFER_TARIFF_B_COLDVSNA_3">Предложение!$277:$279</definedName>
    <definedName name="OFFER_TARIFF_B_COLDVSNA_4">Предложение!$371:$373</definedName>
    <definedName name="OFFER_TARIFF_B_COLDVSNA_5">Предложение!$465:$467</definedName>
    <definedName name="OFFER_TARIFF_B_HOTVSNA_1">Предложение!$102:$104</definedName>
    <definedName name="OFFER_TARIFF_B_HOTVSNA_2">Предложение!$198:$200</definedName>
    <definedName name="OFFER_TARIFF_B_HOTVSNA_3">Предложение!$292:$294</definedName>
    <definedName name="OFFER_TARIFF_B_HOTVSNA_4">Предложение!$386:$388</definedName>
    <definedName name="OFFER_TARIFF_B_HOTVSNA_5">Предложение!$480:$482</definedName>
    <definedName name="OFFER_TARIFF_B_VOTV_1">Предложение!$111:$113</definedName>
    <definedName name="OFFER_TARIFF_B_VOTV_2">Предложение!$207:$209</definedName>
    <definedName name="OFFER_TARIFF_B_VOTV_3">Предложение!$301:$303</definedName>
    <definedName name="OFFER_TARIFF_B_VOTV_4">Предложение!$395:$397</definedName>
    <definedName name="OFFER_TARIFF_B_VOTV_5">Предложение!$489:$491</definedName>
    <definedName name="OFFER_TARIFF_C_1">Предложение!$54:$58</definedName>
    <definedName name="OFFER_TARIFF_C_2">Предложение!$150:$154</definedName>
    <definedName name="OFFER_TARIFF_C_3">Предложение!$244:$248</definedName>
    <definedName name="OFFER_TARIFF_C_4">Предложение!$338:$342</definedName>
    <definedName name="OFFER_TARIFF_C_5">Предложение!$432:$436</definedName>
    <definedName name="OFFER_TARIFF_C_COLDVSNA_1">Предложение!$90:$92</definedName>
    <definedName name="OFFER_TARIFF_C_COLDVSNA_2">Предложение!$186:$188</definedName>
    <definedName name="OFFER_TARIFF_C_COLDVSNA_3">Предложение!$280:$282</definedName>
    <definedName name="OFFER_TARIFF_C_COLDVSNA_4">Предложение!$374:$376</definedName>
    <definedName name="OFFER_TARIFF_C_COLDVSNA_5">Предложение!$468:$470</definedName>
    <definedName name="OFFER_TARIFF_C_HOTVSNA_1">Предложение!$105:$107</definedName>
    <definedName name="OFFER_TARIFF_C_HOTVSNA_2">Предложение!$201:$203</definedName>
    <definedName name="OFFER_TARIFF_C_HOTVSNA_3">Предложение!$295:$297</definedName>
    <definedName name="OFFER_TARIFF_C_HOTVSNA_4">Предложение!$389:$391</definedName>
    <definedName name="OFFER_TARIFF_C_HOTVSNA_5">Предложение!$483:$485</definedName>
    <definedName name="OFFER_TARIFF_C_VOTV_1">Предложение!$114:$116</definedName>
    <definedName name="OFFER_TARIFF_C_VOTV_2">Предложение!$210:$212</definedName>
    <definedName name="OFFER_TARIFF_C_VOTV_3">Предложение!$304:$306</definedName>
    <definedName name="OFFER_TARIFF_C_VOTV_4">Предложение!$398:$400</definedName>
    <definedName name="OFFER_TARIFF_C_VOTV_5">Предложение!$492:$494</definedName>
    <definedName name="OFFER_TARIFF_D_1">Предложение!$59:$71</definedName>
    <definedName name="OFFER_TARIFF_D_2">Предложение!$155:$167</definedName>
    <definedName name="OFFER_TARIFF_D_3">Предложение!$249:$261</definedName>
    <definedName name="OFFER_TARIFF_D_4">Предложение!$343:$355</definedName>
    <definedName name="OFFER_TARIFF_D_5">Предложение!$437:$449</definedName>
    <definedName name="OFFER_TARIFF_D_COLDVSNA_1">Предложение!$93:$95</definedName>
    <definedName name="OFFER_TARIFF_D_COLDVSNA_2">Предложение!$189:$191</definedName>
    <definedName name="OFFER_TARIFF_D_COLDVSNA_3">Предложение!$283:$285</definedName>
    <definedName name="OFFER_TARIFF_D_COLDVSNA_4">Предложение!$377:$379</definedName>
    <definedName name="OFFER_TARIFF_D_COLDVSNA_5">Предложение!$471:$473</definedName>
    <definedName name="OFFER_TARIFF_E_COLDVSNA_1">Предложение!$96:$98</definedName>
    <definedName name="OFFER_TARIFF_E_COLDVSNA_2">Предложение!$192:$194</definedName>
    <definedName name="OFFER_TARIFF_E_COLDVSNA_3">Предложение!$286:$288</definedName>
    <definedName name="OFFER_TARIFF_E_COLDVSNA_4">Предложение!$380:$382</definedName>
    <definedName name="OFFER_TARIFF_E_COLDVSNA_5">Предложение!$474:$476</definedName>
    <definedName name="OFFER_TARIFF_E1_1">Предложение!$72:$74</definedName>
    <definedName name="OFFER_TARIFF_E1_2">Предложение!$168:$170</definedName>
    <definedName name="OFFER_TARIFF_E1_3">Предложение!$262:$264</definedName>
    <definedName name="OFFER_TARIFF_E1_4">Предложение!$356:$358</definedName>
    <definedName name="OFFER_TARIFF_E1_5">Предложение!$450:$452</definedName>
    <definedName name="OFFER_TARIFF_E2_1">Предложение!$75:$77</definedName>
    <definedName name="OFFER_TARIFF_E2_2">Предложение!$171:$173</definedName>
    <definedName name="OFFER_TARIFF_E2_3">Предложение!$265:$267</definedName>
    <definedName name="OFFER_TARIFF_E2_4">Предложение!$359:$361</definedName>
    <definedName name="OFFER_TARIFF_E2_5">Предложение!$453:$455</definedName>
    <definedName name="OFFER_TARIFF_F_1">Предложение!$78:$80</definedName>
    <definedName name="OFFER_TARIFF_F_2">Предложение!$174:$176</definedName>
    <definedName name="OFFER_TARIFF_F_3">Предложение!$268:$270</definedName>
    <definedName name="OFFER_TARIFF_F_4">Предложение!$362:$364</definedName>
    <definedName name="OFFER_TARIFF_F_5">Предложение!$456:$458</definedName>
    <definedName name="OFFER_TARIFF_G_1">Предложение!$81:$83</definedName>
    <definedName name="OFFER_TARIFF_G_2">Предложение!$177:$179</definedName>
    <definedName name="OFFER_TARIFF_G_3">Предложение!$271:$273</definedName>
    <definedName name="OFFER_TARIFF_G_4">Предложение!$365:$367</definedName>
    <definedName name="OFFER_TARIFF_G_5">Предложение!$459:$461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&gt;=25МВт'!$T$181</definedName>
    <definedName name="pIns_PT_VTAR_A_COLDVSNA">'ХВС. Т-пит'!$T$53</definedName>
    <definedName name="pIns_PT_VTAR_A_COLDVSNA_OFFER_1">Предложение!$G$86</definedName>
    <definedName name="pIns_PT_VTAR_A_COLDVSNA_OFFER_2">Предложение!$G$182</definedName>
    <definedName name="pIns_PT_VTAR_A_COLDVSNA_OFFER_3">Предложение!$G$276</definedName>
    <definedName name="pIns_PT_VTAR_A_COLDVSNA_OFFER_4">Предложение!$G$370</definedName>
    <definedName name="pIns_PT_VTAR_A_COLDVSNA_OFFER_5">Предложение!$G$464</definedName>
    <definedName name="pIns_PT_VTAR_A_COLDVSNA_OFFER5">Предложение!$G$464</definedName>
    <definedName name="pIns_PT_VTAR_A_HOTVSNA">'ГВС. Т-гор.вода'!$T$53</definedName>
    <definedName name="pIns_PT_VTAR_A_HOTVSNA_OFFER_1">Предложение!$G$101</definedName>
    <definedName name="pIns_PT_VTAR_A_HOTVSNA_OFFER_2">Предложение!$G$197</definedName>
    <definedName name="pIns_PT_VTAR_A_HOTVSNA_OFFER_3">Предложение!$G$291</definedName>
    <definedName name="pIns_PT_VTAR_A_HOTVSNA_OFFER_4">Предложение!$G$385</definedName>
    <definedName name="pIns_PT_VTAR_A_HOTVSNA_OFFER_5">Предложение!$G$479</definedName>
    <definedName name="pIns_PT_VTAR_A_OFFER_1">Предложение!$G$42</definedName>
    <definedName name="pIns_PT_VTAR_A_OFFER_2">Предложение!$G$138</definedName>
    <definedName name="pIns_PT_VTAR_A_OFFER_3">Предложение!$G$232</definedName>
    <definedName name="pIns_PT_VTAR_A_OFFER_4">Предложение!$G$326</definedName>
    <definedName name="pIns_PT_VTAR_A_OFFER_5">Предложение!$G$420</definedName>
    <definedName name="pIns_PT_VTAR_A_VOTV">'ВО. Т-во'!$T$53</definedName>
    <definedName name="pIns_PT_VTAR_A_VOTV_OFFER_1">Предложение!$G$110</definedName>
    <definedName name="pIns_PT_VTAR_A_VOTV_OFFER_2">Предложение!$G$206</definedName>
    <definedName name="pIns_PT_VTAR_A_VOTV_OFFER_3">Предложение!$G$300</definedName>
    <definedName name="pIns_PT_VTAR_A_VOTV_OFFER_4">Предложение!$G$394</definedName>
    <definedName name="pIns_PT_VTAR_A_VOTV_OFFER_5">Предложение!$G$488</definedName>
    <definedName name="pIns_PT_VTAR_B">'ТС. Т-ТЭ | ТСО'!$T$113</definedName>
    <definedName name="pIns_PT_VTAR_B_COLDVSNA">'ХВС. Т-тех'!$T$53</definedName>
    <definedName name="pIns_PT_VTAR_B_COLDVSNA_OFFER_1">Предложение!$G$89</definedName>
    <definedName name="pIns_PT_VTAR_B_COLDVSNA_OFFER_2">Предложение!$G$185</definedName>
    <definedName name="pIns_PT_VTAR_B_COLDVSNA_OFFER_3">Предложение!$G$279</definedName>
    <definedName name="pIns_PT_VTAR_B_COLDVSNA_OFFER_4">Предложение!$G$373</definedName>
    <definedName name="pIns_PT_VTAR_B_COLDVSNA_OFFER_5">Предложение!$G$467</definedName>
    <definedName name="pIns_PT_VTAR_B_HOTVSNA">'ГВС. Т-транс'!$T$53</definedName>
    <definedName name="pIns_PT_VTAR_B_HOTVSNA_OFFER_1">Предложение!$G$104</definedName>
    <definedName name="pIns_PT_VTAR_B_HOTVSNA_OFFER_2">Предложение!$G$200</definedName>
    <definedName name="pIns_PT_VTAR_B_HOTVSNA_OFFER_3">Предложение!$G$294</definedName>
    <definedName name="pIns_PT_VTAR_B_HOTVSNA_OFFER_4">Предложение!$G$388</definedName>
    <definedName name="pIns_PT_VTAR_B_HOTVSNA_OFFER_5">Предложение!$G$482</definedName>
    <definedName name="pIns_PT_VTAR_B_OFFER_1">Предложение!$G$53</definedName>
    <definedName name="pIns_PT_VTAR_B_OFFER_2">Предложение!$G$149</definedName>
    <definedName name="pIns_PT_VTAR_B_OFFER_3">Предложение!$G$243</definedName>
    <definedName name="pIns_PT_VTAR_B_OFFER_4">Предложение!$G$337</definedName>
    <definedName name="pIns_PT_VTAR_B_OFFER_5">Предложение!$G$431</definedName>
    <definedName name="pIns_PT_VTAR_B_VOTV">'ВО. Т-транс'!$T$53</definedName>
    <definedName name="pIns_PT_VTAR_B_VOTV_OFFER_1">Предложение!$G$113</definedName>
    <definedName name="pIns_PT_VTAR_B_VOTV_OFFER_2">Предложение!$G$209</definedName>
    <definedName name="pIns_PT_VTAR_B_VOTV_OFFER_3">Предложение!$G$303</definedName>
    <definedName name="pIns_PT_VTAR_B_VOTV_OFFER_4">Предложение!$G$397</definedName>
    <definedName name="pIns_PT_VTAR_B_VOTV_OFFER_5">Предложение!$G$491</definedName>
    <definedName name="pIns_PT_VTAR_C">'ТС. Т-ТН'!$T$95</definedName>
    <definedName name="pIns_PT_VTAR_C_COLDVSNA">'ХВС. Т-транс'!$T$53</definedName>
    <definedName name="pIns_PT_VTAR_C_COLDVSNA_OFFER_1">Предложение!$G$92</definedName>
    <definedName name="pIns_PT_VTAR_C_COLDVSNA_OFFER_2">Предложение!$G$188</definedName>
    <definedName name="pIns_PT_VTAR_C_COLDVSNA_OFFER_3">Предложение!$G$282</definedName>
    <definedName name="pIns_PT_VTAR_C_COLDVSNA_OFFER_4">Предложение!$G$376</definedName>
    <definedName name="pIns_PT_VTAR_C_COLDVSNA_OFFER_5">Предложение!$G$470</definedName>
    <definedName name="pIns_PT_VTAR_C_HOTVSNA">'ГВС. Т-подкл'!$T$63</definedName>
    <definedName name="pIns_PT_VTAR_C_HOTVSNA_OFFER_1">Предложение!$G$107</definedName>
    <definedName name="pIns_PT_VTAR_C_HOTVSNA_OFFER_2">Предложение!$G$203</definedName>
    <definedName name="pIns_PT_VTAR_C_HOTVSNA_OFFER_3">Предложение!$G$297</definedName>
    <definedName name="pIns_PT_VTAR_C_HOTVSNA_OFFER_4">Предложение!$G$391</definedName>
    <definedName name="pIns_PT_VTAR_C_HOTVSNA_OFFER_5">Предложение!$G$485</definedName>
    <definedName name="pIns_PT_VTAR_C_OFFER_1">Предложение!$G$58</definedName>
    <definedName name="pIns_PT_VTAR_C_OFFER_2">Предложение!$G$154</definedName>
    <definedName name="pIns_PT_VTAR_C_OFFER_3">Предложение!$G$248</definedName>
    <definedName name="pIns_PT_VTAR_C_OFFER_4">Предложение!$G$342</definedName>
    <definedName name="pIns_PT_VTAR_C_OFFER_5">Предложение!$G$436</definedName>
    <definedName name="pIns_PT_VTAR_C_VOTV">'ВО. Т-подкл'!$T$63</definedName>
    <definedName name="pIns_PT_VTAR_C_VOTV_OFFER_1">Предложение!$G$116</definedName>
    <definedName name="pIns_PT_VTAR_C_VOTV_OFFER_2">Предложение!$G$212</definedName>
    <definedName name="pIns_PT_VTAR_C_VOTV_OFFER_3">Предложение!$G$306</definedName>
    <definedName name="pIns_PT_VTAR_C_VOTV_OFFER_4">Предложение!$G$400</definedName>
    <definedName name="pIns_PT_VTAR_C_VOTV_OFFER_5">Предложение!$G$494</definedName>
    <definedName name="pIns_PT_VTAR_D">'ТС. Т-гор.вода'!$V$145</definedName>
    <definedName name="pIns_PT_VTAR_D_COLDVSNA">'ХВС. Т-подвоз'!$T$53</definedName>
    <definedName name="pIns_PT_VTAR_D_COLDVSNA_OFFER_1">Предложение!$G$95</definedName>
    <definedName name="pIns_PT_VTAR_D_COLDVSNA_OFFER_2">Предложение!$G$191</definedName>
    <definedName name="pIns_PT_VTAR_D_COLDVSNA_OFFER_3">Предложение!$G$285</definedName>
    <definedName name="pIns_PT_VTAR_D_COLDVSNA_OFFER_4">Предложение!$G$379</definedName>
    <definedName name="pIns_PT_VTAR_D_COLDVSNA_OFFER_5">Предложение!$G$473</definedName>
    <definedName name="pIns_PT_VTAR_D_OFFER_1">Предложение!$G$71</definedName>
    <definedName name="pIns_PT_VTAR_D_OFFER_2">Предложение!$G$167</definedName>
    <definedName name="pIns_PT_VTAR_D_OFFER_3">Предложение!$G$261</definedName>
    <definedName name="pIns_PT_VTAR_D_OFFER_4">Предложение!$G$355</definedName>
    <definedName name="pIns_PT_VTAR_D_OFFER_5">Предложение!$G$449</definedName>
    <definedName name="pIns_PT_VTAR_E_COLDVSNA">'ХВС. Т-подкл'!$T$63</definedName>
    <definedName name="pIns_PT_VTAR_E_COLDVSNA_OFFER_1">Предложение!$G$98</definedName>
    <definedName name="pIns_PT_VTAR_E_COLDVSNA_OFFER_2">Предложение!$G$194</definedName>
    <definedName name="pIns_PT_VTAR_E_COLDVSNA_OFFER_3">Предложение!$G$288</definedName>
    <definedName name="pIns_PT_VTAR_E_COLDVSNA_OFFER_4">Предложение!$G$382</definedName>
    <definedName name="pIns_PT_VTAR_E_COLDVSNA_OFFER_5">Предложение!$G$476</definedName>
    <definedName name="pIns_PT_VTAR_E1">'ТС. Т-передача ТЭ'!$T$57</definedName>
    <definedName name="pIns_PT_VTAR_E1_OFFER_1">Предложение!$G$74</definedName>
    <definedName name="pIns_PT_VTAR_E1_OFFER_2">Предложение!$G$170</definedName>
    <definedName name="pIns_PT_VTAR_E1_OFFER_3">Предложение!$G$264</definedName>
    <definedName name="pIns_PT_VTAR_E1_OFFER_4">Предложение!$G$358</definedName>
    <definedName name="pIns_PT_VTAR_E1_OFFER_5">Предложение!$G$452</definedName>
    <definedName name="pIns_PT_VTAR_E2">'ТС. Т-передача ТН'!$T$57</definedName>
    <definedName name="pIns_PT_VTAR_E2_OFFER_1">Предложение!$G$77</definedName>
    <definedName name="pIns_PT_VTAR_E2_OFFER_2">Предложение!$G$173</definedName>
    <definedName name="pIns_PT_VTAR_E2_OFFER_3">Предложение!$G$267</definedName>
    <definedName name="pIns_PT_VTAR_E2_OFFER_4">Предложение!$G$361</definedName>
    <definedName name="pIns_PT_VTAR_E2_OFFER_5">Предложение!$G$455</definedName>
    <definedName name="pIns_PT_VTAR_F">'ТС. Резерв мощности'!$T$81</definedName>
    <definedName name="pIns_PT_VTAR_F_OFFER_1">Предложение!$G$80</definedName>
    <definedName name="pIns_PT_VTAR_F_OFFER_2">Предложение!$G$176</definedName>
    <definedName name="pIns_PT_VTAR_F_OFFER_3">Предложение!$G$270</definedName>
    <definedName name="pIns_PT_VTAR_F_OFFER_4">Предложение!$G$364</definedName>
    <definedName name="pIns_PT_VTAR_F_OFFER_5">Предложение!$G$458</definedName>
    <definedName name="pIns_PT_VTAR_G">'ТС. Т-подкл'!$T$62</definedName>
    <definedName name="pIns_PT_VTAR_G_OFFER_1">Предложение!$G$83</definedName>
    <definedName name="pIns_PT_VTAR_G_OFFER_2">Предложение!$G$179</definedName>
    <definedName name="pIns_PT_VTAR_G_OFFER_3">Предложение!$G$273</definedName>
    <definedName name="pIns_PT_VTAR_G_OFFER_4">Предложение!$G$367</definedName>
    <definedName name="pIns_PT_VTAR_G_OFFER_5">Предложение!$G$461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Т-ТЭ | &gt;=25МВт'!#REF!</definedName>
    <definedName name="pt_cs_31">'ТС. Т-ТЭ | &gt;=25МВт'!$71:$80</definedName>
    <definedName name="pt_cs_32">'ТС. Т-ТЭ | &gt;=25МВт'!$85:$94</definedName>
    <definedName name="pt_cs_33">'ТС. Т-ТЭ | &gt;=25МВт'!$99:$108</definedName>
    <definedName name="pt_cs_34">'ТС. Т-ТЭ | &gt;=25МВт'!$113:$122</definedName>
    <definedName name="pt_cs_35">'ТС. Т-ТЭ | &gt;=25МВт'!$127:$136</definedName>
    <definedName name="pt_cs_36">'ТС. Т-ТЭ | &gt;=25МВт'!$141:$150</definedName>
    <definedName name="pt_cs_37">'ТС. Т-ТЭ | &gt;=25МВт'!$155:$164</definedName>
    <definedName name="pt_cs_38">'ТС. Т-ТЭ | &gt;=25МВт'!$169:$178</definedName>
    <definedName name="pt_cs_39">'ТС. Т-ТЭ | &gt;=25МВт'!#REF!</definedName>
    <definedName name="pt_cs_4">'ТС. Т-гор.вода'!$51:$62</definedName>
    <definedName name="pt_cs_40">'ТС. Т-ТЭ | &gt;=25МВт'!#REF!</definedName>
    <definedName name="pt_cs_41">'ТС. Т-ТЭ | ТСО'!$59:$68</definedName>
    <definedName name="pt_cs_42">'ТС. Т-гор.вода'!#REF!</definedName>
    <definedName name="pt_cs_43">'ТС. Т-гор.вода'!$67:$78</definedName>
    <definedName name="pt_cs_44">'ТС. Т-гор.вода'!$83:$94</definedName>
    <definedName name="pt_cs_45">'ТС. Т-гор.вода'!$99:$110</definedName>
    <definedName name="pt_cs_46">'ТС. Т-гор.вода'!$115:$126</definedName>
    <definedName name="pt_cs_47">'ТС. Т-гор.вода'!$131:$142</definedName>
    <definedName name="pt_cs_48">'ТС. Т-ТЭ | &gt;=25МВт'!#REF!</definedName>
    <definedName name="pt_cs_49">'ТС. Т-ТЭ | &gt;=25МВт'!$57:$66</definedName>
    <definedName name="pt_cs_4i">'Т-ТЭ | индикат'!$21:$30</definedName>
    <definedName name="pt_cs_4p">'Т-ТЭ | предел'!$21:$30</definedName>
    <definedName name="pt_cs_5">'ТС. Т-передача ТЭ'!$45:$54</definedName>
    <definedName name="pt_cs_50">'ТС. Т-ТЭ | ТСО'!$73:$82</definedName>
    <definedName name="pt_cs_51">'ТС. Т-ТЭ | ТСО'!$87:$96</definedName>
    <definedName name="pt_cs_52">'ТС. Т-ТЭ | ТСО'!$101:$110</definedName>
    <definedName name="pt_cs_53">'ТС. Резерв мощности'!$57:$66</definedName>
    <definedName name="pt_cs_54">'ТС. Резерв мощности'!$69:$78</definedName>
    <definedName name="pt_cs_55">'ТС. Т-ТН'!$57:$66</definedName>
    <definedName name="pt_cs_56">'ТС. Т-ТН'!$71:$80</definedName>
    <definedName name="pt_cs_57">'ТС. Т-ТН'!#REF!</definedName>
    <definedName name="pt_cs_58">'ТС. Т-ТН'!$83:$92</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тарифов'!$AL$12:$AL$209</definedName>
    <definedName name="PT_DIFFERENTIATION_CS_ID">'Перечень тарифов'!$AF$12:$AF$209</definedName>
    <definedName name="PT_DIFFERENTIATION_IST_TE">'Перечень тарифов'!$AM$12:$AM$209</definedName>
    <definedName name="PT_DIFFERENTIATION_IST_TE_ID">'Перечень тарифов'!$AG$12:$AG$209</definedName>
    <definedName name="PT_DIFFERENTIATION_NTAR">'Перечень тарифов'!$AJ$12:$AJ$209</definedName>
    <definedName name="PT_DIFFERENTIATION_NTAR_ID">'Перечень тарифов'!$AD$12:$AD$209</definedName>
    <definedName name="PT_DIFFERENTIATION_NUM_CS">'Перечень тарифов'!$AP$12:$AP$209</definedName>
    <definedName name="PT_DIFFERENTIATION_NUM_IST_TE">'Перечень тарифов'!$AQ$12:$AQ$209</definedName>
    <definedName name="PT_DIFFERENTIATION_NUM_NTAR">'Перечень тарифов'!$AN$12:$AN$209</definedName>
    <definedName name="PT_DIFFERENTIATION_NUM_TER">'Перечень тарифов'!$AO$12:$AO$209</definedName>
    <definedName name="PT_DIFFERENTIATION_TER">'Перечень тарифов'!$AK$12:$AK$209</definedName>
    <definedName name="PT_DIFFERENTIATION_TER_ID">'Перечень тарифов'!$AE$12:$AE$209</definedName>
    <definedName name="PT_DIFFERENTIATION_VDET">'Перечень тарифов'!$AI$12:$AI$209</definedName>
    <definedName name="PT_DIFFERENTIATION_VTAR">'Перечень тарифов'!$AH$12:$AH$209</definedName>
    <definedName name="PT_DIFFERENTIATION_VTAR_ID">'Перечень тарифов'!$AC$12:$AC$209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Т-ТЭ | &gt;=25МВт'!#REF!</definedName>
    <definedName name="pt_ist_te_31">'ТС. Т-ТЭ | &gt;=25МВт'!$72:$79</definedName>
    <definedName name="pt_ist_te_32">'ТС. Т-ТЭ | &gt;=25МВт'!$86:$93</definedName>
    <definedName name="pt_ist_te_33">'ТС. Т-ТЭ | &gt;=25МВт'!$100:$107</definedName>
    <definedName name="pt_ist_te_34">'ТС. Т-ТЭ | &gt;=25МВт'!$114:$121</definedName>
    <definedName name="pt_ist_te_35">'ТС. Т-ТЭ | &gt;=25МВт'!$128:$135</definedName>
    <definedName name="pt_ist_te_36">'ТС. Т-ТЭ | &gt;=25МВт'!$142:$149</definedName>
    <definedName name="pt_ist_te_37">'ТС. Т-ТЭ | &gt;=25МВт'!$156:$163</definedName>
    <definedName name="pt_ist_te_38">'ТС. Т-ТЭ | &gt;=25МВт'!$170:$177</definedName>
    <definedName name="pt_ist_te_39">'ТС. Т-ТЭ | &gt;=25МВт'!#REF!</definedName>
    <definedName name="pt_ist_te_4">'ТС. Т-гор.вода'!$52:$61</definedName>
    <definedName name="pt_ist_te_40">'ТС. Т-ТЭ | &gt;=25МВт'!#REF!</definedName>
    <definedName name="pt_ist_te_41">'ТС. Т-ТЭ | ТСО'!$60:$67</definedName>
    <definedName name="pt_ist_te_42">'ТС. Т-гор.вода'!#REF!</definedName>
    <definedName name="pt_ist_te_43">'ТС. Т-гор.вода'!$68:$77</definedName>
    <definedName name="pt_ist_te_44">'ТС. Т-гор.вода'!$84:$93</definedName>
    <definedName name="pt_ist_te_45">'ТС. Т-гор.вода'!$100:$109</definedName>
    <definedName name="pt_ist_te_46">'ТС. Т-гор.вода'!$116:$125</definedName>
    <definedName name="pt_ist_te_47">'ТС. Т-гор.вода'!$132:$141</definedName>
    <definedName name="pt_ist_te_48">'ТС. Т-ТЭ | &gt;=25МВт'!#REF!</definedName>
    <definedName name="pt_ist_te_49">'ТС. Т-ТЭ | &gt;=25МВт'!$58:$65</definedName>
    <definedName name="pt_ist_te_4i">'Т-ТЭ | индикат'!$22:$29</definedName>
    <definedName name="pt_ist_te_4p">'Т-ТЭ | предел'!$22:$29</definedName>
    <definedName name="pt_ist_te_5">'ТС. Т-передача ТЭ'!$46:$53</definedName>
    <definedName name="pt_ist_te_50">'ТС. Т-ТЭ | ТСО'!$74:$81</definedName>
    <definedName name="pt_ist_te_51">'ТС. Т-ТЭ | ТСО'!$88:$95</definedName>
    <definedName name="pt_ist_te_52">'ТС. Т-ТЭ | ТСО'!$102:$109</definedName>
    <definedName name="pt_ist_te_53">'ТС. Резерв мощности'!$58:$65</definedName>
    <definedName name="pt_ist_te_54">'ТС. Резерв мощности'!$70:$77</definedName>
    <definedName name="pt_ist_te_55">'ТС. Т-ТН'!$58:$65</definedName>
    <definedName name="pt_ist_te_56">'ТС. Т-ТН'!$72:$79</definedName>
    <definedName name="pt_ist_te_57">'ТС. Т-ТН'!#REF!</definedName>
    <definedName name="pt_ist_te_58">'ТС. Т-ТН'!$84:$91</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Т-ТЭ | &gt;=25МВт'!$69:$82</definedName>
    <definedName name="pt_ntar_27">'ТС. Т-ТЭ | &gt;=25МВт'!$83:$96</definedName>
    <definedName name="pt_ntar_28">'ТС. Т-ТЭ | &gt;=25МВт'!$97:$110</definedName>
    <definedName name="pt_ntar_29">'ТС. Т-ТЭ | &gt;=25МВт'!$111:$124</definedName>
    <definedName name="pt_ntar_3">'ТС. Т-ТН'!$43:$68</definedName>
    <definedName name="pt_ntar_30">'ТС. Т-ТЭ | &gt;=25МВт'!$125:$138</definedName>
    <definedName name="pt_ntar_31">'ТС. Т-ТЭ | &gt;=25МВт'!$139:$152</definedName>
    <definedName name="pt_ntar_32">'ТС. Т-ТЭ | &gt;=25МВт'!$153:$166</definedName>
    <definedName name="pt_ntar_33">'ТС. Т-ТЭ | &gt;=25МВт'!$167:$180</definedName>
    <definedName name="pt_ntar_36">'ТС. Т-ТЭ | ТСО'!$57:$70</definedName>
    <definedName name="pt_ntar_37">'ТС. Т-гор.вода'!$65:$80</definedName>
    <definedName name="pt_ntar_38">'ТС. Т-гор.вода'!$81:$96</definedName>
    <definedName name="pt_ntar_39">'ТС. Т-гор.вода'!$97:$112</definedName>
    <definedName name="pt_ntar_4">'ТС. Т-гор.вода'!$49:$64</definedName>
    <definedName name="pt_ntar_40">'ТС. Т-гор.вода'!$113:$128</definedName>
    <definedName name="pt_ntar_41">'ТС. Т-гор.вода'!$129:$144</definedName>
    <definedName name="pt_ntar_42">'ТС. Т-ТЭ | ТСО'!$71:$84</definedName>
    <definedName name="pt_ntar_43">'ТС. Т-ТЭ | ТСО'!$85:$98</definedName>
    <definedName name="pt_ntar_44">'ТС. Т-ТЭ | ТСО'!$99:$112</definedName>
    <definedName name="pt_ntar_45">'ТС. Т-ТН'!$69:$94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мощности'!$43:$80</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1">'ТС. Т-ТЭ | &gt;=25МВт'!$70:$81</definedName>
    <definedName name="pt_ter_32">'ТС. Т-ТЭ | &gt;=25МВт'!$84:$95</definedName>
    <definedName name="pt_ter_33">'ТС. Т-ТЭ | &gt;=25МВт'!$98:$109</definedName>
    <definedName name="pt_ter_34">'ТС. Т-ТЭ | &gt;=25МВт'!$112:$123</definedName>
    <definedName name="pt_ter_35">'ТС. Т-ТЭ | &gt;=25МВт'!$126:$137</definedName>
    <definedName name="pt_ter_36">'ТС. Т-ТЭ | &gt;=25МВт'!$140:$151</definedName>
    <definedName name="pt_ter_37">'ТС. Т-ТЭ | &gt;=25МВт'!$154:$165</definedName>
    <definedName name="pt_ter_38">'ТС. Т-ТЭ | &gt;=25МВт'!$168:$179</definedName>
    <definedName name="pt_ter_39">'ТС. Т-ТЭ | &gt;=25МВт'!#REF!</definedName>
    <definedName name="pt_ter_4">'ТС. Т-гор.вода'!$50:$63</definedName>
    <definedName name="pt_ter_40">'ТС. Т-ТЭ | &gt;=25МВт'!#REF!</definedName>
    <definedName name="pt_ter_41">'ТС. Т-ТЭ | ТСО'!$58:$69</definedName>
    <definedName name="pt_ter_43">'ТС. Т-гор.вода'!$66:$79</definedName>
    <definedName name="pt_ter_44">'ТС. Т-гор.вода'!$82:$95</definedName>
    <definedName name="pt_ter_45">'ТС. Т-гор.вода'!$98:$111</definedName>
    <definedName name="pt_ter_46">'ТС. Т-гор.вода'!$114:$127</definedName>
    <definedName name="pt_ter_47">'ТС. Т-гор.вода'!$130:$143</definedName>
    <definedName name="pt_ter_49">'ТС. Т-ТЭ | &gt;=25МВт'!$56:$67</definedName>
    <definedName name="pt_ter_4i">'Т-ТЭ | индикат'!$20:$31</definedName>
    <definedName name="pt_ter_4p">'Т-ТЭ | предел'!$20:$31</definedName>
    <definedName name="pt_ter_5">'ТС. Т-передача ТЭ'!$44:$55</definedName>
    <definedName name="pt_ter_50">'ТС. Т-ТЭ | ТСО'!$72:$83</definedName>
    <definedName name="pt_ter_51">'ТС. Т-ТЭ | ТСО'!$86:$97</definedName>
    <definedName name="pt_ter_52">'ТС. Т-ТЭ | ТСО'!$100:$111</definedName>
    <definedName name="pt_ter_53">'ТС. Резерв мощности'!$56:$67</definedName>
    <definedName name="pt_ter_54">'ТС. Резерв мощности'!$68:$79</definedName>
    <definedName name="pt_ter_55">'ТС. Т-ТН'!$56:$67</definedName>
    <definedName name="pt_ter_56">'ТС. Т-ТН'!$70:$81</definedName>
    <definedName name="pt_ter_58">'ТС. Т-ТН'!$82:$93</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I101" i="57"/>
  <c r="L101" i="57" s="1"/>
  <c r="E130" i="30" s="1"/>
  <c r="N100" i="57"/>
  <c r="J129" i="30" s="1"/>
  <c r="M100" i="57"/>
  <c r="F129" i="30" s="1"/>
  <c r="L100" i="57"/>
  <c r="K100" i="57"/>
  <c r="J100" i="57"/>
  <c r="I100" i="57"/>
  <c r="M99" i="57"/>
  <c r="F128" i="30" s="1"/>
  <c r="K99" i="57"/>
  <c r="N99" i="57" s="1"/>
  <c r="J99" i="57"/>
  <c r="I99" i="57"/>
  <c r="L99" i="57" s="1"/>
  <c r="E128" i="30" s="1"/>
  <c r="N98" i="57"/>
  <c r="M98" i="57"/>
  <c r="F127" i="30" s="1"/>
  <c r="K98" i="57"/>
  <c r="J98" i="57"/>
  <c r="I98" i="57"/>
  <c r="L98" i="57" s="1"/>
  <c r="N97" i="57"/>
  <c r="M97" i="57"/>
  <c r="K97" i="57"/>
  <c r="J97" i="57"/>
  <c r="I97" i="57"/>
  <c r="L97" i="57" s="1"/>
  <c r="K96" i="57"/>
  <c r="N96" i="57" s="1"/>
  <c r="J123" i="30" s="1"/>
  <c r="J96" i="57"/>
  <c r="M96" i="57" s="1"/>
  <c r="F123" i="30" s="1"/>
  <c r="I96" i="57"/>
  <c r="L96" i="57" s="1"/>
  <c r="E123" i="30" s="1"/>
  <c r="E124" i="30" s="1"/>
  <c r="N95" i="57"/>
  <c r="J120" i="30" s="1"/>
  <c r="M95" i="57"/>
  <c r="F120" i="30" s="1"/>
  <c r="L95" i="57"/>
  <c r="E120" i="30" s="1"/>
  <c r="E121" i="30" s="1"/>
  <c r="K95" i="57"/>
  <c r="J95" i="57"/>
  <c r="I95" i="57"/>
  <c r="N94" i="57"/>
  <c r="K94" i="57"/>
  <c r="J94" i="57"/>
  <c r="M94" i="57" s="1"/>
  <c r="F117" i="30" s="1"/>
  <c r="I94" i="57"/>
  <c r="L94" i="57" s="1"/>
  <c r="M93" i="57"/>
  <c r="F116" i="30" s="1"/>
  <c r="L93" i="57"/>
  <c r="E116" i="30" s="1"/>
  <c r="K93" i="57"/>
  <c r="N93" i="57" s="1"/>
  <c r="J93" i="57"/>
  <c r="I93" i="57"/>
  <c r="N92" i="57"/>
  <c r="M92" i="57"/>
  <c r="L92" i="57"/>
  <c r="K92" i="57"/>
  <c r="J92" i="57"/>
  <c r="I92" i="57"/>
  <c r="N91" i="57"/>
  <c r="M91" i="57"/>
  <c r="F114" i="30" s="1"/>
  <c r="K91" i="57"/>
  <c r="J91" i="57"/>
  <c r="I91" i="57"/>
  <c r="L91" i="57" s="1"/>
  <c r="E114" i="30" s="1"/>
  <c r="L90" i="57"/>
  <c r="K90" i="57"/>
  <c r="N90" i="57" s="1"/>
  <c r="J113" i="30" s="1"/>
  <c r="J90" i="57"/>
  <c r="M90" i="57" s="1"/>
  <c r="F113" i="30" s="1"/>
  <c r="I90" i="57"/>
  <c r="N89" i="57"/>
  <c r="J112" i="30" s="1"/>
  <c r="L89" i="57"/>
  <c r="K89" i="57"/>
  <c r="J89" i="57"/>
  <c r="M89" i="57" s="1"/>
  <c r="F112" i="30" s="1"/>
  <c r="I89" i="57"/>
  <c r="M88" i="57"/>
  <c r="F111" i="30" s="1"/>
  <c r="K88" i="57"/>
  <c r="N88" i="57" s="1"/>
  <c r="J111" i="30" s="1"/>
  <c r="J88" i="57"/>
  <c r="I88" i="57"/>
  <c r="L88" i="57" s="1"/>
  <c r="L87" i="57"/>
  <c r="K87" i="57"/>
  <c r="N87" i="57" s="1"/>
  <c r="J87" i="57"/>
  <c r="M87" i="57" s="1"/>
  <c r="I87" i="57"/>
  <c r="L86" i="57"/>
  <c r="K86" i="57"/>
  <c r="N86" i="57" s="1"/>
  <c r="J109" i="30" s="1"/>
  <c r="J86" i="57"/>
  <c r="M86" i="57" s="1"/>
  <c r="F109" i="30" s="1"/>
  <c r="I86" i="57"/>
  <c r="K85" i="57"/>
  <c r="N85" i="57" s="1"/>
  <c r="J108" i="30" s="1"/>
  <c r="J85" i="57"/>
  <c r="M85" i="57" s="1"/>
  <c r="F108" i="30" s="1"/>
  <c r="I85" i="57"/>
  <c r="L85" i="57" s="1"/>
  <c r="E108" i="30" s="1"/>
  <c r="N84" i="57"/>
  <c r="J107" i="30" s="1"/>
  <c r="L84" i="57"/>
  <c r="K84" i="57"/>
  <c r="J84" i="57"/>
  <c r="M84" i="57" s="1"/>
  <c r="I84" i="57"/>
  <c r="K83" i="57"/>
  <c r="N83" i="57" s="1"/>
  <c r="J106" i="30" s="1"/>
  <c r="J83" i="57"/>
  <c r="M83" i="57" s="1"/>
  <c r="I83" i="57"/>
  <c r="L83" i="57" s="1"/>
  <c r="N82" i="57"/>
  <c r="J105" i="30" s="1"/>
  <c r="M82" i="57"/>
  <c r="F105" i="30" s="1"/>
  <c r="K82" i="57"/>
  <c r="J82" i="57"/>
  <c r="I82" i="57"/>
  <c r="L82" i="57" s="1"/>
  <c r="E105" i="30" s="1"/>
  <c r="N81" i="57"/>
  <c r="M81" i="57"/>
  <c r="K81" i="57"/>
  <c r="J81" i="57"/>
  <c r="I81" i="57"/>
  <c r="L81" i="57" s="1"/>
  <c r="K80" i="57"/>
  <c r="N80" i="57" s="1"/>
  <c r="J103" i="30" s="1"/>
  <c r="J80" i="57"/>
  <c r="M80" i="57" s="1"/>
  <c r="F103" i="30" s="1"/>
  <c r="I80" i="57"/>
  <c r="L80" i="57" s="1"/>
  <c r="E103" i="30" s="1"/>
  <c r="N79" i="57"/>
  <c r="M79" i="57"/>
  <c r="L79" i="57"/>
  <c r="E102" i="30" s="1"/>
  <c r="K79" i="57"/>
  <c r="J79" i="57"/>
  <c r="I79" i="57"/>
  <c r="N78" i="57"/>
  <c r="K78" i="57"/>
  <c r="J78" i="57"/>
  <c r="M78" i="57" s="1"/>
  <c r="F99" i="30" s="1"/>
  <c r="I78" i="57"/>
  <c r="L78" i="57" s="1"/>
  <c r="M77" i="57"/>
  <c r="L77" i="57"/>
  <c r="K77" i="57"/>
  <c r="N77" i="57" s="1"/>
  <c r="J77" i="57"/>
  <c r="I77" i="57"/>
  <c r="N76" i="57"/>
  <c r="M76" i="57"/>
  <c r="F97" i="30" s="1"/>
  <c r="L76" i="57"/>
  <c r="E97" i="30" s="1"/>
  <c r="K76" i="57"/>
  <c r="J76" i="57"/>
  <c r="I76" i="57"/>
  <c r="N75" i="57"/>
  <c r="M75" i="57"/>
  <c r="F96" i="30" s="1"/>
  <c r="K75" i="57"/>
  <c r="J75" i="57"/>
  <c r="I75" i="57"/>
  <c r="L75" i="57" s="1"/>
  <c r="E96" i="30" s="1"/>
  <c r="L74" i="57"/>
  <c r="E95" i="30" s="1"/>
  <c r="K74" i="57"/>
  <c r="N74" i="57" s="1"/>
  <c r="J95" i="30" s="1"/>
  <c r="J74" i="57"/>
  <c r="M74" i="57" s="1"/>
  <c r="F95" i="30" s="1"/>
  <c r="I74" i="57"/>
  <c r="N73" i="57"/>
  <c r="L73" i="57"/>
  <c r="K73" i="57"/>
  <c r="J73" i="57"/>
  <c r="M73" i="57" s="1"/>
  <c r="F94" i="30" s="1"/>
  <c r="I73" i="57"/>
  <c r="M72" i="57"/>
  <c r="F93" i="30" s="1"/>
  <c r="K72" i="57"/>
  <c r="N72" i="57" s="1"/>
  <c r="J72" i="57"/>
  <c r="I72" i="57"/>
  <c r="L72" i="57" s="1"/>
  <c r="E93" i="30" s="1"/>
  <c r="L71" i="57"/>
  <c r="K71" i="57"/>
  <c r="N71" i="57" s="1"/>
  <c r="J92" i="30" s="1"/>
  <c r="J71" i="57"/>
  <c r="M71" i="57" s="1"/>
  <c r="I71" i="57"/>
  <c r="L70" i="57"/>
  <c r="K70" i="57"/>
  <c r="N70" i="57" s="1"/>
  <c r="J70" i="57"/>
  <c r="M70" i="57" s="1"/>
  <c r="F91" i="30" s="1"/>
  <c r="I70" i="57"/>
  <c r="K69" i="57"/>
  <c r="N69" i="57" s="1"/>
  <c r="J90" i="30" s="1"/>
  <c r="J69" i="57"/>
  <c r="M69" i="57" s="1"/>
  <c r="I69" i="57"/>
  <c r="L69" i="57" s="1"/>
  <c r="N68" i="57"/>
  <c r="J89" i="30" s="1"/>
  <c r="L68" i="57"/>
  <c r="K68" i="57"/>
  <c r="J68" i="57"/>
  <c r="M68" i="57" s="1"/>
  <c r="F89" i="30" s="1"/>
  <c r="I68" i="57"/>
  <c r="K67" i="57"/>
  <c r="N67" i="57" s="1"/>
  <c r="J88" i="30" s="1"/>
  <c r="J67" i="57"/>
  <c r="M67" i="57" s="1"/>
  <c r="I67" i="57"/>
  <c r="L67" i="57" s="1"/>
  <c r="N66" i="57"/>
  <c r="M66" i="57"/>
  <c r="F87" i="30" s="1"/>
  <c r="K66" i="57"/>
  <c r="J66" i="57"/>
  <c r="I66" i="57"/>
  <c r="L66" i="57" s="1"/>
  <c r="E87" i="30" s="1"/>
  <c r="N65" i="57"/>
  <c r="M65" i="57"/>
  <c r="F86" i="30" s="1"/>
  <c r="K65" i="57"/>
  <c r="J65" i="57"/>
  <c r="I65" i="57"/>
  <c r="L65" i="57" s="1"/>
  <c r="E86" i="30" s="1"/>
  <c r="K64" i="57"/>
  <c r="N64" i="57" s="1"/>
  <c r="J85" i="30" s="1"/>
  <c r="J64" i="57"/>
  <c r="M64" i="57" s="1"/>
  <c r="F85" i="30" s="1"/>
  <c r="I64" i="57"/>
  <c r="L64" i="57" s="1"/>
  <c r="N63" i="57"/>
  <c r="M63" i="57"/>
  <c r="F84" i="30" s="1"/>
  <c r="L63" i="57"/>
  <c r="K63" i="57"/>
  <c r="J63" i="57"/>
  <c r="I63" i="57"/>
  <c r="N62" i="57"/>
  <c r="K62" i="57"/>
  <c r="J62" i="57"/>
  <c r="M62" i="57" s="1"/>
  <c r="F83" i="30" s="1"/>
  <c r="I62" i="57"/>
  <c r="L62" i="57" s="1"/>
  <c r="E83" i="30" s="1"/>
  <c r="M61" i="57"/>
  <c r="L61" i="57"/>
  <c r="K61" i="57"/>
  <c r="N61" i="57" s="1"/>
  <c r="J82" i="30" s="1"/>
  <c r="J61" i="57"/>
  <c r="I61" i="57"/>
  <c r="N60" i="57"/>
  <c r="M60" i="57"/>
  <c r="F81" i="30" s="1"/>
  <c r="L60" i="57"/>
  <c r="K60" i="57"/>
  <c r="J60" i="57"/>
  <c r="I60" i="57"/>
  <c r="N59" i="57"/>
  <c r="M59" i="57"/>
  <c r="K59" i="57"/>
  <c r="J59" i="57"/>
  <c r="I59" i="57"/>
  <c r="L59" i="57" s="1"/>
  <c r="L58" i="57"/>
  <c r="K58" i="57"/>
  <c r="N58" i="57" s="1"/>
  <c r="J79" i="30" s="1"/>
  <c r="J58" i="57"/>
  <c r="M58" i="57" s="1"/>
  <c r="F79" i="30" s="1"/>
  <c r="I58" i="57"/>
  <c r="N57" i="57"/>
  <c r="L57" i="57"/>
  <c r="K57" i="57"/>
  <c r="J57" i="57"/>
  <c r="M57" i="57" s="1"/>
  <c r="I57" i="57"/>
  <c r="M56" i="57"/>
  <c r="K56" i="57"/>
  <c r="N56" i="57" s="1"/>
  <c r="J56" i="57"/>
  <c r="I56" i="57"/>
  <c r="L56" i="57" s="1"/>
  <c r="E77" i="30" s="1"/>
  <c r="L55" i="57"/>
  <c r="K55" i="57"/>
  <c r="N55" i="57" s="1"/>
  <c r="J76" i="30" s="1"/>
  <c r="J55" i="57"/>
  <c r="M55" i="57" s="1"/>
  <c r="F76" i="30" s="1"/>
  <c r="I55" i="57"/>
  <c r="L54" i="57"/>
  <c r="K54" i="57"/>
  <c r="N54" i="57" s="1"/>
  <c r="J75" i="30" s="1"/>
  <c r="J54" i="57"/>
  <c r="M54" i="57" s="1"/>
  <c r="F75" i="30" s="1"/>
  <c r="I54" i="57"/>
  <c r="K53" i="57"/>
  <c r="N53" i="57" s="1"/>
  <c r="J74" i="30" s="1"/>
  <c r="J53" i="57"/>
  <c r="M53" i="57" s="1"/>
  <c r="I53" i="57"/>
  <c r="L53" i="57" s="1"/>
  <c r="N52" i="57"/>
  <c r="J73" i="30" s="1"/>
  <c r="L52" i="57"/>
  <c r="K52" i="57"/>
  <c r="J52" i="57"/>
  <c r="M52" i="57" s="1"/>
  <c r="I52" i="57"/>
  <c r="K51" i="57"/>
  <c r="N51" i="57" s="1"/>
  <c r="J72" i="30" s="1"/>
  <c r="J51" i="57"/>
  <c r="M51" i="57" s="1"/>
  <c r="F72" i="30" s="1"/>
  <c r="I51" i="57"/>
  <c r="L51" i="57" s="1"/>
  <c r="E72" i="30" s="1"/>
  <c r="N50" i="57"/>
  <c r="J69" i="30" s="1"/>
  <c r="M50" i="57"/>
  <c r="K50" i="57"/>
  <c r="J50" i="57"/>
  <c r="I50" i="57"/>
  <c r="L50" i="57" s="1"/>
  <c r="N49" i="57"/>
  <c r="M49" i="57"/>
  <c r="K49" i="57"/>
  <c r="J49" i="57"/>
  <c r="I49" i="57"/>
  <c r="L49" i="57" s="1"/>
  <c r="K48" i="57"/>
  <c r="N48" i="57" s="1"/>
  <c r="J48" i="57"/>
  <c r="M48" i="57" s="1"/>
  <c r="I48" i="57"/>
  <c r="L48" i="57" s="1"/>
  <c r="E67" i="30" s="1"/>
  <c r="N47" i="57"/>
  <c r="M47" i="57"/>
  <c r="F66" i="30" s="1"/>
  <c r="L47" i="57"/>
  <c r="E66" i="30" s="1"/>
  <c r="K66" i="30" s="1"/>
  <c r="K47" i="57"/>
  <c r="J47" i="57"/>
  <c r="I47" i="57"/>
  <c r="N46" i="57"/>
  <c r="J65" i="30" s="1"/>
  <c r="K46" i="57"/>
  <c r="J46" i="57"/>
  <c r="M46" i="57" s="1"/>
  <c r="I46" i="57"/>
  <c r="L46" i="57" s="1"/>
  <c r="E65" i="30" s="1"/>
  <c r="K65" i="30" s="1"/>
  <c r="M45" i="57"/>
  <c r="L45" i="57"/>
  <c r="E64" i="30" s="1"/>
  <c r="K64" i="30" s="1"/>
  <c r="K45" i="57"/>
  <c r="N45" i="57" s="1"/>
  <c r="J64" i="30" s="1"/>
  <c r="J45" i="57"/>
  <c r="I45" i="57"/>
  <c r="N44" i="57"/>
  <c r="M44" i="57"/>
  <c r="L44" i="57"/>
  <c r="K44" i="57"/>
  <c r="J44" i="57"/>
  <c r="I44" i="57"/>
  <c r="N43" i="57"/>
  <c r="M43" i="57"/>
  <c r="F62" i="30" s="1"/>
  <c r="K43" i="57"/>
  <c r="J43" i="57"/>
  <c r="I43" i="57"/>
  <c r="L43" i="57" s="1"/>
  <c r="E62" i="30" s="1"/>
  <c r="L42" i="57"/>
  <c r="E61" i="30" s="1"/>
  <c r="K42" i="57"/>
  <c r="N42" i="57" s="1"/>
  <c r="J42" i="57"/>
  <c r="M42" i="57" s="1"/>
  <c r="F61" i="30" s="1"/>
  <c r="I42" i="57"/>
  <c r="N41" i="57"/>
  <c r="L41" i="57"/>
  <c r="K41" i="57"/>
  <c r="J41" i="57"/>
  <c r="M41" i="57" s="1"/>
  <c r="I41" i="57"/>
  <c r="M40" i="57"/>
  <c r="F59" i="30" s="1"/>
  <c r="K40" i="57"/>
  <c r="N40" i="57" s="1"/>
  <c r="J40" i="57"/>
  <c r="I40" i="57"/>
  <c r="L40" i="57" s="1"/>
  <c r="E59" i="30" s="1"/>
  <c r="L39" i="57"/>
  <c r="K39" i="57"/>
  <c r="N39" i="57" s="1"/>
  <c r="J39" i="57"/>
  <c r="M39" i="57" s="1"/>
  <c r="F58" i="30" s="1"/>
  <c r="I39" i="57"/>
  <c r="L38" i="57"/>
  <c r="K38" i="57"/>
  <c r="N38" i="57" s="1"/>
  <c r="J57" i="30" s="1"/>
  <c r="J38" i="57"/>
  <c r="M38" i="57" s="1"/>
  <c r="I38" i="57"/>
  <c r="K37" i="57"/>
  <c r="N37" i="57" s="1"/>
  <c r="J37" i="57"/>
  <c r="M37" i="57" s="1"/>
  <c r="I37" i="57"/>
  <c r="L37" i="57" s="1"/>
  <c r="E56" i="30" s="1"/>
  <c r="K56" i="30" s="1"/>
  <c r="N36" i="57"/>
  <c r="J55" i="30" s="1"/>
  <c r="L36" i="57"/>
  <c r="K36" i="57"/>
  <c r="J36" i="57"/>
  <c r="M36" i="57" s="1"/>
  <c r="I36" i="57"/>
  <c r="K35" i="57"/>
  <c r="N35" i="57" s="1"/>
  <c r="J54" i="30" s="1"/>
  <c r="J35" i="57"/>
  <c r="M35" i="57" s="1"/>
  <c r="F54" i="30" s="1"/>
  <c r="I35" i="57"/>
  <c r="L35" i="57" s="1"/>
  <c r="E54" i="30" s="1"/>
  <c r="N34" i="57"/>
  <c r="M34" i="57"/>
  <c r="F53" i="30" s="1"/>
  <c r="K34" i="57"/>
  <c r="J34" i="57"/>
  <c r="I34" i="57"/>
  <c r="L34" i="57" s="1"/>
  <c r="E53" i="30" s="1"/>
  <c r="N33" i="57"/>
  <c r="J52" i="30" s="1"/>
  <c r="M33" i="57"/>
  <c r="K33" i="57"/>
  <c r="J33" i="57"/>
  <c r="I33" i="57"/>
  <c r="L33" i="57" s="1"/>
  <c r="E52" i="30" s="1"/>
  <c r="K52" i="30" s="1"/>
  <c r="K32" i="57"/>
  <c r="N32" i="57" s="1"/>
  <c r="J32" i="57"/>
  <c r="M32" i="57" s="1"/>
  <c r="F51" i="30" s="1"/>
  <c r="I32" i="57"/>
  <c r="L32" i="57" s="1"/>
  <c r="E51" i="30" s="1"/>
  <c r="N31" i="57"/>
  <c r="J50" i="30" s="1"/>
  <c r="M31" i="57"/>
  <c r="F50" i="30" s="1"/>
  <c r="L31" i="57"/>
  <c r="E50" i="30" s="1"/>
  <c r="K50" i="30" s="1"/>
  <c r="K31" i="57"/>
  <c r="J31" i="57"/>
  <c r="I31" i="57"/>
  <c r="N30" i="57"/>
  <c r="J49" i="30" s="1"/>
  <c r="K30" i="57"/>
  <c r="J30" i="57"/>
  <c r="M30" i="57" s="1"/>
  <c r="F49" i="30" s="1"/>
  <c r="I30" i="57"/>
  <c r="L30" i="57" s="1"/>
  <c r="M29" i="57"/>
  <c r="L29" i="57"/>
  <c r="E48" i="30" s="1"/>
  <c r="K48" i="30" s="1"/>
  <c r="K29" i="57"/>
  <c r="N29" i="57" s="1"/>
  <c r="J29" i="57"/>
  <c r="I29" i="57"/>
  <c r="N28" i="57"/>
  <c r="M28" i="57"/>
  <c r="L28" i="57"/>
  <c r="K28" i="57"/>
  <c r="J28" i="57"/>
  <c r="I28" i="57"/>
  <c r="N27" i="57"/>
  <c r="M27" i="57"/>
  <c r="F46" i="30" s="1"/>
  <c r="K27" i="57"/>
  <c r="J27" i="57"/>
  <c r="I27" i="57"/>
  <c r="L27" i="57" s="1"/>
  <c r="E46" i="30" s="1"/>
  <c r="L26" i="57"/>
  <c r="E45" i="30" s="1"/>
  <c r="K26" i="57"/>
  <c r="N26" i="57" s="1"/>
  <c r="J26" i="57"/>
  <c r="M26" i="57" s="1"/>
  <c r="F45" i="30" s="1"/>
  <c r="I26" i="57"/>
  <c r="N25" i="57"/>
  <c r="L25" i="57"/>
  <c r="K25" i="57"/>
  <c r="J25" i="57"/>
  <c r="M25" i="57" s="1"/>
  <c r="I25" i="57"/>
  <c r="N24" i="57"/>
  <c r="M24" i="57"/>
  <c r="F43" i="30" s="1"/>
  <c r="K24" i="57"/>
  <c r="J24" i="57"/>
  <c r="I24" i="57"/>
  <c r="L24" i="57" s="1"/>
  <c r="E43" i="30" s="1"/>
  <c r="K43" i="30" s="1"/>
  <c r="L23" i="57"/>
  <c r="K23" i="57"/>
  <c r="N23" i="57" s="1"/>
  <c r="J23" i="57"/>
  <c r="M23" i="57" s="1"/>
  <c r="F42" i="30" s="1"/>
  <c r="I23" i="57"/>
  <c r="L22" i="57"/>
  <c r="K22" i="57"/>
  <c r="N22" i="57" s="1"/>
  <c r="J41" i="30" s="1"/>
  <c r="J22" i="57"/>
  <c r="M22" i="57" s="1"/>
  <c r="I22" i="57"/>
  <c r="K21" i="57"/>
  <c r="N21" i="57" s="1"/>
  <c r="J33" i="30" s="1"/>
  <c r="J21" i="57"/>
  <c r="M21" i="57" s="1"/>
  <c r="I21" i="57"/>
  <c r="L21" i="57" s="1"/>
  <c r="N20" i="57"/>
  <c r="J32" i="30" s="1"/>
  <c r="L20" i="57"/>
  <c r="K20" i="57"/>
  <c r="J20" i="57"/>
  <c r="M20" i="57" s="1"/>
  <c r="F32" i="30" s="1"/>
  <c r="I20" i="57"/>
  <c r="L19" i="57"/>
  <c r="K19" i="57"/>
  <c r="N19" i="57" s="1"/>
  <c r="J31" i="30" s="1"/>
  <c r="J19" i="57"/>
  <c r="M19" i="57" s="1"/>
  <c r="F31" i="30" s="1"/>
  <c r="I19" i="57"/>
  <c r="N18" i="57"/>
  <c r="J30" i="30" s="1"/>
  <c r="M18" i="57"/>
  <c r="F30" i="30" s="1"/>
  <c r="K18" i="57"/>
  <c r="J18" i="57"/>
  <c r="I18" i="57"/>
  <c r="L18" i="57" s="1"/>
  <c r="AA16" i="57"/>
  <c r="N16" i="57"/>
  <c r="I21" i="40" s="1"/>
  <c r="AA15" i="57"/>
  <c r="U15" i="57"/>
  <c r="N15" i="57"/>
  <c r="M15" i="57"/>
  <c r="E19" i="40" s="1"/>
  <c r="U14" i="57"/>
  <c r="N14" i="57"/>
  <c r="M14" i="57"/>
  <c r="AA13" i="57"/>
  <c r="N13" i="57"/>
  <c r="M13" i="57"/>
  <c r="E17" i="40" s="1"/>
  <c r="AA12" i="57"/>
  <c r="N12" i="57"/>
  <c r="I16" i="40" s="1"/>
  <c r="M12" i="57"/>
  <c r="E16" i="40" s="1"/>
  <c r="AA11" i="57"/>
  <c r="N11" i="57"/>
  <c r="I15" i="40" s="1"/>
  <c r="M11" i="57"/>
  <c r="N3" i="57"/>
  <c r="C34" i="56"/>
  <c r="E32" i="56"/>
  <c r="C32" i="56"/>
  <c r="F5" i="37" s="1"/>
  <c r="C31" i="56"/>
  <c r="E30" i="56"/>
  <c r="C30" i="56"/>
  <c r="E29" i="56"/>
  <c r="C29" i="56"/>
  <c r="D5" i="44" s="1"/>
  <c r="C8" i="56"/>
  <c r="C7" i="56"/>
  <c r="E6" i="56"/>
  <c r="C6" i="56"/>
  <c r="E5" i="56"/>
  <c r="C5" i="56"/>
  <c r="C4" i="56"/>
  <c r="E3" i="56"/>
  <c r="C3" i="56"/>
  <c r="D5" i="40" s="1"/>
  <c r="C2" i="56"/>
  <c r="I53" i="55"/>
  <c r="H53" i="55"/>
  <c r="G53" i="55"/>
  <c r="J52" i="55"/>
  <c r="J45" i="55" s="1"/>
  <c r="I52" i="55"/>
  <c r="H52" i="55"/>
  <c r="G52" i="55"/>
  <c r="E32"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O9" i="51"/>
  <c r="S2" i="51" a="1"/>
  <c r="S2" i="51" s="1"/>
  <c r="G2" i="51"/>
  <c r="R10" i="50"/>
  <c r="P10" i="50" a="1"/>
  <c r="P10" i="50" s="1"/>
  <c r="F10" i="50"/>
  <c r="K8" i="50"/>
  <c r="J8" i="50"/>
  <c r="G8" i="50"/>
  <c r="E5" i="50"/>
  <c r="R2" i="50"/>
  <c r="P2" i="50" a="1"/>
  <c r="P2" i="50" s="1"/>
  <c r="F2" i="50"/>
  <c r="P9" i="49"/>
  <c r="N9" i="49" a="1"/>
  <c r="N9" i="49" s="1"/>
  <c r="E5" i="49"/>
  <c r="P2" i="49"/>
  <c r="N2" i="49" a="1"/>
  <c r="N2" i="49"/>
  <c r="F12" i="48"/>
  <c r="D6" i="48"/>
  <c r="D5" i="48"/>
  <c r="I14" i="45"/>
  <c r="G14" i="45"/>
  <c r="G11" i="45"/>
  <c r="G10" i="45"/>
  <c r="G9" i="45"/>
  <c r="D6" i="45"/>
  <c r="E13" i="44"/>
  <c r="H12" i="44"/>
  <c r="E12" i="44"/>
  <c r="E11" i="44"/>
  <c r="E10" i="44"/>
  <c r="D6" i="44"/>
  <c r="F489" i="43"/>
  <c r="F486" i="43"/>
  <c r="G459" i="43"/>
  <c r="G437" i="43"/>
  <c r="G412" i="43"/>
  <c r="M402" i="43"/>
  <c r="F401" i="43"/>
  <c r="G343" i="43"/>
  <c r="G329" i="43"/>
  <c r="G318" i="43"/>
  <c r="M308" i="43"/>
  <c r="F307" i="43"/>
  <c r="G301" i="43"/>
  <c r="G251" i="43"/>
  <c r="G249" i="43"/>
  <c r="G224" i="43"/>
  <c r="M214" i="43"/>
  <c r="F213" i="43"/>
  <c r="F177" i="43"/>
  <c r="G155" i="43"/>
  <c r="M120" i="43"/>
  <c r="F117" i="43"/>
  <c r="G59" i="43"/>
  <c r="M24" i="43"/>
  <c r="F23" i="43"/>
  <c r="G17" i="43"/>
  <c r="F17" i="43"/>
  <c r="G16" i="43"/>
  <c r="F16" i="43"/>
  <c r="E14" i="43"/>
  <c r="N7" i="43"/>
  <c r="N4" i="43"/>
  <c r="N1" i="43"/>
  <c r="E43" i="42"/>
  <c r="E39" i="42"/>
  <c r="E36" i="42"/>
  <c r="E33" i="42"/>
  <c r="E32" i="42"/>
  <c r="E28" i="42"/>
  <c r="E25" i="42"/>
  <c r="E24" i="42"/>
  <c r="D15" i="42"/>
  <c r="D14" i="42"/>
  <c r="G17" i="41"/>
  <c r="E16" i="41"/>
  <c r="G14" i="41"/>
  <c r="E13" i="41"/>
  <c r="E12" i="41"/>
  <c r="D6" i="41"/>
  <c r="D5" i="41"/>
  <c r="F21" i="40"/>
  <c r="I19" i="40"/>
  <c r="H19" i="40"/>
  <c r="G19" i="40"/>
  <c r="F19" i="40"/>
  <c r="I18" i="40"/>
  <c r="E18" i="40"/>
  <c r="I17" i="40"/>
  <c r="E15" i="40"/>
  <c r="H14" i="40"/>
  <c r="G14" i="40"/>
  <c r="G11" i="40"/>
  <c r="G10" i="40"/>
  <c r="G9" i="40"/>
  <c r="D6"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I38" i="38" s="1"/>
  <c r="H39" i="38"/>
  <c r="H36" i="38"/>
  <c r="H35" i="38"/>
  <c r="H34" i="38"/>
  <c r="H33" i="38"/>
  <c r="I32" i="38"/>
  <c r="H32" i="38" s="1"/>
  <c r="H31" i="38"/>
  <c r="H30" i="38"/>
  <c r="H29" i="38"/>
  <c r="I28" i="38"/>
  <c r="H28" i="38"/>
  <c r="H27" i="38"/>
  <c r="H26" i="38"/>
  <c r="H25" i="38"/>
  <c r="H24" i="38"/>
  <c r="H23" i="38"/>
  <c r="H22" i="38"/>
  <c r="H21" i="38"/>
  <c r="H20" i="38"/>
  <c r="H19" i="38"/>
  <c r="H18" i="38"/>
  <c r="H17" i="38"/>
  <c r="H16" i="38"/>
  <c r="I15" i="38"/>
  <c r="I36" i="38" s="1"/>
  <c r="H15" i="38"/>
  <c r="H11" i="38"/>
  <c r="F6" i="38"/>
  <c r="F5"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H16" i="32" s="1"/>
  <c r="I16" i="32"/>
  <c r="H12" i="32"/>
  <c r="H11" i="32"/>
  <c r="H10" i="32"/>
  <c r="E7" i="32"/>
  <c r="V20" i="31"/>
  <c r="Q20" i="31"/>
  <c r="V17" i="31"/>
  <c r="Q17" i="31"/>
  <c r="E6" i="31"/>
  <c r="E5" i="31"/>
  <c r="J130" i="30"/>
  <c r="F130" i="30"/>
  <c r="E129" i="30"/>
  <c r="J128" i="30"/>
  <c r="J127" i="30"/>
  <c r="E127" i="30"/>
  <c r="J126" i="30"/>
  <c r="F126" i="30"/>
  <c r="E126" i="30"/>
  <c r="J117" i="30"/>
  <c r="E117" i="30"/>
  <c r="E118" i="30" s="1"/>
  <c r="J116" i="30"/>
  <c r="J115" i="30"/>
  <c r="F115" i="30"/>
  <c r="E115" i="30"/>
  <c r="J114" i="30"/>
  <c r="E113" i="30"/>
  <c r="E112" i="30"/>
  <c r="E111" i="30"/>
  <c r="J110" i="30"/>
  <c r="F110" i="30"/>
  <c r="E110" i="30"/>
  <c r="E109" i="30"/>
  <c r="F107" i="30"/>
  <c r="E107" i="30"/>
  <c r="F106" i="30"/>
  <c r="E106" i="30"/>
  <c r="J104" i="30"/>
  <c r="F104" i="30"/>
  <c r="E104" i="30"/>
  <c r="J102" i="30"/>
  <c r="F102" i="30"/>
  <c r="J99" i="30"/>
  <c r="E99" i="30"/>
  <c r="E100" i="30" s="1"/>
  <c r="J98" i="30"/>
  <c r="F98" i="30"/>
  <c r="E98" i="30"/>
  <c r="J97" i="30"/>
  <c r="J96" i="30"/>
  <c r="J94" i="30"/>
  <c r="E94" i="30"/>
  <c r="J93" i="30"/>
  <c r="F92" i="30"/>
  <c r="E92" i="30"/>
  <c r="J91" i="30"/>
  <c r="E91" i="30"/>
  <c r="F90" i="30"/>
  <c r="E90" i="30"/>
  <c r="E89" i="30"/>
  <c r="F88" i="30"/>
  <c r="E88" i="30"/>
  <c r="J87" i="30"/>
  <c r="I87" i="30"/>
  <c r="H87" i="30"/>
  <c r="J86" i="30"/>
  <c r="E85" i="30"/>
  <c r="J84" i="30"/>
  <c r="E84" i="30"/>
  <c r="J83" i="30"/>
  <c r="F82" i="30"/>
  <c r="E82" i="30"/>
  <c r="J81" i="30"/>
  <c r="E81" i="30"/>
  <c r="J80" i="30"/>
  <c r="F80" i="30"/>
  <c r="E80" i="30"/>
  <c r="E79" i="30"/>
  <c r="J78" i="30"/>
  <c r="F78" i="30"/>
  <c r="E78" i="30"/>
  <c r="J77" i="30"/>
  <c r="F77" i="30"/>
  <c r="E76" i="30"/>
  <c r="E75" i="30"/>
  <c r="F74" i="30"/>
  <c r="E74" i="30"/>
  <c r="F73" i="30"/>
  <c r="E73" i="30"/>
  <c r="K70" i="30"/>
  <c r="E70" i="30"/>
  <c r="K69" i="30"/>
  <c r="I69" i="30"/>
  <c r="H69" i="30"/>
  <c r="F69" i="30"/>
  <c r="E69" i="30"/>
  <c r="J68" i="30"/>
  <c r="L68" i="30" s="1"/>
  <c r="F68" i="30"/>
  <c r="E68" i="30"/>
  <c r="K68" i="30" s="1"/>
  <c r="K67" i="30"/>
  <c r="J67" i="30"/>
  <c r="F67" i="30"/>
  <c r="J66" i="30"/>
  <c r="L66" i="30" s="1"/>
  <c r="F65" i="30"/>
  <c r="F64" i="30"/>
  <c r="J63" i="30"/>
  <c r="F63" i="30"/>
  <c r="E63" i="30"/>
  <c r="K63" i="30" s="1"/>
  <c r="K62" i="30"/>
  <c r="J62" i="30"/>
  <c r="K61" i="30"/>
  <c r="J61" i="30"/>
  <c r="K60" i="30"/>
  <c r="J60" i="30"/>
  <c r="F60" i="30"/>
  <c r="E60" i="30"/>
  <c r="K59" i="30"/>
  <c r="J59" i="30"/>
  <c r="J58" i="30"/>
  <c r="E58" i="30"/>
  <c r="K58" i="30" s="1"/>
  <c r="F57" i="30"/>
  <c r="E57" i="30"/>
  <c r="K57" i="30" s="1"/>
  <c r="J56" i="30"/>
  <c r="F56" i="30"/>
  <c r="F55" i="30"/>
  <c r="E55" i="30"/>
  <c r="K55" i="30" s="1"/>
  <c r="K54" i="30"/>
  <c r="K53" i="30"/>
  <c r="J53" i="30"/>
  <c r="F52" i="30"/>
  <c r="K51" i="30"/>
  <c r="J51" i="30"/>
  <c r="E49" i="30"/>
  <c r="K49" i="30" s="1"/>
  <c r="J48" i="30"/>
  <c r="F48" i="30"/>
  <c r="J47" i="30"/>
  <c r="F47" i="30"/>
  <c r="E47" i="30"/>
  <c r="K47" i="30" s="1"/>
  <c r="K46" i="30"/>
  <c r="J46" i="30"/>
  <c r="K45" i="30"/>
  <c r="J45" i="30"/>
  <c r="K44" i="30"/>
  <c r="J44" i="30"/>
  <c r="F44" i="30"/>
  <c r="E44" i="30"/>
  <c r="J43" i="30"/>
  <c r="J42" i="30"/>
  <c r="E42" i="30"/>
  <c r="K42" i="30" s="1"/>
  <c r="F41" i="30"/>
  <c r="E41" i="30"/>
  <c r="K41" i="30" s="1"/>
  <c r="K40" i="30"/>
  <c r="K39" i="30"/>
  <c r="K38" i="30"/>
  <c r="K37" i="30"/>
  <c r="K36" i="30"/>
  <c r="K35" i="30"/>
  <c r="K34" i="30"/>
  <c r="B34" i="30"/>
  <c r="K33" i="30"/>
  <c r="I33" i="30"/>
  <c r="H33" i="30"/>
  <c r="F33" i="30"/>
  <c r="E33" i="30"/>
  <c r="E32" i="30"/>
  <c r="K32" i="30" s="1"/>
  <c r="E31"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AN4" i="28"/>
  <c r="AC4" i="28"/>
  <c r="S4" i="28"/>
  <c r="I5" i="28" s="1"/>
  <c r="J6" i="28" s="1"/>
  <c r="K7" i="28" s="1"/>
  <c r="S7"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S7" i="25"/>
  <c r="AN6" i="25"/>
  <c r="S6" i="25"/>
  <c r="AN5" i="25"/>
  <c r="I5" i="25"/>
  <c r="J6" i="25" s="1"/>
  <c r="K7" i="25" s="1"/>
  <c r="AN4" i="25"/>
  <c r="AC4" i="25"/>
  <c r="S4" i="25"/>
  <c r="AN3" i="25"/>
  <c r="AC3" i="25"/>
  <c r="S3" i="25"/>
  <c r="AN2" i="25"/>
  <c r="AK2" i="25"/>
  <c r="AC2" i="25"/>
  <c r="S2" i="25"/>
  <c r="AN53" i="24"/>
  <c r="AN52" i="24"/>
  <c r="AN51" i="24"/>
  <c r="AN50" i="24"/>
  <c r="AN49" i="24"/>
  <c r="AN48" i="24"/>
  <c r="AN47" i="24"/>
  <c r="AE47" i="24"/>
  <c r="X47" i="24"/>
  <c r="AN46" i="24"/>
  <c r="AK46" i="24"/>
  <c r="AN45" i="24"/>
  <c r="AN44" i="24"/>
  <c r="I44" i="24"/>
  <c r="AN43" i="24"/>
  <c r="S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S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S6" i="22"/>
  <c r="J6" i="22"/>
  <c r="K7" i="22" s="1"/>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J45" i="20"/>
  <c r="AN44" i="20"/>
  <c r="AN43" i="20"/>
  <c r="AC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I44" i="19"/>
  <c r="S44" i="19" s="1"/>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S6" i="19"/>
  <c r="AN5" i="19"/>
  <c r="I5" i="19"/>
  <c r="J6" i="19" s="1"/>
  <c r="K7" i="19" s="1"/>
  <c r="S7"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BC145" i="17"/>
  <c r="BC144" i="17"/>
  <c r="BC143" i="17"/>
  <c r="BC142" i="17"/>
  <c r="BC141" i="17"/>
  <c r="BC140" i="17"/>
  <c r="BC139" i="17"/>
  <c r="BC137" i="17"/>
  <c r="AT137" i="17"/>
  <c r="AK137" i="17"/>
  <c r="AB137" i="17"/>
  <c r="BC135" i="17"/>
  <c r="BC134" i="17"/>
  <c r="BC133" i="17"/>
  <c r="BC132" i="17"/>
  <c r="BC131" i="17"/>
  <c r="AG131" i="17"/>
  <c r="BC130" i="17"/>
  <c r="BC129" i="17"/>
  <c r="BC128" i="17"/>
  <c r="BC127" i="17"/>
  <c r="BC126" i="17"/>
  <c r="BC125" i="17"/>
  <c r="BC124" i="17"/>
  <c r="BC123" i="17"/>
  <c r="BC121" i="17"/>
  <c r="AT121" i="17"/>
  <c r="AK121" i="17"/>
  <c r="AB121" i="17"/>
  <c r="BC119" i="17"/>
  <c r="BC118" i="17"/>
  <c r="BC117" i="17"/>
  <c r="BC116" i="17"/>
  <c r="AG116" i="17"/>
  <c r="BC115" i="17"/>
  <c r="BC114" i="17"/>
  <c r="BC113" i="17"/>
  <c r="AG113" i="17"/>
  <c r="BC112" i="17"/>
  <c r="BC111" i="17"/>
  <c r="BC110" i="17"/>
  <c r="BC109" i="17"/>
  <c r="BC108" i="17"/>
  <c r="BC107" i="17"/>
  <c r="BC105" i="17"/>
  <c r="AT105" i="17"/>
  <c r="AK105" i="17"/>
  <c r="AB105" i="17"/>
  <c r="BC103" i="17"/>
  <c r="BC102" i="17"/>
  <c r="BC101" i="17"/>
  <c r="BC100" i="17"/>
  <c r="BC99" i="17"/>
  <c r="AG99" i="17"/>
  <c r="BC98" i="17"/>
  <c r="BC97" i="17"/>
  <c r="BC96" i="17"/>
  <c r="BC95" i="17"/>
  <c r="BC94" i="17"/>
  <c r="BC93" i="17"/>
  <c r="BC92" i="17"/>
  <c r="BC91" i="17"/>
  <c r="BC89" i="17"/>
  <c r="AT89" i="17"/>
  <c r="AK89" i="17"/>
  <c r="AB89" i="17"/>
  <c r="BC87" i="17"/>
  <c r="BC86" i="17"/>
  <c r="BC85" i="17"/>
  <c r="BC84" i="17"/>
  <c r="BC83" i="17"/>
  <c r="BC82" i="17"/>
  <c r="U82" i="17"/>
  <c r="BC81" i="17"/>
  <c r="BC80" i="17"/>
  <c r="BC79" i="17"/>
  <c r="BC78" i="17"/>
  <c r="BC77" i="17"/>
  <c r="BC76" i="17"/>
  <c r="BC75" i="17"/>
  <c r="BC73" i="17"/>
  <c r="AT73" i="17"/>
  <c r="AK73" i="17"/>
  <c r="AB73" i="17"/>
  <c r="BC71" i="17"/>
  <c r="BC70" i="17"/>
  <c r="BC69" i="17"/>
  <c r="BC68" i="17"/>
  <c r="BC67" i="17"/>
  <c r="U67" i="17"/>
  <c r="BC66" i="17"/>
  <c r="BC65" i="17"/>
  <c r="U65" i="17"/>
  <c r="BC64" i="17"/>
  <c r="BC63" i="17"/>
  <c r="BC62" i="17"/>
  <c r="BC61" i="17"/>
  <c r="BC60" i="17"/>
  <c r="BC59" i="17"/>
  <c r="BC58" i="17"/>
  <c r="BC57" i="17"/>
  <c r="AT57" i="17"/>
  <c r="AK57" i="17"/>
  <c r="AB57" i="17"/>
  <c r="BC56" i="17"/>
  <c r="BC55" i="17"/>
  <c r="BC54" i="17"/>
  <c r="BC53" i="17"/>
  <c r="BC52" i="17"/>
  <c r="BC51" i="17"/>
  <c r="BC50" i="17"/>
  <c r="U50" i="17"/>
  <c r="BC49" i="17"/>
  <c r="AZ49" i="17"/>
  <c r="AG49" i="17"/>
  <c r="AS48" i="17"/>
  <c r="AT48" i="17" s="1"/>
  <c r="AU48" i="17" s="1"/>
  <c r="AV48" i="17" s="1"/>
  <c r="AX48" i="17" s="1"/>
  <c r="AY48" i="17" s="1"/>
  <c r="AZ48" i="17" s="1"/>
  <c r="AJ48" i="17"/>
  <c r="AK48" i="17" s="1"/>
  <c r="AL48" i="17" s="1"/>
  <c r="AM48" i="17" s="1"/>
  <c r="AO48" i="17" s="1"/>
  <c r="AP48" i="17" s="1"/>
  <c r="AA48" i="17"/>
  <c r="AB48" i="17" s="1"/>
  <c r="AC48" i="17" s="1"/>
  <c r="AD48" i="17" s="1"/>
  <c r="AF48" i="17" s="1"/>
  <c r="AG48" i="17" s="1"/>
  <c r="W48" i="17"/>
  <c r="X48" i="17" s="1"/>
  <c r="AP39" i="17"/>
  <c r="AG39" i="17"/>
  <c r="X39" i="17"/>
  <c r="AP38" i="17"/>
  <c r="AG38" i="17"/>
  <c r="X38" i="17"/>
  <c r="AP36" i="17"/>
  <c r="AG36" i="17"/>
  <c r="X36" i="17"/>
  <c r="AP35" i="17"/>
  <c r="AG35" i="17"/>
  <c r="X35" i="17"/>
  <c r="AP34" i="17"/>
  <c r="AG34" i="17"/>
  <c r="X34" i="17"/>
  <c r="AP33" i="17"/>
  <c r="AG33" i="17"/>
  <c r="X33" i="17"/>
  <c r="U31" i="17"/>
  <c r="U30" i="17"/>
  <c r="AK22" i="17"/>
  <c r="BC17" i="17"/>
  <c r="BC16" i="17"/>
  <c r="BC15" i="17"/>
  <c r="BC14" i="17"/>
  <c r="BC13" i="17"/>
  <c r="BC12" i="17"/>
  <c r="BC10" i="17"/>
  <c r="AT10" i="17"/>
  <c r="AK10" i="17"/>
  <c r="AB10" i="17"/>
  <c r="BC8" i="17"/>
  <c r="BC7" i="17"/>
  <c r="BC6" i="17"/>
  <c r="BC5" i="17"/>
  <c r="AG5" i="17"/>
  <c r="U5" i="17"/>
  <c r="I6" i="17" s="1"/>
  <c r="J7" i="17" s="1"/>
  <c r="BC4" i="17"/>
  <c r="AG4" i="17"/>
  <c r="U4" i="17"/>
  <c r="BC3" i="17"/>
  <c r="AG3" i="17"/>
  <c r="U3" i="17"/>
  <c r="BC2" i="17"/>
  <c r="AG2" i="17"/>
  <c r="U2" i="17"/>
  <c r="AP57" i="16"/>
  <c r="AP56" i="16"/>
  <c r="AP55" i="16"/>
  <c r="AP54" i="16"/>
  <c r="AP53" i="16"/>
  <c r="AP52" i="16"/>
  <c r="AP51" i="16"/>
  <c r="AP50" i="16"/>
  <c r="AG50" i="16"/>
  <c r="Y50" i="16"/>
  <c r="AP49" i="16"/>
  <c r="AP48" i="16"/>
  <c r="AP47" i="16"/>
  <c r="AP46" i="16"/>
  <c r="AP45" i="16"/>
  <c r="AD45" i="16"/>
  <c r="AP44" i="16"/>
  <c r="AD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J48" i="15"/>
  <c r="AX47" i="15"/>
  <c r="AX46" i="15"/>
  <c r="AX45" i="15"/>
  <c r="AX44" i="15"/>
  <c r="AX43" i="15"/>
  <c r="AU43" i="15"/>
  <c r="AO42" i="15"/>
  <c r="AP42" i="15" s="1"/>
  <c r="AQ42" i="15" s="1"/>
  <c r="AS42" i="15" s="1"/>
  <c r="AT42" i="15" s="1"/>
  <c r="AU42" i="15" s="1"/>
  <c r="AN42" i="15"/>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J7" i="15" s="1"/>
  <c r="AX4" i="15"/>
  <c r="AD4" i="15"/>
  <c r="S4" i="15"/>
  <c r="AX3" i="15"/>
  <c r="AD3" i="15"/>
  <c r="S3" i="15"/>
  <c r="AX2" i="15"/>
  <c r="AD2" i="15"/>
  <c r="S2" i="15"/>
  <c r="AX95" i="14"/>
  <c r="AX94" i="14"/>
  <c r="AX93" i="14"/>
  <c r="AX92" i="14"/>
  <c r="AX91" i="14"/>
  <c r="AX90" i="14"/>
  <c r="AX89" i="14"/>
  <c r="AX88" i="14"/>
  <c r="AO88" i="14"/>
  <c r="AG88" i="14"/>
  <c r="Y88" i="14"/>
  <c r="AX87" i="14"/>
  <c r="AX86" i="14"/>
  <c r="AX85" i="14"/>
  <c r="I85" i="14"/>
  <c r="J86" i="14" s="1"/>
  <c r="AX84" i="14"/>
  <c r="S84" i="14"/>
  <c r="AX83" i="14"/>
  <c r="S83" i="14"/>
  <c r="AX82" i="14"/>
  <c r="AX81" i="14"/>
  <c r="AX80" i="14"/>
  <c r="AX79" i="14"/>
  <c r="AX78" i="14"/>
  <c r="AX77" i="14"/>
  <c r="AX76" i="14"/>
  <c r="AO76" i="14"/>
  <c r="AG76" i="14"/>
  <c r="Y76" i="14"/>
  <c r="AX75" i="14"/>
  <c r="AX74" i="14"/>
  <c r="AX73" i="14"/>
  <c r="AX72" i="14"/>
  <c r="S72" i="14"/>
  <c r="I73" i="14" s="1"/>
  <c r="J74" i="14" s="1"/>
  <c r="AX71" i="14"/>
  <c r="AD71" i="14"/>
  <c r="S71" i="14"/>
  <c r="AX70" i="14"/>
  <c r="AX69" i="14"/>
  <c r="S69" i="14"/>
  <c r="AX68" i="14"/>
  <c r="AX67" i="14"/>
  <c r="AX66" i="14"/>
  <c r="AX65" i="14"/>
  <c r="AX64" i="14"/>
  <c r="AX63" i="14"/>
  <c r="AX62" i="14"/>
  <c r="AO62" i="14"/>
  <c r="AG62" i="14"/>
  <c r="Y62" i="14"/>
  <c r="AX61" i="14"/>
  <c r="AX60" i="14"/>
  <c r="AX59" i="14"/>
  <c r="AX58" i="14"/>
  <c r="AX57" i="14"/>
  <c r="AD57" i="14"/>
  <c r="AX56" i="14"/>
  <c r="AX55" i="14"/>
  <c r="AX54" i="14"/>
  <c r="AX53" i="14"/>
  <c r="AX52" i="14"/>
  <c r="AX51" i="14"/>
  <c r="AX50" i="14"/>
  <c r="AO50" i="14"/>
  <c r="AG50" i="14"/>
  <c r="Y50" i="14"/>
  <c r="AX49" i="14"/>
  <c r="AX48" i="14"/>
  <c r="AX47" i="14"/>
  <c r="AX46" i="14"/>
  <c r="AD46" i="14"/>
  <c r="AX45" i="14"/>
  <c r="AX44" i="14"/>
  <c r="S44" i="14"/>
  <c r="AX43" i="14"/>
  <c r="AU43" i="14"/>
  <c r="AN42" i="14"/>
  <c r="AO42" i="14" s="1"/>
  <c r="AP42" i="14" s="1"/>
  <c r="AQ42" i="14" s="1"/>
  <c r="AS42" i="14" s="1"/>
  <c r="AT42" i="14" s="1"/>
  <c r="AU42" i="14" s="1"/>
  <c r="AG42" i="14"/>
  <c r="AH42" i="14" s="1"/>
  <c r="AI42" i="14" s="1"/>
  <c r="AK42" i="14" s="1"/>
  <c r="AL42" i="14" s="1"/>
  <c r="AF42" i="14"/>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K8" i="14"/>
  <c r="S8" i="14" s="1"/>
  <c r="AX7" i="14"/>
  <c r="J7" i="14"/>
  <c r="S7" i="14" s="1"/>
  <c r="AX6" i="14"/>
  <c r="I6" i="14"/>
  <c r="AX5" i="14"/>
  <c r="AD5" i="14"/>
  <c r="S5" i="14"/>
  <c r="AX4" i="14"/>
  <c r="AD4" i="14"/>
  <c r="S4" i="14"/>
  <c r="AX3" i="14"/>
  <c r="AD3" i="14"/>
  <c r="S3" i="14"/>
  <c r="AX2" i="14"/>
  <c r="AD2" i="14"/>
  <c r="S2" i="14"/>
  <c r="AP81" i="13"/>
  <c r="AP80" i="13"/>
  <c r="AP79" i="13"/>
  <c r="AP78" i="13"/>
  <c r="AP77" i="13"/>
  <c r="AP76" i="13"/>
  <c r="AP75" i="13"/>
  <c r="AP74" i="13"/>
  <c r="AG74" i="13"/>
  <c r="Y74" i="13"/>
  <c r="AP73" i="13"/>
  <c r="AP72" i="13"/>
  <c r="AP71" i="13"/>
  <c r="AP70" i="13"/>
  <c r="AP69" i="13"/>
  <c r="AD69" i="13"/>
  <c r="AP68" i="13"/>
  <c r="AP67" i="13"/>
  <c r="AP66" i="13"/>
  <c r="AP65" i="13"/>
  <c r="AP64" i="13"/>
  <c r="AP63" i="13"/>
  <c r="AP62" i="13"/>
  <c r="AG62" i="13"/>
  <c r="Y62" i="13"/>
  <c r="AP61" i="13"/>
  <c r="AP60" i="13"/>
  <c r="AP59" i="13"/>
  <c r="AP58" i="13"/>
  <c r="AP57" i="13"/>
  <c r="S57" i="13"/>
  <c r="AP56" i="13"/>
  <c r="AP55" i="13"/>
  <c r="AP54" i="13"/>
  <c r="AP53" i="13"/>
  <c r="AP52" i="13"/>
  <c r="AP51" i="13"/>
  <c r="AP50" i="13"/>
  <c r="AG50" i="13"/>
  <c r="Y50" i="13"/>
  <c r="AP49" i="13"/>
  <c r="AP48" i="13"/>
  <c r="AP47" i="13"/>
  <c r="AP46" i="13"/>
  <c r="AD46" i="13"/>
  <c r="S46" i="13"/>
  <c r="I47" i="13" s="1"/>
  <c r="AP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J7" i="13"/>
  <c r="K8" i="13" s="1"/>
  <c r="S8" i="13" s="1"/>
  <c r="AP6" i="13"/>
  <c r="S6" i="13"/>
  <c r="AP5" i="13"/>
  <c r="AD5" i="13"/>
  <c r="S5" i="13"/>
  <c r="I6" i="13" s="1"/>
  <c r="AP4" i="13"/>
  <c r="AD4" i="13"/>
  <c r="S4" i="13"/>
  <c r="AP3" i="13"/>
  <c r="AD3" i="13"/>
  <c r="S3" i="13"/>
  <c r="AP2" i="13"/>
  <c r="AD2" i="13"/>
  <c r="S2" i="13"/>
  <c r="AX113" i="12"/>
  <c r="AX112" i="12"/>
  <c r="AX111" i="12"/>
  <c r="AX110" i="12"/>
  <c r="AX109" i="12"/>
  <c r="AX108" i="12"/>
  <c r="AX107" i="12"/>
  <c r="AX106" i="12"/>
  <c r="AO106" i="12"/>
  <c r="AG106" i="12"/>
  <c r="Y106" i="12"/>
  <c r="AX105" i="12"/>
  <c r="AX104" i="12"/>
  <c r="AX103" i="12"/>
  <c r="I103" i="12"/>
  <c r="AX102" i="12"/>
  <c r="S102" i="12"/>
  <c r="AX101" i="12"/>
  <c r="S101" i="12"/>
  <c r="AX100" i="12"/>
  <c r="AX99" i="12"/>
  <c r="AX98" i="12"/>
  <c r="AX97" i="12"/>
  <c r="AX96" i="12"/>
  <c r="AX95" i="12"/>
  <c r="AX94" i="12"/>
  <c r="AX93" i="12"/>
  <c r="AX92" i="12"/>
  <c r="AO92" i="12"/>
  <c r="AG92" i="12"/>
  <c r="Y92" i="12"/>
  <c r="AX91" i="12"/>
  <c r="AX90" i="12"/>
  <c r="AX89" i="12"/>
  <c r="AX88" i="12"/>
  <c r="AD88" i="12"/>
  <c r="S88" i="12"/>
  <c r="I89" i="12" s="1"/>
  <c r="AX87" i="12"/>
  <c r="AX86" i="12"/>
  <c r="AX85" i="12"/>
  <c r="AD85" i="12"/>
  <c r="AX84" i="12"/>
  <c r="AX83" i="12"/>
  <c r="AX82" i="12"/>
  <c r="AX81" i="12"/>
  <c r="AX80" i="12"/>
  <c r="AX79" i="12"/>
  <c r="AX78" i="12"/>
  <c r="AO78" i="12"/>
  <c r="AG78" i="12"/>
  <c r="Y78" i="12"/>
  <c r="AX77" i="12"/>
  <c r="AX76" i="12"/>
  <c r="AX75" i="12"/>
  <c r="AX74" i="12"/>
  <c r="AX73" i="12"/>
  <c r="AD73" i="12"/>
  <c r="S73" i="12"/>
  <c r="AX72" i="12"/>
  <c r="AX71" i="12"/>
  <c r="AX70" i="12"/>
  <c r="AX69" i="12"/>
  <c r="AX68" i="12"/>
  <c r="AX67" i="12"/>
  <c r="AX66" i="12"/>
  <c r="AX65" i="12"/>
  <c r="AX64" i="12"/>
  <c r="AO64" i="12"/>
  <c r="AG64" i="12"/>
  <c r="Y64" i="12"/>
  <c r="AX63" i="12"/>
  <c r="AX62" i="12"/>
  <c r="AX61" i="12"/>
  <c r="AX60" i="12"/>
  <c r="AD60" i="12"/>
  <c r="AX59" i="12"/>
  <c r="AX58" i="12"/>
  <c r="S58" i="12"/>
  <c r="AX57" i="12"/>
  <c r="AD57" i="12"/>
  <c r="AX56" i="12"/>
  <c r="AX55" i="12"/>
  <c r="AX54" i="12"/>
  <c r="AX53" i="12"/>
  <c r="AX52" i="12"/>
  <c r="AX51" i="12"/>
  <c r="AX50" i="12"/>
  <c r="AO50" i="12"/>
  <c r="AG50" i="12"/>
  <c r="Y50" i="12"/>
  <c r="AX49" i="12"/>
  <c r="AX48" i="12"/>
  <c r="AX47" i="12"/>
  <c r="AX46" i="12"/>
  <c r="S46" i="12"/>
  <c r="I47" i="12" s="1"/>
  <c r="AX45" i="12"/>
  <c r="AX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S7" i="12"/>
  <c r="AX6" i="12"/>
  <c r="S6" i="12"/>
  <c r="I6" i="12"/>
  <c r="J7" i="12" s="1"/>
  <c r="K8" i="12" s="1"/>
  <c r="S8" i="12" s="1"/>
  <c r="AX5" i="12"/>
  <c r="AD5" i="12"/>
  <c r="S5" i="12"/>
  <c r="AX4" i="12"/>
  <c r="AD4" i="12"/>
  <c r="S4" i="12"/>
  <c r="AX3" i="12"/>
  <c r="AD3" i="12"/>
  <c r="S3" i="12"/>
  <c r="AX2" i="12"/>
  <c r="AD2" i="12"/>
  <c r="S2" i="12"/>
  <c r="AX181" i="11"/>
  <c r="AX180" i="11"/>
  <c r="AX179" i="11"/>
  <c r="AX178" i="11"/>
  <c r="AX177" i="11"/>
  <c r="AX176" i="11"/>
  <c r="AX175" i="11"/>
  <c r="AX174" i="11"/>
  <c r="AO174" i="11"/>
  <c r="AG174" i="11"/>
  <c r="Y174" i="11"/>
  <c r="AX173" i="11"/>
  <c r="AX172" i="11"/>
  <c r="AX171" i="11"/>
  <c r="AX170" i="11"/>
  <c r="AX169" i="11"/>
  <c r="AD169" i="11"/>
  <c r="S169" i="11"/>
  <c r="AX168" i="11"/>
  <c r="AX167" i="11"/>
  <c r="AX166" i="11"/>
  <c r="AX165" i="11"/>
  <c r="AX164" i="11"/>
  <c r="AX163" i="11"/>
  <c r="AX162" i="11"/>
  <c r="AX161" i="11"/>
  <c r="AX160" i="11"/>
  <c r="AO160" i="11"/>
  <c r="AG160" i="11"/>
  <c r="Y160" i="11"/>
  <c r="AX159" i="11"/>
  <c r="AX158" i="11"/>
  <c r="AX157" i="11"/>
  <c r="AX156" i="11"/>
  <c r="AX155" i="11"/>
  <c r="S155" i="11"/>
  <c r="AX154" i="11"/>
  <c r="AX153" i="11"/>
  <c r="AX152" i="11"/>
  <c r="AX151" i="11"/>
  <c r="AX150" i="11"/>
  <c r="AX149" i="11"/>
  <c r="AX148" i="11"/>
  <c r="AX147" i="11"/>
  <c r="AX146" i="11"/>
  <c r="AO146" i="11"/>
  <c r="AG146" i="11"/>
  <c r="Y146" i="11"/>
  <c r="AX145" i="11"/>
  <c r="AX144" i="11"/>
  <c r="AX143" i="11"/>
  <c r="AX142" i="11"/>
  <c r="AX141" i="11"/>
  <c r="S141" i="11"/>
  <c r="AX140" i="11"/>
  <c r="S140" i="11"/>
  <c r="AX139" i="11"/>
  <c r="AD139" i="11"/>
  <c r="S139" i="11"/>
  <c r="AX138" i="11"/>
  <c r="AX137" i="11"/>
  <c r="AX136" i="11"/>
  <c r="AX135" i="11"/>
  <c r="AX134" i="11"/>
  <c r="AX133" i="11"/>
  <c r="AX132" i="11"/>
  <c r="AO132" i="11"/>
  <c r="AG132" i="11"/>
  <c r="Y132" i="11"/>
  <c r="AX131" i="11"/>
  <c r="AX130" i="11"/>
  <c r="AX129" i="11"/>
  <c r="AX128" i="11"/>
  <c r="AX127" i="11"/>
  <c r="AD127" i="11"/>
  <c r="S127" i="11"/>
  <c r="AX126" i="11"/>
  <c r="AX125" i="11"/>
  <c r="AD125" i="11"/>
  <c r="S125" i="11"/>
  <c r="AX124" i="11"/>
  <c r="AX123" i="11"/>
  <c r="AX122" i="11"/>
  <c r="AX121" i="11"/>
  <c r="AX120" i="11"/>
  <c r="AX119" i="11"/>
  <c r="AX118" i="11"/>
  <c r="AO118" i="11"/>
  <c r="AG118" i="11"/>
  <c r="Y118" i="11"/>
  <c r="AX117" i="11"/>
  <c r="AX116" i="11"/>
  <c r="AX115" i="11"/>
  <c r="I115" i="11"/>
  <c r="J116" i="11" s="1"/>
  <c r="AX114" i="11"/>
  <c r="S114" i="11"/>
  <c r="AX113" i="11"/>
  <c r="AX112" i="11"/>
  <c r="AX111" i="11"/>
  <c r="AX110" i="11"/>
  <c r="AX109" i="11"/>
  <c r="AX108" i="11"/>
  <c r="AX107" i="11"/>
  <c r="AX106" i="11"/>
  <c r="AX105" i="11"/>
  <c r="AX104" i="11"/>
  <c r="AO104" i="11"/>
  <c r="AG104" i="11"/>
  <c r="Y104" i="11"/>
  <c r="AX103" i="11"/>
  <c r="AX102" i="11"/>
  <c r="AX101" i="11"/>
  <c r="AX100" i="11"/>
  <c r="S100" i="11"/>
  <c r="I101" i="11" s="1"/>
  <c r="AX99" i="11"/>
  <c r="AD99" i="11"/>
  <c r="AX98" i="11"/>
  <c r="AX97" i="11"/>
  <c r="AX96" i="11"/>
  <c r="AX95" i="11"/>
  <c r="AX94" i="11"/>
  <c r="AX93" i="11"/>
  <c r="AX92" i="11"/>
  <c r="AX91" i="11"/>
  <c r="AX90" i="11"/>
  <c r="AO90" i="11"/>
  <c r="AG90" i="11"/>
  <c r="Y90" i="11"/>
  <c r="AX89" i="11"/>
  <c r="AX88" i="11"/>
  <c r="AX87" i="11"/>
  <c r="AX86" i="11"/>
  <c r="S86" i="11"/>
  <c r="I87" i="11" s="1"/>
  <c r="AX85" i="11"/>
  <c r="AD85" i="11"/>
  <c r="AX84" i="11"/>
  <c r="AX83" i="11"/>
  <c r="S83" i="11"/>
  <c r="AX82" i="11"/>
  <c r="AX81" i="11"/>
  <c r="AX80" i="11"/>
  <c r="AX79" i="11"/>
  <c r="AX78" i="11"/>
  <c r="AX77" i="11"/>
  <c r="AX76" i="11"/>
  <c r="AO76" i="11"/>
  <c r="AG76" i="11"/>
  <c r="Y76" i="11"/>
  <c r="AX75" i="11"/>
  <c r="AX74" i="11"/>
  <c r="AX73" i="11"/>
  <c r="AX72" i="11"/>
  <c r="AX71" i="11"/>
  <c r="AD71" i="11"/>
  <c r="AX70" i="11"/>
  <c r="S70" i="11"/>
  <c r="AX69" i="11"/>
  <c r="S69" i="11"/>
  <c r="AX68" i="11"/>
  <c r="AX67" i="11"/>
  <c r="AX66" i="11"/>
  <c r="AX65" i="11"/>
  <c r="AX64" i="11"/>
  <c r="AX63" i="11"/>
  <c r="AX62" i="11"/>
  <c r="AO62" i="11"/>
  <c r="AG62" i="11"/>
  <c r="Y62" i="11"/>
  <c r="AX61" i="11"/>
  <c r="AX60" i="11"/>
  <c r="AX59" i="11"/>
  <c r="AX58" i="11"/>
  <c r="AX57" i="11"/>
  <c r="AD57" i="11"/>
  <c r="AX56" i="11"/>
  <c r="S56" i="11"/>
  <c r="AX55" i="11"/>
  <c r="AX54" i="11"/>
  <c r="AX53" i="11"/>
  <c r="AX52" i="11"/>
  <c r="AX51" i="11"/>
  <c r="AX50" i="11"/>
  <c r="AO50" i="11"/>
  <c r="AG50" i="11"/>
  <c r="Y50" i="11"/>
  <c r="AX49" i="11"/>
  <c r="AX48" i="11"/>
  <c r="AX47" i="11"/>
  <c r="AX46" i="11"/>
  <c r="AD46" i="11"/>
  <c r="AX45" i="11"/>
  <c r="AD45" i="11"/>
  <c r="AX44" i="11"/>
  <c r="S44" i="11"/>
  <c r="AX43" i="11"/>
  <c r="AU43" i="11"/>
  <c r="S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J7" i="11" s="1"/>
  <c r="AX5" i="11"/>
  <c r="AD5" i="11"/>
  <c r="S5" i="11"/>
  <c r="AX4" i="11"/>
  <c r="AD4" i="11"/>
  <c r="S4" i="11"/>
  <c r="AX3" i="11"/>
  <c r="AD3" i="11"/>
  <c r="S3" i="11"/>
  <c r="AX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D34" i="7"/>
  <c r="G33" i="7"/>
  <c r="E33" i="7"/>
  <c r="E32" i="7"/>
  <c r="D32" i="7"/>
  <c r="D33" i="7" s="1"/>
  <c r="A32" i="7"/>
  <c r="G28" i="7"/>
  <c r="G27" i="7"/>
  <c r="G26" i="7"/>
  <c r="E18" i="7"/>
  <c r="G17" i="7"/>
  <c r="E17" i="7"/>
  <c r="G16" i="7"/>
  <c r="E16" i="7"/>
  <c r="F15" i="7"/>
  <c r="F14" i="7"/>
  <c r="G13" i="7"/>
  <c r="E13" i="7"/>
  <c r="E12" i="7"/>
  <c r="F11" i="7"/>
  <c r="D5" i="7"/>
  <c r="D4" i="7"/>
  <c r="D5" i="6"/>
  <c r="AQ203" i="5"/>
  <c r="AP203" i="5"/>
  <c r="S48" i="26" s="1"/>
  <c r="K52" i="26" s="1"/>
  <c r="S52" i="26" s="1"/>
  <c r="AO203" i="5"/>
  <c r="S47" i="26" s="1"/>
  <c r="AN203" i="5"/>
  <c r="S46" i="26" s="1"/>
  <c r="AM203" i="5"/>
  <c r="AL203" i="5"/>
  <c r="AD48" i="26" s="1"/>
  <c r="AK203" i="5"/>
  <c r="AD47" i="26" s="1"/>
  <c r="AJ203" i="5"/>
  <c r="AI203" i="5"/>
  <c r="AH203" i="5"/>
  <c r="AQ198" i="5"/>
  <c r="AP198" i="5"/>
  <c r="S43" i="25" s="1"/>
  <c r="I44" i="25" s="1"/>
  <c r="AO198" i="5"/>
  <c r="S42" i="25" s="1"/>
  <c r="AN198" i="5"/>
  <c r="S41" i="25" s="1"/>
  <c r="AM198" i="5"/>
  <c r="AL198" i="5"/>
  <c r="AC43" i="25" s="1"/>
  <c r="AK198" i="5"/>
  <c r="AC42" i="25" s="1"/>
  <c r="AJ198" i="5"/>
  <c r="G489" i="43" s="1"/>
  <c r="AI198" i="5"/>
  <c r="AH198" i="5"/>
  <c r="F301" i="43" s="1"/>
  <c r="AQ193" i="5"/>
  <c r="AP193" i="5"/>
  <c r="AO193" i="5"/>
  <c r="AN193" i="5"/>
  <c r="S41" i="24" s="1"/>
  <c r="AM193" i="5"/>
  <c r="AL193" i="5"/>
  <c r="AC43" i="24" s="1"/>
  <c r="AK193" i="5"/>
  <c r="AC42" i="24" s="1"/>
  <c r="AJ193" i="5"/>
  <c r="G298" i="43" s="1"/>
  <c r="AI193" i="5"/>
  <c r="AH193" i="5"/>
  <c r="F108" i="43" s="1"/>
  <c r="AQ187" i="5"/>
  <c r="AP187" i="5"/>
  <c r="AO187" i="5"/>
  <c r="S47" i="29" s="1"/>
  <c r="AN187" i="5"/>
  <c r="S46" i="29" s="1"/>
  <c r="AM187" i="5"/>
  <c r="AL187" i="5"/>
  <c r="AD48" i="29" s="1"/>
  <c r="AK187" i="5"/>
  <c r="AD47" i="29" s="1"/>
  <c r="AJ187" i="5"/>
  <c r="G105" i="43" s="1"/>
  <c r="AI187" i="5"/>
  <c r="AH187" i="5"/>
  <c r="AQ182" i="5"/>
  <c r="AP182" i="5"/>
  <c r="AO182" i="5"/>
  <c r="AN182" i="5"/>
  <c r="AM182" i="5"/>
  <c r="AL182" i="5"/>
  <c r="AK182" i="5"/>
  <c r="AJ182" i="5"/>
  <c r="G198" i="43" s="1"/>
  <c r="AI182" i="5"/>
  <c r="AH182" i="5"/>
  <c r="F198" i="43" s="1"/>
  <c r="AQ177" i="5"/>
  <c r="AP177" i="5"/>
  <c r="S43" i="28" s="1"/>
  <c r="I44" i="28" s="1"/>
  <c r="AO177" i="5"/>
  <c r="S42" i="28" s="1"/>
  <c r="AN177" i="5"/>
  <c r="S41" i="28" s="1"/>
  <c r="AM177" i="5"/>
  <c r="AL177" i="5"/>
  <c r="AK177" i="5"/>
  <c r="AC42" i="27" s="1"/>
  <c r="AJ177" i="5"/>
  <c r="AI177" i="5"/>
  <c r="AH177" i="5"/>
  <c r="AQ171" i="5"/>
  <c r="AP171" i="5"/>
  <c r="S48" i="23" s="1"/>
  <c r="K52" i="23" s="1"/>
  <c r="S52" i="23" s="1"/>
  <c r="AO171" i="5"/>
  <c r="S47" i="23" s="1"/>
  <c r="AN171" i="5"/>
  <c r="AM171" i="5"/>
  <c r="AL171" i="5"/>
  <c r="AD48" i="23" s="1"/>
  <c r="AK171" i="5"/>
  <c r="AD47" i="23" s="1"/>
  <c r="AJ171" i="5"/>
  <c r="AI171" i="5"/>
  <c r="AH171" i="5"/>
  <c r="AQ166" i="5"/>
  <c r="AP166" i="5"/>
  <c r="S43" i="22" s="1"/>
  <c r="I44" i="22" s="1"/>
  <c r="J45" i="22" s="1"/>
  <c r="AO166" i="5"/>
  <c r="S42" i="22" s="1"/>
  <c r="AN166" i="5"/>
  <c r="S41" i="22" s="1"/>
  <c r="AM166" i="5"/>
  <c r="AL166" i="5"/>
  <c r="AC43" i="22" s="1"/>
  <c r="AK166" i="5"/>
  <c r="AC42" i="22" s="1"/>
  <c r="AJ166" i="5"/>
  <c r="G189" i="43" s="1"/>
  <c r="AI166" i="5"/>
  <c r="AH166" i="5"/>
  <c r="F283" i="43" s="1"/>
  <c r="AQ161" i="5"/>
  <c r="AP161" i="5"/>
  <c r="S43" i="21" s="1"/>
  <c r="I44" i="21" s="1"/>
  <c r="AO161" i="5"/>
  <c r="AN161" i="5"/>
  <c r="S41" i="21" s="1"/>
  <c r="AM161" i="5"/>
  <c r="AL161" i="5"/>
  <c r="AC43" i="21" s="1"/>
  <c r="AK161" i="5"/>
  <c r="AC42" i="21" s="1"/>
  <c r="AJ161" i="5"/>
  <c r="G280" i="43" s="1"/>
  <c r="AI161" i="5"/>
  <c r="AH161" i="5"/>
  <c r="F280" i="43" s="1"/>
  <c r="AQ156" i="5"/>
  <c r="AP156" i="5"/>
  <c r="S43" i="20" s="1"/>
  <c r="I44" i="20" s="1"/>
  <c r="S44" i="20" s="1"/>
  <c r="AO156" i="5"/>
  <c r="S42" i="20" s="1"/>
  <c r="AN156" i="5"/>
  <c r="AM156" i="5"/>
  <c r="AL156" i="5"/>
  <c r="AK156" i="5"/>
  <c r="AC42" i="20" s="1"/>
  <c r="AJ156" i="5"/>
  <c r="AI156" i="5"/>
  <c r="AH156" i="5"/>
  <c r="AQ151" i="5"/>
  <c r="AP151" i="5"/>
  <c r="S43" i="19" s="1"/>
  <c r="AO151" i="5"/>
  <c r="S42" i="19" s="1"/>
  <c r="AN151" i="5"/>
  <c r="S41" i="19" s="1"/>
  <c r="AM151" i="5"/>
  <c r="AL151" i="5"/>
  <c r="AC43" i="19" s="1"/>
  <c r="AK151" i="5"/>
  <c r="AC42" i="19" s="1"/>
  <c r="AJ151" i="5"/>
  <c r="G368" i="43" s="1"/>
  <c r="AI151" i="5"/>
  <c r="AH151" i="5"/>
  <c r="F180" i="43" s="1"/>
  <c r="AQ135" i="5"/>
  <c r="AP135" i="5"/>
  <c r="S47" i="18" s="1"/>
  <c r="AO135" i="5"/>
  <c r="S46" i="18" s="1"/>
  <c r="AN135" i="5"/>
  <c r="S45" i="18" s="1"/>
  <c r="AM135" i="5"/>
  <c r="AL135" i="5"/>
  <c r="AB47" i="18" s="1"/>
  <c r="AK135" i="5"/>
  <c r="AB46" i="18" s="1"/>
  <c r="AJ135" i="5"/>
  <c r="G177" i="43" s="1"/>
  <c r="AI135" i="5"/>
  <c r="AH135" i="5"/>
  <c r="F459" i="43" s="1"/>
  <c r="AQ130" i="5"/>
  <c r="S70" i="13" s="1"/>
  <c r="I71" i="13" s="1"/>
  <c r="AP130" i="5"/>
  <c r="S69" i="13" s="1"/>
  <c r="AO130" i="5"/>
  <c r="S68" i="13" s="1"/>
  <c r="AN130" i="5"/>
  <c r="AM130" i="5"/>
  <c r="AD70" i="13" s="1"/>
  <c r="AL130" i="5"/>
  <c r="AJ130" i="5"/>
  <c r="AH130" i="5"/>
  <c r="AQ127" i="5"/>
  <c r="S58" i="13" s="1"/>
  <c r="I59" i="13" s="1"/>
  <c r="AP127" i="5"/>
  <c r="AO127" i="5"/>
  <c r="S56" i="13" s="1"/>
  <c r="AN127" i="5"/>
  <c r="AM127" i="5"/>
  <c r="AD58" i="13" s="1"/>
  <c r="AL127" i="5"/>
  <c r="AD57" i="13" s="1"/>
  <c r="AJ127" i="5"/>
  <c r="AH127" i="5"/>
  <c r="AQ124" i="5"/>
  <c r="AP124" i="5"/>
  <c r="S45" i="13" s="1"/>
  <c r="AO124" i="5"/>
  <c r="S44" i="13" s="1"/>
  <c r="AN124" i="5"/>
  <c r="S43" i="13" s="1"/>
  <c r="AM124" i="5"/>
  <c r="AL124" i="5"/>
  <c r="AD45" i="13" s="1"/>
  <c r="AJ124" i="5"/>
  <c r="G456" i="43" s="1"/>
  <c r="AH124" i="5"/>
  <c r="G124" i="5"/>
  <c r="AI127" i="5" s="1"/>
  <c r="AQ119" i="5"/>
  <c r="S46" i="16" s="1"/>
  <c r="I47" i="16" s="1"/>
  <c r="AP119" i="5"/>
  <c r="S45" i="16" s="1"/>
  <c r="AO119" i="5"/>
  <c r="S44" i="16" s="1"/>
  <c r="AN119" i="5"/>
  <c r="AM119" i="5"/>
  <c r="AD46" i="16" s="1"/>
  <c r="AL119" i="5"/>
  <c r="AK119" i="5"/>
  <c r="AJ119" i="5"/>
  <c r="G265" i="43" s="1"/>
  <c r="AI119" i="5"/>
  <c r="AH119" i="5"/>
  <c r="AQ114" i="5"/>
  <c r="S46" i="15" s="1"/>
  <c r="I47" i="15" s="1"/>
  <c r="AP114" i="5"/>
  <c r="S45" i="15" s="1"/>
  <c r="AO114" i="5"/>
  <c r="S44" i="15" s="1"/>
  <c r="AN114" i="5"/>
  <c r="S43" i="15" s="1"/>
  <c r="AM114" i="5"/>
  <c r="AD46" i="15" s="1"/>
  <c r="AL114" i="5"/>
  <c r="AD45" i="15" s="1"/>
  <c r="AJ114" i="5"/>
  <c r="G72" i="43" s="1"/>
  <c r="AH114" i="5"/>
  <c r="F72" i="43" s="1"/>
  <c r="G114" i="5"/>
  <c r="AI114" i="5" s="1"/>
  <c r="AQ109" i="5"/>
  <c r="U132" i="17" s="1"/>
  <c r="I133" i="17" s="1"/>
  <c r="J134" i="17" s="1"/>
  <c r="AP109" i="5"/>
  <c r="U131" i="17" s="1"/>
  <c r="AO109" i="5"/>
  <c r="U130" i="17" s="1"/>
  <c r="AN109" i="5"/>
  <c r="U129" i="17" s="1"/>
  <c r="AM109" i="5"/>
  <c r="AG132" i="17" s="1"/>
  <c r="AL109" i="5"/>
  <c r="AJ109" i="5"/>
  <c r="AH109" i="5"/>
  <c r="AQ105" i="5"/>
  <c r="U116" i="17" s="1"/>
  <c r="I117" i="17" s="1"/>
  <c r="J118" i="17" s="1"/>
  <c r="AP105" i="5"/>
  <c r="U115" i="17" s="1"/>
  <c r="AO105" i="5"/>
  <c r="U114" i="17" s="1"/>
  <c r="AN105" i="5"/>
  <c r="U113" i="17" s="1"/>
  <c r="AM105" i="5"/>
  <c r="AL105" i="5"/>
  <c r="AG115" i="17" s="1"/>
  <c r="AJ105" i="5"/>
  <c r="AH105" i="5"/>
  <c r="AQ101" i="5"/>
  <c r="U100" i="17" s="1"/>
  <c r="I101" i="17" s="1"/>
  <c r="J102" i="17" s="1"/>
  <c r="AP101" i="5"/>
  <c r="U99" i="17" s="1"/>
  <c r="AO101" i="5"/>
  <c r="U98" i="17" s="1"/>
  <c r="AN101" i="5"/>
  <c r="U97" i="17" s="1"/>
  <c r="AM101" i="5"/>
  <c r="AG100" i="17" s="1"/>
  <c r="AL101" i="5"/>
  <c r="AJ101" i="5"/>
  <c r="G161" i="43" s="1"/>
  <c r="AH101" i="5"/>
  <c r="AQ97" i="5"/>
  <c r="U84" i="17" s="1"/>
  <c r="I85" i="17" s="1"/>
  <c r="J86" i="17" s="1"/>
  <c r="AP97" i="5"/>
  <c r="U83" i="17" s="1"/>
  <c r="AO97" i="5"/>
  <c r="AN97" i="5"/>
  <c r="U81" i="17" s="1"/>
  <c r="AM97" i="5"/>
  <c r="AG84" i="17" s="1"/>
  <c r="AL97" i="5"/>
  <c r="AG83" i="17" s="1"/>
  <c r="AJ97" i="5"/>
  <c r="AG81" i="17" s="1"/>
  <c r="AH97" i="5"/>
  <c r="AQ93" i="5"/>
  <c r="U68" i="17" s="1"/>
  <c r="I69" i="17" s="1"/>
  <c r="J70" i="17" s="1"/>
  <c r="AP93" i="5"/>
  <c r="AO93" i="5"/>
  <c r="U66" i="17" s="1"/>
  <c r="AN93" i="5"/>
  <c r="AM93" i="5"/>
  <c r="AG68" i="17" s="1"/>
  <c r="AL93" i="5"/>
  <c r="AG67" i="17" s="1"/>
  <c r="AJ93" i="5"/>
  <c r="G439" i="43" s="1"/>
  <c r="AH93" i="5"/>
  <c r="AQ89" i="5"/>
  <c r="U52" i="17" s="1"/>
  <c r="I53" i="17" s="1"/>
  <c r="J54" i="17" s="1"/>
  <c r="AP89" i="5"/>
  <c r="U51" i="17" s="1"/>
  <c r="AO89" i="5"/>
  <c r="AN89" i="5"/>
  <c r="U49" i="17" s="1"/>
  <c r="AM89" i="5"/>
  <c r="AG52" i="17" s="1"/>
  <c r="AL89" i="5"/>
  <c r="AG51" i="17" s="1"/>
  <c r="AJ89" i="5"/>
  <c r="AH89" i="5"/>
  <c r="F437" i="43" s="1"/>
  <c r="G89" i="5"/>
  <c r="AI101" i="5" s="1"/>
  <c r="AQ84" i="5"/>
  <c r="AP84" i="5"/>
  <c r="AO84" i="5"/>
  <c r="S82" i="14" s="1"/>
  <c r="AN84" i="5"/>
  <c r="AM84" i="5"/>
  <c r="AD84" i="14" s="1"/>
  <c r="AL84" i="5"/>
  <c r="AD83" i="14" s="1"/>
  <c r="AJ84" i="5"/>
  <c r="AH84" i="5"/>
  <c r="AQ81" i="5"/>
  <c r="AP81" i="5"/>
  <c r="AO81" i="5"/>
  <c r="S70" i="14" s="1"/>
  <c r="AN81" i="5"/>
  <c r="AM81" i="5"/>
  <c r="AD72" i="14" s="1"/>
  <c r="AL81" i="5"/>
  <c r="AK81" i="5"/>
  <c r="AD70" i="14" s="1"/>
  <c r="AJ81" i="5"/>
  <c r="G434" i="43" s="1"/>
  <c r="AH81" i="5"/>
  <c r="AQ77" i="5"/>
  <c r="S58" i="14" s="1"/>
  <c r="I59" i="14" s="1"/>
  <c r="J60" i="14" s="1"/>
  <c r="AP77" i="5"/>
  <c r="S57" i="14" s="1"/>
  <c r="AO77" i="5"/>
  <c r="S56" i="14" s="1"/>
  <c r="AN77" i="5"/>
  <c r="AM77" i="5"/>
  <c r="AD58" i="14" s="1"/>
  <c r="AL77" i="5"/>
  <c r="AJ77" i="5"/>
  <c r="AH77" i="5"/>
  <c r="AQ74" i="5"/>
  <c r="S46" i="14" s="1"/>
  <c r="AP74" i="5"/>
  <c r="L21" i="58" s="1"/>
  <c r="AO74" i="5"/>
  <c r="L20" i="58" s="1"/>
  <c r="AN74" i="5"/>
  <c r="S43" i="14" s="1"/>
  <c r="AM74" i="5"/>
  <c r="O22" i="58" s="1"/>
  <c r="AL74" i="5"/>
  <c r="O21" i="58" s="1"/>
  <c r="AJ74" i="5"/>
  <c r="AD43" i="14" s="1"/>
  <c r="AH74" i="5"/>
  <c r="G74" i="5"/>
  <c r="AI77" i="5" s="1"/>
  <c r="AQ69" i="5"/>
  <c r="AP69" i="5"/>
  <c r="AO69" i="5"/>
  <c r="S100" i="12" s="1"/>
  <c r="AN69" i="5"/>
  <c r="S99" i="12" s="1"/>
  <c r="AM69" i="5"/>
  <c r="AD102" i="12" s="1"/>
  <c r="AL69" i="5"/>
  <c r="AD101" i="12" s="1"/>
  <c r="AJ69" i="5"/>
  <c r="AH69" i="5"/>
  <c r="AQ65" i="5"/>
  <c r="AP65" i="5"/>
  <c r="S87" i="12" s="1"/>
  <c r="AO65" i="5"/>
  <c r="S86" i="12" s="1"/>
  <c r="AN65" i="5"/>
  <c r="S85" i="12" s="1"/>
  <c r="AM65" i="5"/>
  <c r="AL65" i="5"/>
  <c r="AD87" i="12" s="1"/>
  <c r="AJ65" i="5"/>
  <c r="G333" i="43" s="1"/>
  <c r="AH65" i="5"/>
  <c r="AQ61" i="5"/>
  <c r="S74" i="12" s="1"/>
  <c r="I75" i="12" s="1"/>
  <c r="AP61" i="5"/>
  <c r="AO61" i="5"/>
  <c r="S72" i="12" s="1"/>
  <c r="AN61" i="5"/>
  <c r="S71" i="12" s="1"/>
  <c r="AM61" i="5"/>
  <c r="AD74" i="12" s="1"/>
  <c r="AL61" i="5"/>
  <c r="AJ61" i="5"/>
  <c r="G331" i="43" s="1"/>
  <c r="AH61" i="5"/>
  <c r="AQ57" i="5"/>
  <c r="S60" i="12" s="1"/>
  <c r="I61" i="12" s="1"/>
  <c r="AP57" i="5"/>
  <c r="S59" i="12" s="1"/>
  <c r="AO57" i="5"/>
  <c r="AN57" i="5"/>
  <c r="S57" i="12" s="1"/>
  <c r="AM57" i="5"/>
  <c r="AL57" i="5"/>
  <c r="AD59" i="12" s="1"/>
  <c r="AJ57" i="5"/>
  <c r="AH57" i="5"/>
  <c r="AQ53" i="5"/>
  <c r="AP53" i="5"/>
  <c r="S45" i="12" s="1"/>
  <c r="AO53" i="5"/>
  <c r="S44" i="12" s="1"/>
  <c r="AN53" i="5"/>
  <c r="AM53" i="5"/>
  <c r="AD46" i="12" s="1"/>
  <c r="AL53" i="5"/>
  <c r="AD45" i="12" s="1"/>
  <c r="AJ53" i="5"/>
  <c r="AD43" i="12" s="1"/>
  <c r="AH53" i="5"/>
  <c r="G53" i="5"/>
  <c r="AI61" i="5" s="1"/>
  <c r="AQ48" i="5"/>
  <c r="S170" i="11" s="1"/>
  <c r="I171" i="11" s="1"/>
  <c r="AP48" i="5"/>
  <c r="AO48" i="5"/>
  <c r="S168" i="11" s="1"/>
  <c r="AN48" i="5"/>
  <c r="S167" i="11" s="1"/>
  <c r="AM48" i="5"/>
  <c r="AD170" i="11" s="1"/>
  <c r="AL48" i="5"/>
  <c r="AJ48" i="5"/>
  <c r="G324" i="43" s="1"/>
  <c r="AH48" i="5"/>
  <c r="AQ44" i="5"/>
  <c r="S156" i="11" s="1"/>
  <c r="I157" i="11" s="1"/>
  <c r="AP44" i="5"/>
  <c r="AO44" i="5"/>
  <c r="S154" i="11" s="1"/>
  <c r="AN44" i="5"/>
  <c r="S153" i="11" s="1"/>
  <c r="AM44" i="5"/>
  <c r="AD156" i="11" s="1"/>
  <c r="AL44" i="5"/>
  <c r="AD155" i="11" s="1"/>
  <c r="AJ44" i="5"/>
  <c r="AH44" i="5"/>
  <c r="AQ40" i="5"/>
  <c r="S142" i="11" s="1"/>
  <c r="I143" i="11" s="1"/>
  <c r="AP40" i="5"/>
  <c r="AO40" i="5"/>
  <c r="AN40" i="5"/>
  <c r="AM40" i="5"/>
  <c r="AD142" i="11" s="1"/>
  <c r="AL40" i="5"/>
  <c r="AD141" i="11" s="1"/>
  <c r="AJ40" i="5"/>
  <c r="G226" i="43" s="1"/>
  <c r="AI40" i="5"/>
  <c r="AH40" i="5"/>
  <c r="AQ36" i="5"/>
  <c r="S128" i="11" s="1"/>
  <c r="I129" i="11" s="1"/>
  <c r="AP36" i="5"/>
  <c r="AO36" i="5"/>
  <c r="S126" i="11" s="1"/>
  <c r="AN36" i="5"/>
  <c r="AM36" i="5"/>
  <c r="AD128" i="11" s="1"/>
  <c r="AL36" i="5"/>
  <c r="AJ36" i="5"/>
  <c r="G34" i="43" s="1"/>
  <c r="AI36" i="5"/>
  <c r="AH36" i="5"/>
  <c r="AQ32" i="5"/>
  <c r="AP32" i="5"/>
  <c r="S113" i="11" s="1"/>
  <c r="AO32" i="5"/>
  <c r="S112" i="11" s="1"/>
  <c r="AN32" i="5"/>
  <c r="S111" i="11" s="1"/>
  <c r="AM32" i="5"/>
  <c r="AD114" i="11" s="1"/>
  <c r="AL32" i="5"/>
  <c r="AD113" i="11" s="1"/>
  <c r="AJ32" i="5"/>
  <c r="AD111" i="11" s="1"/>
  <c r="AI32" i="5"/>
  <c r="AH32" i="5"/>
  <c r="AQ28" i="5"/>
  <c r="AP28" i="5"/>
  <c r="S99" i="11" s="1"/>
  <c r="AO28" i="5"/>
  <c r="S98" i="11" s="1"/>
  <c r="AN28" i="5"/>
  <c r="S97" i="11" s="1"/>
  <c r="AM28" i="5"/>
  <c r="AD100" i="11" s="1"/>
  <c r="AL28" i="5"/>
  <c r="AJ28" i="5"/>
  <c r="AD97" i="11" s="1"/>
  <c r="AI28" i="5"/>
  <c r="AH28" i="5"/>
  <c r="AQ24" i="5"/>
  <c r="AP24" i="5"/>
  <c r="S85" i="11" s="1"/>
  <c r="AO24" i="5"/>
  <c r="S84" i="11" s="1"/>
  <c r="AN24" i="5"/>
  <c r="AM24" i="5"/>
  <c r="AD86" i="11" s="1"/>
  <c r="AL24" i="5"/>
  <c r="AJ24" i="5"/>
  <c r="G312" i="43" s="1"/>
  <c r="AI24" i="5"/>
  <c r="AH24" i="5"/>
  <c r="AQ20" i="5"/>
  <c r="S72" i="11" s="1"/>
  <c r="I73" i="11" s="1"/>
  <c r="AP20" i="5"/>
  <c r="S71" i="11" s="1"/>
  <c r="AO20" i="5"/>
  <c r="AN20" i="5"/>
  <c r="AM20" i="5"/>
  <c r="AD72" i="11" s="1"/>
  <c r="AL20" i="5"/>
  <c r="AJ20" i="5"/>
  <c r="AI20" i="5"/>
  <c r="AH20" i="5"/>
  <c r="AQ16" i="5"/>
  <c r="S58" i="11" s="1"/>
  <c r="I59" i="11" s="1"/>
  <c r="AP16" i="5"/>
  <c r="S57" i="11" s="1"/>
  <c r="AO16" i="5"/>
  <c r="AN16" i="5"/>
  <c r="AM16" i="5"/>
  <c r="AD58" i="11" s="1"/>
  <c r="AL16" i="5"/>
  <c r="AJ16" i="5"/>
  <c r="AI16" i="5"/>
  <c r="AH16" i="5"/>
  <c r="AQ13" i="5"/>
  <c r="S46" i="11" s="1"/>
  <c r="I47" i="11" s="1"/>
  <c r="AP13" i="5"/>
  <c r="S45" i="11" s="1"/>
  <c r="AO13" i="5"/>
  <c r="AN13" i="5"/>
  <c r="AM13" i="5"/>
  <c r="AL13" i="5"/>
  <c r="AJ13" i="5"/>
  <c r="AD43" i="11" s="1"/>
  <c r="AI13" i="5"/>
  <c r="AH13" i="5"/>
  <c r="G13" i="5"/>
  <c r="AI48" i="5" s="1"/>
  <c r="D6" i="5"/>
  <c r="D5" i="5"/>
  <c r="R13" i="4"/>
  <c r="I12" i="32" s="1"/>
  <c r="Q13" i="4"/>
  <c r="P13" i="4"/>
  <c r="I13" i="4"/>
  <c r="E7" i="4"/>
  <c r="D5" i="4"/>
  <c r="O19" i="3"/>
  <c r="M19" i="3" a="1"/>
  <c r="M19" i="3"/>
  <c r="E19" i="3"/>
  <c r="E18" i="3"/>
  <c r="G18" i="3" s="1"/>
  <c r="O16" i="3"/>
  <c r="M16" i="3" a="1"/>
  <c r="M16" i="3" s="1"/>
  <c r="E16" i="3"/>
  <c r="E15" i="3"/>
  <c r="G15" i="3" s="1"/>
  <c r="O13" i="3"/>
  <c r="M13" i="3" a="1"/>
  <c r="M13" i="3"/>
  <c r="E13" i="3"/>
  <c r="E12" i="3"/>
  <c r="G12" i="3" s="1"/>
  <c r="E4" i="3"/>
  <c r="E59" i="2"/>
  <c r="E49" i="2"/>
  <c r="E41" i="2"/>
  <c r="E27" i="2"/>
  <c r="E26" i="2"/>
  <c r="F25" i="2"/>
  <c r="E22" i="2"/>
  <c r="E21" i="2"/>
  <c r="F20" i="2"/>
  <c r="E19" i="2"/>
  <c r="E5" i="2"/>
  <c r="D4" i="4" s="1"/>
  <c r="E3" i="2"/>
  <c r="E2" i="2"/>
  <c r="B5" i="1"/>
  <c r="Y23" i="61"/>
  <c r="K9" i="49"/>
  <c r="AL46" i="20"/>
  <c r="L23" i="61"/>
  <c r="L22" i="61"/>
  <c r="L21" i="61"/>
  <c r="BA8" i="17"/>
  <c r="AV61" i="14"/>
  <c r="L20" i="61"/>
  <c r="L19" i="61"/>
  <c r="K2" i="49"/>
  <c r="P11" i="51"/>
  <c r="AL7" i="22"/>
  <c r="AV8" i="15"/>
  <c r="AV87" i="14"/>
  <c r="P2" i="51"/>
  <c r="M10" i="50"/>
  <c r="BA87" i="17"/>
  <c r="Y25" i="58"/>
  <c r="BA55" i="17"/>
  <c r="Y25" i="60"/>
  <c r="AV61" i="11"/>
  <c r="AL7" i="19"/>
  <c r="AV8" i="11"/>
  <c r="AN61" i="13"/>
  <c r="AV75" i="11"/>
  <c r="AL7" i="21"/>
  <c r="AV89" i="11"/>
  <c r="AL46" i="27"/>
  <c r="BA71" i="17"/>
  <c r="AN49" i="16"/>
  <c r="AV103" i="11"/>
  <c r="AL46" i="22"/>
  <c r="AV49" i="14"/>
  <c r="AV159" i="11"/>
  <c r="AV117" i="11"/>
  <c r="J13" i="3"/>
  <c r="AL7" i="28"/>
  <c r="BA119" i="17"/>
  <c r="AL46" i="24"/>
  <c r="AN73" i="13"/>
  <c r="AV131" i="11"/>
  <c r="BA103" i="17"/>
  <c r="AV49" i="12"/>
  <c r="AL7" i="25"/>
  <c r="AV63" i="12"/>
  <c r="Y25" i="59"/>
  <c r="AL46" i="19"/>
  <c r="AV8" i="14"/>
  <c r="AV145" i="11"/>
  <c r="BA135" i="17"/>
  <c r="AV8" i="12"/>
  <c r="AV173" i="11"/>
  <c r="AV75" i="14"/>
  <c r="AV77" i="12"/>
  <c r="AL7" i="20"/>
  <c r="AV8" i="18"/>
  <c r="AL7" i="27"/>
  <c r="AV91" i="12"/>
  <c r="AL46" i="21"/>
  <c r="M2" i="50"/>
  <c r="AV49" i="15"/>
  <c r="AN8" i="13"/>
  <c r="AV105" i="12"/>
  <c r="AL46" i="28"/>
  <c r="AN8" i="16"/>
  <c r="AV49" i="11"/>
  <c r="AN49" i="13"/>
  <c r="AL7" i="24"/>
  <c r="AL46" i="25"/>
  <c r="AV51" i="18"/>
  <c r="BA56" i="17"/>
  <c r="N61" i="5" l="1"/>
  <c r="AK61" i="5" s="1"/>
  <c r="AD72" i="12" s="1"/>
  <c r="N65" i="5"/>
  <c r="AK65" i="5" s="1"/>
  <c r="AD86" i="12" s="1"/>
  <c r="N130" i="5"/>
  <c r="AK130" i="5" s="1"/>
  <c r="AD68" i="13" s="1"/>
  <c r="N69" i="5"/>
  <c r="AK69" i="5" s="1"/>
  <c r="AD100" i="12" s="1"/>
  <c r="J90" i="12"/>
  <c r="S89" i="12"/>
  <c r="U70" i="17"/>
  <c r="K71" i="17"/>
  <c r="K8" i="11"/>
  <c r="S8" i="11" s="1"/>
  <c r="S7" i="11"/>
  <c r="J60" i="13"/>
  <c r="S59" i="13"/>
  <c r="K8" i="16"/>
  <c r="S8" i="16" s="1"/>
  <c r="S7" i="16"/>
  <c r="J172" i="11"/>
  <c r="S171" i="11"/>
  <c r="J74" i="11"/>
  <c r="S73" i="11"/>
  <c r="J130" i="11"/>
  <c r="S129" i="11"/>
  <c r="J88" i="11"/>
  <c r="S87" i="11"/>
  <c r="K75" i="14"/>
  <c r="S75" i="14" s="1"/>
  <c r="S74" i="14"/>
  <c r="K87" i="17"/>
  <c r="U86" i="17"/>
  <c r="J6" i="24"/>
  <c r="S5" i="24"/>
  <c r="J48" i="12"/>
  <c r="S47" i="12"/>
  <c r="U102" i="17"/>
  <c r="K103" i="17"/>
  <c r="S116" i="11"/>
  <c r="K117" i="11"/>
  <c r="S117" i="11" s="1"/>
  <c r="J45" i="21"/>
  <c r="S44" i="21"/>
  <c r="J144" i="11"/>
  <c r="S143" i="11"/>
  <c r="J48" i="11"/>
  <c r="S47" i="11"/>
  <c r="N74" i="5"/>
  <c r="AK74" i="5" s="1"/>
  <c r="N114" i="5"/>
  <c r="AK114" i="5" s="1"/>
  <c r="AD44" i="15" s="1"/>
  <c r="N20" i="5"/>
  <c r="AK20" i="5" s="1"/>
  <c r="AD70" i="11" s="1"/>
  <c r="N89" i="5"/>
  <c r="AK89" i="5" s="1"/>
  <c r="AG50" i="17" s="1"/>
  <c r="N36" i="5"/>
  <c r="AK36" i="5" s="1"/>
  <c r="AD126" i="11" s="1"/>
  <c r="N124" i="5"/>
  <c r="AK124" i="5" s="1"/>
  <c r="AD44" i="13" s="1"/>
  <c r="N24" i="5"/>
  <c r="AK24" i="5" s="1"/>
  <c r="AD84" i="11" s="1"/>
  <c r="N97" i="5"/>
  <c r="AK97" i="5" s="1"/>
  <c r="AG82" i="17" s="1"/>
  <c r="N13" i="5"/>
  <c r="AK13" i="5" s="1"/>
  <c r="AD44" i="11" s="1"/>
  <c r="N57" i="5"/>
  <c r="AK57" i="5" s="1"/>
  <c r="AD58" i="12" s="1"/>
  <c r="N105" i="5"/>
  <c r="AK105" i="5" s="1"/>
  <c r="AG114" i="17" s="1"/>
  <c r="N93" i="5"/>
  <c r="AK93" i="5" s="1"/>
  <c r="AG66" i="17" s="1"/>
  <c r="N44" i="5"/>
  <c r="AK44" i="5" s="1"/>
  <c r="AD154" i="11" s="1"/>
  <c r="N32" i="5"/>
  <c r="AK32" i="5" s="1"/>
  <c r="AD112" i="11" s="1"/>
  <c r="J48" i="14"/>
  <c r="I47" i="14"/>
  <c r="K8" i="15"/>
  <c r="S8" i="15" s="1"/>
  <c r="S7" i="15"/>
  <c r="S44" i="28"/>
  <c r="J45" i="28"/>
  <c r="J62" i="12"/>
  <c r="S61" i="12"/>
  <c r="K55" i="17"/>
  <c r="U54" i="17"/>
  <c r="K135" i="17"/>
  <c r="U134" i="17"/>
  <c r="J6" i="21"/>
  <c r="S5" i="21"/>
  <c r="K119" i="17"/>
  <c r="U118" i="17"/>
  <c r="J45" i="25"/>
  <c r="S44" i="25"/>
  <c r="K8" i="17"/>
  <c r="U7" i="17"/>
  <c r="J72" i="13"/>
  <c r="S71" i="13"/>
  <c r="N84" i="5"/>
  <c r="AK84" i="5" s="1"/>
  <c r="AD82" i="14" s="1"/>
  <c r="N127" i="5"/>
  <c r="AK127" i="5" s="1"/>
  <c r="AD56" i="13" s="1"/>
  <c r="N77" i="5"/>
  <c r="AK77" i="5" s="1"/>
  <c r="AD56" i="14" s="1"/>
  <c r="N53" i="5"/>
  <c r="AK53" i="5" s="1"/>
  <c r="AD44" i="12" s="1"/>
  <c r="N101" i="5"/>
  <c r="AK101" i="5" s="1"/>
  <c r="AG98" i="17" s="1"/>
  <c r="N16" i="5"/>
  <c r="AK16" i="5" s="1"/>
  <c r="AD56" i="11" s="1"/>
  <c r="N40" i="5"/>
  <c r="AK40" i="5" s="1"/>
  <c r="AD140" i="11" s="1"/>
  <c r="N28" i="5"/>
  <c r="AK28" i="5" s="1"/>
  <c r="AD98" i="11" s="1"/>
  <c r="N109" i="5"/>
  <c r="AK109" i="5" s="1"/>
  <c r="AG130" i="17" s="1"/>
  <c r="N48" i="5"/>
  <c r="AK48" i="5" s="1"/>
  <c r="AD168" i="11" s="1"/>
  <c r="J158" i="11"/>
  <c r="S157" i="11"/>
  <c r="J76" i="12"/>
  <c r="S75" i="12"/>
  <c r="S45" i="22"/>
  <c r="K46" i="22"/>
  <c r="S46" i="22" s="1"/>
  <c r="J48" i="13"/>
  <c r="S47" i="13"/>
  <c r="J60" i="11"/>
  <c r="S59" i="11"/>
  <c r="K61" i="14"/>
  <c r="S61" i="14" s="1"/>
  <c r="S60" i="14"/>
  <c r="J102" i="11"/>
  <c r="S101" i="11"/>
  <c r="K87" i="14"/>
  <c r="S87" i="14" s="1"/>
  <c r="S86" i="14"/>
  <c r="I31" i="30"/>
  <c r="I136" i="30" s="1"/>
  <c r="G90" i="43"/>
  <c r="G402" i="43"/>
  <c r="F93" i="43"/>
  <c r="F114" i="43"/>
  <c r="F210" i="43"/>
  <c r="F304" i="43"/>
  <c r="F398" i="43"/>
  <c r="F492" i="43"/>
  <c r="F483" i="43"/>
  <c r="F105" i="43"/>
  <c r="F201" i="43"/>
  <c r="F295" i="43"/>
  <c r="F389" i="43"/>
  <c r="G114" i="43"/>
  <c r="G304" i="43"/>
  <c r="G398" i="43"/>
  <c r="G492" i="43"/>
  <c r="AC41" i="19"/>
  <c r="G93" i="43"/>
  <c r="AD46" i="26"/>
  <c r="G418" i="43"/>
  <c r="G483" i="43"/>
  <c r="G201" i="43"/>
  <c r="G295" i="43"/>
  <c r="G389" i="43"/>
  <c r="K49" i="15"/>
  <c r="S49" i="15" s="1"/>
  <c r="S48" i="15"/>
  <c r="J104" i="12"/>
  <c r="S103" i="12"/>
  <c r="F380" i="43"/>
  <c r="F474" i="43"/>
  <c r="F96" i="43"/>
  <c r="F192" i="43"/>
  <c r="F286" i="43"/>
  <c r="G120" i="43"/>
  <c r="AI81" i="5"/>
  <c r="G380" i="43"/>
  <c r="G474" i="43"/>
  <c r="G96" i="43"/>
  <c r="G192" i="43"/>
  <c r="G286" i="43"/>
  <c r="AD46" i="29"/>
  <c r="G283" i="43"/>
  <c r="F171" i="43"/>
  <c r="F265" i="43"/>
  <c r="F359" i="43"/>
  <c r="F453" i="43"/>
  <c r="F277" i="43"/>
  <c r="F371" i="43"/>
  <c r="F465" i="43"/>
  <c r="F87" i="43"/>
  <c r="F183" i="43"/>
  <c r="G216" i="43"/>
  <c r="G310" i="43"/>
  <c r="G404" i="43"/>
  <c r="G26" i="43"/>
  <c r="G222" i="43"/>
  <c r="G316" i="43"/>
  <c r="G410" i="43"/>
  <c r="G32" i="43"/>
  <c r="G128" i="43"/>
  <c r="AI44" i="5"/>
  <c r="AI69" i="5"/>
  <c r="G56" i="43"/>
  <c r="G152" i="43"/>
  <c r="G246" i="43"/>
  <c r="G340" i="43"/>
  <c r="AI93" i="5"/>
  <c r="AI105" i="5"/>
  <c r="D36" i="7"/>
  <c r="D37" i="7" s="1"/>
  <c r="D38" i="7" s="1"/>
  <c r="J6" i="20"/>
  <c r="S5" i="20"/>
  <c r="G122" i="43"/>
  <c r="G292" i="43"/>
  <c r="G61" i="43"/>
  <c r="AG65" i="17"/>
  <c r="G157" i="43"/>
  <c r="G171" i="43"/>
  <c r="G359" i="43"/>
  <c r="G453" i="43"/>
  <c r="G277" i="43"/>
  <c r="G371" i="43"/>
  <c r="G465" i="43"/>
  <c r="AC41" i="20"/>
  <c r="G87" i="43"/>
  <c r="G183" i="43"/>
  <c r="G124" i="43"/>
  <c r="G450" i="43"/>
  <c r="G322" i="43"/>
  <c r="G416" i="43"/>
  <c r="G134" i="43"/>
  <c r="AI57" i="5"/>
  <c r="G429" i="43"/>
  <c r="G51" i="43"/>
  <c r="G67" i="43"/>
  <c r="G163" i="43"/>
  <c r="G257" i="43"/>
  <c r="G351" i="43"/>
  <c r="G445" i="43"/>
  <c r="I10" i="32"/>
  <c r="I7" i="34"/>
  <c r="I26" i="35"/>
  <c r="G423" i="43"/>
  <c r="G45" i="43"/>
  <c r="G141" i="43"/>
  <c r="G235" i="43"/>
  <c r="AI130" i="5"/>
  <c r="AD83" i="11"/>
  <c r="S6" i="27"/>
  <c r="G136" i="43"/>
  <c r="L19" i="58"/>
  <c r="H9" i="40"/>
  <c r="G143" i="43"/>
  <c r="I11" i="32"/>
  <c r="I26" i="30"/>
  <c r="H10" i="40"/>
  <c r="I10" i="45"/>
  <c r="I27" i="35"/>
  <c r="I11" i="33"/>
  <c r="I27" i="30"/>
  <c r="I9" i="34"/>
  <c r="H16" i="31"/>
  <c r="I11" i="45"/>
  <c r="I12" i="33"/>
  <c r="AD69" i="11"/>
  <c r="S45" i="14"/>
  <c r="I25" i="30"/>
  <c r="G145" i="43"/>
  <c r="AD45" i="14"/>
  <c r="AD43" i="16"/>
  <c r="J45" i="19"/>
  <c r="G147" i="43"/>
  <c r="G471" i="43"/>
  <c r="G24" i="60"/>
  <c r="L23" i="60"/>
  <c r="H11" i="40"/>
  <c r="L22" i="58"/>
  <c r="F23" i="58" s="1"/>
  <c r="F477" i="43"/>
  <c r="F99" i="43"/>
  <c r="F195" i="43"/>
  <c r="F289" i="43"/>
  <c r="G108" i="43"/>
  <c r="G204" i="43"/>
  <c r="AC41" i="24"/>
  <c r="G392" i="43"/>
  <c r="J45" i="24"/>
  <c r="S44" i="24"/>
  <c r="S41" i="27"/>
  <c r="G486" i="43"/>
  <c r="G24" i="59"/>
  <c r="L23" i="59"/>
  <c r="S5" i="28"/>
  <c r="I10" i="33"/>
  <c r="I28" i="35"/>
  <c r="S115" i="11"/>
  <c r="S42" i="27"/>
  <c r="H31" i="30"/>
  <c r="H136" i="30" s="1"/>
  <c r="H38" i="38"/>
  <c r="I58" i="38"/>
  <c r="H58" i="38" s="1"/>
  <c r="F174" i="43"/>
  <c r="F268" i="43"/>
  <c r="F362" i="43"/>
  <c r="F456" i="43"/>
  <c r="F78" i="43"/>
  <c r="G374" i="43"/>
  <c r="G468" i="43"/>
  <c r="G186" i="43"/>
  <c r="G180" i="43"/>
  <c r="G335" i="43"/>
  <c r="AI84" i="5"/>
  <c r="AC41" i="27"/>
  <c r="G477" i="43"/>
  <c r="G99" i="43"/>
  <c r="G289" i="43"/>
  <c r="G5" i="43"/>
  <c r="G2" i="43"/>
  <c r="G214" i="43"/>
  <c r="G308" i="43"/>
  <c r="G24" i="43"/>
  <c r="G218" i="43"/>
  <c r="G406" i="43"/>
  <c r="G425" i="43"/>
  <c r="G47" i="43"/>
  <c r="G237" i="43"/>
  <c r="AI74" i="5"/>
  <c r="AI97" i="5"/>
  <c r="AI109" i="5"/>
  <c r="F271" i="43"/>
  <c r="F365" i="43"/>
  <c r="F81" i="43"/>
  <c r="AC43" i="28"/>
  <c r="AC43" i="27"/>
  <c r="G432" i="43"/>
  <c r="O19" i="58"/>
  <c r="G150" i="43"/>
  <c r="G244" i="43"/>
  <c r="G338" i="43"/>
  <c r="G63" i="43"/>
  <c r="G159" i="43"/>
  <c r="G253" i="43"/>
  <c r="G347" i="43"/>
  <c r="G441" i="43"/>
  <c r="G69" i="43"/>
  <c r="AG129" i="17"/>
  <c r="G165" i="43"/>
  <c r="G259" i="43"/>
  <c r="G447" i="43"/>
  <c r="AI124" i="5"/>
  <c r="G174" i="43"/>
  <c r="G268" i="43"/>
  <c r="G362" i="43"/>
  <c r="G78" i="43"/>
  <c r="G271" i="43"/>
  <c r="G365" i="43"/>
  <c r="G81" i="43"/>
  <c r="S43" i="27"/>
  <c r="I44" i="27" s="1"/>
  <c r="G195" i="43"/>
  <c r="G345" i="43"/>
  <c r="G28" i="43"/>
  <c r="G353" i="43"/>
  <c r="F111" i="43"/>
  <c r="F207" i="43"/>
  <c r="F395" i="43"/>
  <c r="S6" i="11"/>
  <c r="G36" i="43"/>
  <c r="F356" i="43"/>
  <c r="F120" i="43"/>
  <c r="F214" i="43"/>
  <c r="F308" i="43"/>
  <c r="F24" i="43"/>
  <c r="F374" i="43"/>
  <c r="F468" i="43"/>
  <c r="F90" i="43"/>
  <c r="F186" i="43"/>
  <c r="F432" i="43"/>
  <c r="F54" i="43"/>
  <c r="F150" i="43"/>
  <c r="F244" i="43"/>
  <c r="F338" i="43"/>
  <c r="AD99" i="12"/>
  <c r="J48" i="16"/>
  <c r="AC41" i="28"/>
  <c r="G38" i="43"/>
  <c r="G210" i="43"/>
  <c r="G356" i="43"/>
  <c r="F480" i="43"/>
  <c r="F102" i="43"/>
  <c r="F292" i="43"/>
  <c r="G111" i="43"/>
  <c r="G207" i="43"/>
  <c r="S5" i="19"/>
  <c r="AD46" i="23"/>
  <c r="G40" i="43"/>
  <c r="J50" i="18"/>
  <c r="I49" i="18"/>
  <c r="G54" i="43"/>
  <c r="F383" i="43"/>
  <c r="I9" i="45"/>
  <c r="G383" i="43"/>
  <c r="F377" i="43"/>
  <c r="F471" i="43"/>
  <c r="F189" i="43"/>
  <c r="K46" i="20"/>
  <c r="S46" i="20" s="1"/>
  <c r="S45" i="20"/>
  <c r="F59" i="43"/>
  <c r="F155" i="43"/>
  <c r="F343" i="43"/>
  <c r="F386" i="43"/>
  <c r="G480" i="43"/>
  <c r="G102" i="43"/>
  <c r="AD69" i="14"/>
  <c r="I8" i="34"/>
  <c r="G228" i="43"/>
  <c r="G386" i="43"/>
  <c r="G320" i="43"/>
  <c r="G414" i="43"/>
  <c r="G132" i="43"/>
  <c r="AI53" i="5"/>
  <c r="G427" i="43"/>
  <c r="G49" i="43"/>
  <c r="G239" i="43"/>
  <c r="G65" i="43"/>
  <c r="AG97" i="17"/>
  <c r="G255" i="43"/>
  <c r="G349" i="43"/>
  <c r="G443" i="43"/>
  <c r="AD167" i="11"/>
  <c r="AD71" i="12"/>
  <c r="F75" i="43"/>
  <c r="G230" i="43"/>
  <c r="G395" i="43"/>
  <c r="F32" i="55"/>
  <c r="F29" i="55"/>
  <c r="G220" i="43"/>
  <c r="G314" i="43"/>
  <c r="G408" i="43"/>
  <c r="G30" i="43"/>
  <c r="G126" i="43"/>
  <c r="F327" i="43"/>
  <c r="F421" i="43"/>
  <c r="F43" i="43"/>
  <c r="F139" i="43"/>
  <c r="F233" i="43"/>
  <c r="AI65" i="5"/>
  <c r="AI89" i="5"/>
  <c r="F168" i="43"/>
  <c r="F262" i="43"/>
  <c r="F450" i="43"/>
  <c r="F274" i="43"/>
  <c r="F368" i="43"/>
  <c r="F462" i="43"/>
  <c r="F84" i="43"/>
  <c r="AC41" i="22"/>
  <c r="G377" i="43"/>
  <c r="G274" i="43"/>
  <c r="G462" i="43"/>
  <c r="K51" i="18"/>
  <c r="S51" i="18" s="1"/>
  <c r="AC41" i="21"/>
  <c r="H14" i="31"/>
  <c r="G75" i="43"/>
  <c r="G241" i="43"/>
  <c r="G327" i="43"/>
  <c r="G421" i="43"/>
  <c r="G43" i="43"/>
  <c r="G139" i="43"/>
  <c r="G233" i="43"/>
  <c r="G168" i="43"/>
  <c r="G262" i="43"/>
  <c r="AD43" i="15"/>
  <c r="AD153" i="11"/>
  <c r="H15" i="31"/>
  <c r="G84" i="43"/>
  <c r="F249" i="43"/>
  <c r="F402" i="43"/>
  <c r="G130" i="43"/>
  <c r="F392" i="43"/>
  <c r="F298" i="43"/>
  <c r="E4" i="56"/>
  <c r="F204" i="43"/>
  <c r="S5" i="25"/>
  <c r="H25" i="59" l="1"/>
  <c r="L25" i="59" s="1"/>
  <c r="L24" i="59"/>
  <c r="S48" i="13"/>
  <c r="K49" i="13"/>
  <c r="S49" i="13" s="1"/>
  <c r="K63" i="12"/>
  <c r="S63" i="12" s="1"/>
  <c r="S62" i="12"/>
  <c r="K49" i="12"/>
  <c r="S49" i="12" s="1"/>
  <c r="S48" i="12"/>
  <c r="U103" i="17"/>
  <c r="L104" i="17"/>
  <c r="U104" i="17" s="1"/>
  <c r="S60" i="11"/>
  <c r="K61" i="11"/>
  <c r="S61" i="11" s="1"/>
  <c r="K46" i="28"/>
  <c r="S46" i="28" s="1"/>
  <c r="S45" i="28"/>
  <c r="S44" i="27"/>
  <c r="J45" i="27"/>
  <c r="U55" i="17"/>
  <c r="L56" i="17"/>
  <c r="U56" i="17" s="1"/>
  <c r="K7" i="24"/>
  <c r="S7" i="24" s="1"/>
  <c r="S6" i="24"/>
  <c r="S45" i="24"/>
  <c r="K46" i="24"/>
  <c r="S46" i="24" s="1"/>
  <c r="K77" i="12"/>
  <c r="S77" i="12" s="1"/>
  <c r="S76" i="12"/>
  <c r="L88" i="17"/>
  <c r="U88" i="17" s="1"/>
  <c r="U87" i="17"/>
  <c r="S158" i="11"/>
  <c r="K159" i="11"/>
  <c r="S159" i="11" s="1"/>
  <c r="K49" i="14"/>
  <c r="S49" i="14" s="1"/>
  <c r="S48" i="14"/>
  <c r="S88" i="11"/>
  <c r="K89" i="11"/>
  <c r="S89" i="11" s="1"/>
  <c r="S130" i="11"/>
  <c r="K131" i="11"/>
  <c r="S131" i="11" s="1"/>
  <c r="S74" i="11"/>
  <c r="K75" i="11"/>
  <c r="S75" i="11" s="1"/>
  <c r="G24" i="58"/>
  <c r="L23" i="58"/>
  <c r="S172" i="11"/>
  <c r="K173" i="11"/>
  <c r="S173" i="11" s="1"/>
  <c r="S6" i="20"/>
  <c r="K7" i="20"/>
  <c r="S7" i="20" s="1"/>
  <c r="L24" i="60"/>
  <c r="H25" i="60"/>
  <c r="L25" i="60" s="1"/>
  <c r="D42" i="7"/>
  <c r="D43" i="7" s="1"/>
  <c r="D44" i="7" s="1"/>
  <c r="D40" i="7"/>
  <c r="D39" i="7"/>
  <c r="S72" i="13"/>
  <c r="K73" i="13"/>
  <c r="S73" i="13" s="1"/>
  <c r="K61" i="13"/>
  <c r="S61" i="13" s="1"/>
  <c r="S60" i="13"/>
  <c r="K49" i="16"/>
  <c r="S49" i="16" s="1"/>
  <c r="S48" i="16"/>
  <c r="K46" i="19"/>
  <c r="S46" i="19" s="1"/>
  <c r="S45" i="19"/>
  <c r="L9" i="17"/>
  <c r="U9" i="17" s="1"/>
  <c r="U8" i="17"/>
  <c r="O20" i="58"/>
  <c r="AD44" i="14"/>
  <c r="L72" i="17"/>
  <c r="U72" i="17" s="1"/>
  <c r="U71" i="17"/>
  <c r="K46" i="25"/>
  <c r="S46" i="25" s="1"/>
  <c r="S45" i="25"/>
  <c r="S48" i="11"/>
  <c r="K49" i="11"/>
  <c r="S49" i="11" s="1"/>
  <c r="L120" i="17"/>
  <c r="U120" i="17" s="1"/>
  <c r="U119" i="17"/>
  <c r="S144" i="11"/>
  <c r="K145" i="11"/>
  <c r="S145" i="11" s="1"/>
  <c r="K91" i="12"/>
  <c r="S91" i="12" s="1"/>
  <c r="S90" i="12"/>
  <c r="K105" i="12"/>
  <c r="S105" i="12" s="1"/>
  <c r="S104" i="12"/>
  <c r="S102" i="11"/>
  <c r="K103" i="11"/>
  <c r="S103" i="11" s="1"/>
  <c r="K7" i="21"/>
  <c r="S7" i="21" s="1"/>
  <c r="S6" i="21"/>
  <c r="S45" i="21"/>
  <c r="K46" i="21"/>
  <c r="S46" i="21" s="1"/>
  <c r="L136" i="17"/>
  <c r="U136" i="17" s="1"/>
  <c r="U135" i="17"/>
  <c r="K46" i="27" l="1"/>
  <c r="S46" i="27" s="1"/>
  <c r="S45" i="27"/>
  <c r="D48" i="7"/>
  <c r="D50" i="7"/>
  <c r="D47" i="7"/>
  <c r="D46" i="7"/>
  <c r="D45" i="7"/>
  <c r="H25" i="58"/>
  <c r="L25" i="58" s="1"/>
  <c r="L24" i="5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<sst xmlns="http://schemas.openxmlformats.org/spreadsheetml/2006/main" count="12955" uniqueCount="3057">
  <si>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</si>
  <si>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</si>
  <si>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</si>
  <si>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</si>
  <si>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</si>
  <si>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</si>
  <si>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</si>
  <si>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</si>
  <si>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</si>
  <si>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</si>
  <si>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</si>
  <si>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</si>
  <si>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</si>
  <si>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</si>
  <si>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</si>
  <si>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</si>
  <si>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</si>
  <si>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</si>
  <si>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</si>
  <si>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</si>
  <si>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</si>
  <si>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</si>
  <si>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</si>
  <si>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</si>
  <si>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</si>
  <si>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</si>
  <si>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</si>
  <si>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</si>
  <si>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</si>
  <si>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</si>
  <si>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</si>
  <si>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</si>
  <si>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</si>
  <si>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</si>
  <si>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</si>
  <si>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</si>
  <si>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</si>
  <si>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44/65; 44/66</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</si>
  <si>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</si>
  <si>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</si>
  <si>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</si>
  <si>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Официальный электронный бюллетень Правительства Мурманской области</t>
  </si>
  <si>
    <t>Открывается, если Тип отчёта "изменения в раскрытой ранее информации"</t>
  </si>
  <si>
    <t>51/6; 51/7</t>
  </si>
  <si>
    <t>Наименование органа регулирования, принявшего решение об изменении тарифов</t>
  </si>
  <si>
    <t>Наименование ЮЛ / ИП</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</si>
  <si>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</si>
  <si>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</si>
  <si>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</si>
  <si>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</si>
  <si>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</si>
  <si>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</si>
  <si>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</si>
  <si>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</si>
  <si>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</si>
  <si>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</si>
  <si>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</si>
  <si>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</si>
  <si>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</si>
  <si>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</si>
  <si>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</si>
  <si>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</si>
  <si>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</si>
  <si>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</si>
  <si>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</si>
  <si>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</si>
  <si>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</si>
  <si>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</si>
  <si>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</si>
  <si>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</si>
  <si>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</si>
  <si>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</si>
  <si>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</si>
  <si>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</si>
  <si>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</si>
  <si>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</si>
  <si>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</si>
  <si>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</si>
  <si>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</si>
  <si>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</si>
  <si>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</si>
  <si>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</si>
  <si>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</si>
  <si>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</si>
  <si>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</si>
  <si>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</si>
  <si>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</si>
  <si>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</si>
  <si>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</si>
  <si>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</si>
  <si>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</si>
  <si>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</si>
  <si>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</si>
  <si>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</si>
  <si>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</si>
  <si>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Апатиты</t>
  </si>
  <si>
    <t>47519000</t>
  </si>
  <si>
    <t>Добавить МО</t>
  </si>
  <si>
    <t>2</t>
  </si>
  <si>
    <t>×</t>
  </si>
  <si>
    <t>ter_55</t>
  </si>
  <si>
    <t>43</t>
  </si>
  <si>
    <t>город Кировск</t>
  </si>
  <si>
    <t>47522000</t>
  </si>
  <si>
    <t>ter_56</t>
  </si>
  <si>
    <t>33</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</si>
  <si>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</si>
  <si>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</si>
  <si>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</si>
  <si>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</si>
  <si>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</si>
  <si>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</si>
  <si>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</si>
  <si>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</si>
  <si>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</si>
  <si>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</si>
  <si>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</si>
  <si>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</si>
  <si>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</si>
  <si>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</si>
  <si>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</si>
  <si>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</si>
  <si>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</si>
  <si>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</si>
  <si>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</si>
  <si>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</si>
  <si>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</si>
  <si>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</si>
  <si>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</si>
  <si>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</si>
  <si>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</si>
  <si>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</si>
  <si>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</si>
  <si>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</si>
  <si>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</si>
  <si>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</si>
  <si>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</si>
  <si>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</si>
  <si>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</si>
  <si>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</si>
  <si>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</si>
  <si>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</si>
  <si>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</si>
  <si>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</si>
  <si>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</si>
  <si>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</si>
  <si>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</si>
  <si>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</si>
  <si>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</si>
  <si>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</si>
  <si>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</si>
  <si>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</si>
  <si>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</si>
  <si>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</si>
  <si>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</si>
  <si>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</si>
  <si>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</si>
  <si>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</si>
  <si>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</si>
  <si>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t>
  </si>
  <si>
    <t xml:space="preserve">открытая система теплоснабжения г. Апатиты
</t>
  </si>
  <si>
    <t>Апатитская ТЭЦ</t>
  </si>
  <si>
    <t>4190066;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</si>
  <si>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</si>
  <si>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</si>
  <si>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</si>
  <si>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</si>
  <si>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</si>
  <si>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</si>
  <si>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</si>
  <si>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открытая система теплоснабжения г. Кировск</t>
  </si>
  <si>
    <t>pt_ter_49</t>
  </si>
  <si>
    <t>pt_cs_49</t>
  </si>
  <si>
    <t>pt_ist_te_49</t>
  </si>
  <si>
    <t>Добавить территорию для дифференциации</t>
  </si>
  <si>
    <t>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t>
  </si>
  <si>
    <t>pt_ntar_26</t>
  </si>
  <si>
    <t>pt_ter_31</t>
  </si>
  <si>
    <t>pt_cs_31</t>
  </si>
  <si>
    <t>pt_ist_te_31</t>
  </si>
  <si>
    <t>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t>
  </si>
  <si>
    <t>pt_ntar_27</t>
  </si>
  <si>
    <t>pt_ter_32</t>
  </si>
  <si>
    <t>pt_cs_32</t>
  </si>
  <si>
    <t>pt_ist_te_32</t>
  </si>
  <si>
    <t>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t>
  </si>
  <si>
    <t>pt_ntar_28</t>
  </si>
  <si>
    <t>pt_ter_33</t>
  </si>
  <si>
    <t>pt_cs_33</t>
  </si>
  <si>
    <t>pt_ist_te_33</t>
  </si>
  <si>
    <t>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t>
  </si>
  <si>
    <t>pt_ntar_29</t>
  </si>
  <si>
    <t>pt_ter_34</t>
  </si>
  <si>
    <t>pt_cs_34</t>
  </si>
  <si>
    <t>pt_ist_te_34</t>
  </si>
  <si>
    <t>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t>
  </si>
  <si>
    <t>pt_ntar_30</t>
  </si>
  <si>
    <t>pt_ter_35</t>
  </si>
  <si>
    <t>pt_cs_35</t>
  </si>
  <si>
    <t>pt_ist_te_35</t>
  </si>
  <si>
    <t>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t>
  </si>
  <si>
    <t>pt_ntar_31</t>
  </si>
  <si>
    <t>pt_ter_36</t>
  </si>
  <si>
    <t>pt_cs_36</t>
  </si>
  <si>
    <t>pt_ist_te_36</t>
  </si>
  <si>
    <t>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t>
  </si>
  <si>
    <t>pt_ntar_32</t>
  </si>
  <si>
    <t>pt_ter_37</t>
  </si>
  <si>
    <t>pt_cs_37</t>
  </si>
  <si>
    <t>pt_ist_te_37</t>
  </si>
  <si>
    <t>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t>
  </si>
  <si>
    <t>pt_ntar_33</t>
  </si>
  <si>
    <t>pt_ter_38</t>
  </si>
  <si>
    <t>pt_cs_38</t>
  </si>
  <si>
    <t>pt_ist_te_38</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</si>
  <si>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</si>
  <si>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</si>
  <si>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t>
  </si>
  <si>
    <t>4190064; 4190066; 4190070</t>
  </si>
  <si>
    <t>pIns_PT_VTAR_B</t>
  </si>
  <si>
    <t>pt_ntar_2</t>
  </si>
  <si>
    <t>pt_ter_2</t>
  </si>
  <si>
    <t>pt_cs_2</t>
  </si>
  <si>
    <t>pt_ist_te_2</t>
  </si>
  <si>
    <t>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t>
  </si>
  <si>
    <t>pt_ntar_36</t>
  </si>
  <si>
    <t>pt_ter_41</t>
  </si>
  <si>
    <t>pt_cs_41</t>
  </si>
  <si>
    <t>pt_ist_te_41</t>
  </si>
  <si>
    <t>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t>
  </si>
  <si>
    <t>закрытая система теплоснабжения нп Раякоски</t>
  </si>
  <si>
    <t>Электрокотельные нп Раякоски</t>
  </si>
  <si>
    <t>pt_ntar_42</t>
  </si>
  <si>
    <t>pt_ter_50</t>
  </si>
  <si>
    <t>pt_cs_50</t>
  </si>
  <si>
    <t>pt_ist_te_50</t>
  </si>
  <si>
    <t>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t>
  </si>
  <si>
    <t>pt_ntar_43</t>
  </si>
  <si>
    <t>pt_ter_51</t>
  </si>
  <si>
    <t>pt_cs_51</t>
  </si>
  <si>
    <t>pt_ist_te_51</t>
  </si>
  <si>
    <t>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t>
  </si>
  <si>
    <t>pt_ntar_44</t>
  </si>
  <si>
    <t>pt_ter_52</t>
  </si>
  <si>
    <t>pt_cs_52</t>
  </si>
  <si>
    <t>pt_ist_te_52</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</si>
  <si>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</si>
  <si>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t>
  </si>
  <si>
    <t>4190064; 4190066; 4190067; 4190069; 4190071</t>
  </si>
  <si>
    <t>pIns_PT_VTAR_C</t>
  </si>
  <si>
    <t>pt_ntar_3</t>
  </si>
  <si>
    <t>pt_ter_3</t>
  </si>
  <si>
    <t>pt_cs_3</t>
  </si>
  <si>
    <t>pt_ist_te_3</t>
  </si>
  <si>
    <t>pt_ter_55</t>
  </si>
  <si>
    <t>pt_cs_55</t>
  </si>
  <si>
    <t>pt_ist_te_55</t>
  </si>
  <si>
    <t>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t>
  </si>
  <si>
    <t>Территория 1</t>
  </si>
  <si>
    <t>pt_ntar_45</t>
  </si>
  <si>
    <t>pt_ter_56</t>
  </si>
  <si>
    <t>pt_cs_56</t>
  </si>
  <si>
    <t>pt_ist_te_56</t>
  </si>
  <si>
    <t>pt_ter_58</t>
  </si>
  <si>
    <t>pt_cs_58</t>
  </si>
  <si>
    <t>pt_ist_te_58</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</si>
  <si>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</si>
  <si>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t>
  </si>
  <si>
    <t>4190066; 4190067; 4190068; 4190069; 4190070; 4190071</t>
  </si>
  <si>
    <t>pIns_PT_VTAR_D</t>
  </si>
  <si>
    <t>pt_ntar_4</t>
  </si>
  <si>
    <t>pt_ter_4</t>
  </si>
  <si>
    <t>pt_cs_4</t>
  </si>
  <si>
    <t>pt_ist_te_4</t>
  </si>
  <si>
    <t>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t>
  </si>
  <si>
    <t>pt_ntar_37</t>
  </si>
  <si>
    <t>pt_ter_43</t>
  </si>
  <si>
    <t>pt_cs_43</t>
  </si>
  <si>
    <t>pt_ist_te_43</t>
  </si>
  <si>
    <t>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t>
  </si>
  <si>
    <t>pt_ntar_38</t>
  </si>
  <si>
    <t>pt_ter_44</t>
  </si>
  <si>
    <t>pt_cs_44</t>
  </si>
  <si>
    <t>pt_ist_te_44</t>
  </si>
  <si>
    <t>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t>
  </si>
  <si>
    <t>pt_ntar_39</t>
  </si>
  <si>
    <t>pt_ter_45</t>
  </si>
  <si>
    <t>pt_cs_45</t>
  </si>
  <si>
    <t>pt_ist_te_45</t>
  </si>
  <si>
    <t>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t>
  </si>
  <si>
    <t>pt_ntar_40</t>
  </si>
  <si>
    <t>pt_ter_46</t>
  </si>
  <si>
    <t>pt_cs_46</t>
  </si>
  <si>
    <t>pt_ist_te_46</t>
  </si>
  <si>
    <t>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t>
  </si>
  <si>
    <t>pt_ntar_41</t>
  </si>
  <si>
    <t>pt_ter_47</t>
  </si>
  <si>
    <t>pt_cs_47</t>
  </si>
  <si>
    <t>pt_ist_te_47</t>
  </si>
  <si>
    <t>Тарифы на услуги по передаче тепловой энергии</t>
  </si>
  <si>
    <t>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</si>
  <si>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</si>
  <si>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</si>
  <si>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</si>
  <si>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</si>
  <si>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</si>
  <si>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</si>
  <si>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</si>
  <si>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</si>
  <si>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</si>
  <si>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</si>
  <si>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</si>
  <si>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</si>
  <si>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</si>
  <si>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t>
  </si>
  <si>
    <t>4190073</t>
  </si>
  <si>
    <t>pIns_PT_VTAR_F</t>
  </si>
  <si>
    <t>pt_ntar_7</t>
  </si>
  <si>
    <t>pt_ter_7</t>
  </si>
  <si>
    <t>pt_cs_7</t>
  </si>
  <si>
    <t>pt_ist_te_7</t>
  </si>
  <si>
    <t>pt_ter_53</t>
  </si>
  <si>
    <t>pt_cs_53</t>
  </si>
  <si>
    <t>pt_ist_te_53</t>
  </si>
  <si>
    <t>pt_ter_54</t>
  </si>
  <si>
    <t>pt_cs_54</t>
  </si>
  <si>
    <t>pt_ist_te_54</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</si>
  <si>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</si>
  <si>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</si>
  <si>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</si>
  <si>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</si>
  <si>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</si>
  <si>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</si>
  <si>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</si>
  <si>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</si>
  <si>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</si>
  <si>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</si>
  <si>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</si>
  <si>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</si>
  <si>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</si>
  <si>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</si>
  <si>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</si>
  <si>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</si>
  <si>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</si>
  <si>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</si>
  <si>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</si>
  <si>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</si>
  <si>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</si>
  <si>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</si>
  <si>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</si>
  <si>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</si>
  <si>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</si>
  <si>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</si>
  <si>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</si>
  <si>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</si>
  <si>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</si>
  <si>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</si>
  <si>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</si>
  <si>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</si>
  <si>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</si>
  <si>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</si>
  <si>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</si>
  <si>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</si>
  <si>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</si>
  <si>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</si>
  <si>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</si>
  <si>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</si>
  <si>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</si>
  <si>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</si>
  <si>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</si>
  <si>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</si>
  <si>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</si>
  <si>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</si>
  <si>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</si>
  <si>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</si>
  <si>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</si>
  <si>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</si>
  <si>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</si>
  <si>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</si>
  <si>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</si>
  <si>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</si>
  <si>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</si>
  <si>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</si>
  <si>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</si>
  <si>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</si>
  <si>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</si>
  <si>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</si>
  <si>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</si>
  <si>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</si>
  <si>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</si>
  <si>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</si>
  <si>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</si>
  <si>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</si>
  <si>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</si>
  <si>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</si>
  <si>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</si>
  <si>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</si>
  <si>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</si>
  <si>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</si>
  <si>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</si>
  <si>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</si>
  <si>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</si>
  <si>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</si>
  <si>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</si>
  <si>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</si>
  <si>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</si>
  <si>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</si>
  <si>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</si>
  <si>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</si>
  <si>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</si>
  <si>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</si>
  <si>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</si>
  <si>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</si>
  <si>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</si>
  <si>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</si>
  <si>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</si>
  <si>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</si>
  <si>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</si>
  <si>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</si>
  <si>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</si>
  <si>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</si>
  <si>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</si>
  <si>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</si>
  <si>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</si>
  <si>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</si>
  <si>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</si>
  <si>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</si>
  <si>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</si>
  <si>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</si>
  <si>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</si>
  <si>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</si>
  <si>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</si>
  <si>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</si>
  <si>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</si>
  <si>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</si>
  <si>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</si>
  <si>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</si>
  <si>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</si>
  <si>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</si>
  <si>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</si>
  <si>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</si>
  <si>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</si>
  <si>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</si>
  <si>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</si>
  <si>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</si>
  <si>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</si>
  <si>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</si>
  <si>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</si>
  <si>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</si>
  <si>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</si>
  <si>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</si>
  <si>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</si>
  <si>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</si>
  <si>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</si>
  <si>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</si>
  <si>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</si>
  <si>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</si>
  <si>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</si>
  <si>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</si>
  <si>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</si>
  <si>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</si>
  <si>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</si>
  <si>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</si>
  <si>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</si>
  <si>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</si>
  <si>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</si>
  <si>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</si>
  <si>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</si>
  <si>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</si>
  <si>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</si>
  <si>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</si>
  <si>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</si>
  <si>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</si>
  <si>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</si>
  <si>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</si>
  <si>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</si>
  <si>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</si>
  <si>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</si>
  <si>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</si>
  <si>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</si>
  <si>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</si>
  <si>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</si>
  <si>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</si>
  <si>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</si>
  <si>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</si>
  <si>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</si>
  <si>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</si>
  <si>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</si>
  <si>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</si>
  <si>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</si>
  <si>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</si>
  <si>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</si>
  <si>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</si>
  <si>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</si>
  <si>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</si>
  <si>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</si>
  <si>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</si>
  <si>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</si>
  <si>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</si>
  <si>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</si>
  <si>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</si>
  <si>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</si>
  <si>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</si>
  <si>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</si>
  <si>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</si>
  <si>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</si>
  <si>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</si>
  <si>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</si>
  <si>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</si>
  <si>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</si>
  <si>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</si>
  <si>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</si>
  <si>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</si>
  <si>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</si>
  <si>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</si>
  <si>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</si>
  <si>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</si>
  <si>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</si>
  <si>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</si>
  <si>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</si>
  <si>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</si>
  <si>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</si>
  <si>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</si>
  <si>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</si>
  <si>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</si>
  <si>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</si>
  <si>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</si>
  <si>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</si>
  <si>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</si>
  <si>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</si>
  <si>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</si>
  <si>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</si>
  <si>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</si>
  <si>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</si>
  <si>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</si>
  <si>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</si>
  <si>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</si>
  <si>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</si>
  <si>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</si>
  <si>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</si>
  <si>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</si>
  <si>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</si>
  <si>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</si>
  <si>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</si>
  <si>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</si>
  <si>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</si>
  <si>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</si>
  <si>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</si>
  <si>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</si>
  <si>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</si>
  <si>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</si>
  <si>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</si>
  <si>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</si>
  <si>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</si>
  <si>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</si>
  <si>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</si>
  <si>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</si>
  <si>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</si>
  <si>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</si>
  <si>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</si>
  <si>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</si>
  <si>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</si>
  <si>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</si>
  <si>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</si>
  <si>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</si>
  <si>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</si>
  <si>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</si>
  <si>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население</t>
  </si>
  <si>
    <t>Период действия</t>
  </si>
  <si>
    <t>прочие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</si>
  <si>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</si>
  <si>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</si>
  <si>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</si>
  <si>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</si>
  <si>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</si>
  <si>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</si>
  <si>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</si>
  <si>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</si>
  <si>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</si>
  <si>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</si>
  <si>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</si>
  <si>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</si>
  <si>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</si>
  <si>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</si>
  <si>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</si>
  <si>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</si>
  <si>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</si>
  <si>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</si>
  <si>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</si>
  <si>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</si>
  <si>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</si>
  <si>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</si>
  <si>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</si>
  <si>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</si>
  <si>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</si>
  <si>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</si>
  <si>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</si>
  <si>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</si>
  <si>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</si>
  <si>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</si>
  <si>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</si>
  <si>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</si>
  <si>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</si>
  <si>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</si>
  <si>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</si>
  <si>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</si>
  <si>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</si>
  <si>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</si>
  <si>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</si>
  <si>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</si>
  <si>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</si>
  <si>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</si>
  <si>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</si>
  <si>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</si>
  <si>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</si>
  <si>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</si>
  <si>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</si>
  <si>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</si>
  <si>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</si>
  <si>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</si>
  <si>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</si>
  <si>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</si>
  <si>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</si>
  <si>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</si>
  <si>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</si>
  <si>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</si>
  <si>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</si>
  <si>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</si>
  <si>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</si>
  <si>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</si>
  <si>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</si>
  <si>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</si>
  <si>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</si>
  <si>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</si>
  <si>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</si>
  <si>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</si>
  <si>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</si>
  <si>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</si>
  <si>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</si>
  <si>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</si>
  <si>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</si>
  <si>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</si>
  <si>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</si>
  <si>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</si>
  <si>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</si>
  <si>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</si>
  <si>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</si>
  <si>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</si>
  <si>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</si>
  <si>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</si>
  <si>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</si>
  <si>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</si>
  <si>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</si>
  <si>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</si>
  <si>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</si>
  <si>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</si>
  <si>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</si>
  <si>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</si>
  <si>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</si>
  <si>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</si>
  <si>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</si>
  <si>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</si>
  <si>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</si>
  <si>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</si>
  <si>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</si>
  <si>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</si>
  <si>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</si>
  <si>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</si>
  <si>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</si>
  <si>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</si>
  <si>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</si>
  <si>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</si>
  <si>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</si>
  <si>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</si>
  <si>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</si>
  <si>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</si>
  <si>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</si>
  <si>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</si>
  <si>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</si>
  <si>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</si>
  <si>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</si>
  <si>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</si>
  <si>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</si>
  <si>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</si>
  <si>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</si>
  <si>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</si>
  <si>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</si>
  <si>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</si>
  <si>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</si>
  <si>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</si>
  <si>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</si>
  <si>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</si>
  <si>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</si>
  <si>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</si>
  <si>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</si>
  <si>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</si>
  <si>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</si>
  <si>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</si>
  <si>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</si>
  <si>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</si>
  <si>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</si>
  <si>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</si>
  <si>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</si>
  <si>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</si>
  <si>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</si>
  <si>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</si>
  <si>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</si>
  <si>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</si>
  <si>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</si>
  <si>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</si>
  <si>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</si>
  <si>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</si>
  <si>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</si>
  <si>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</si>
  <si>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</si>
  <si>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</si>
  <si>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</si>
  <si>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</si>
  <si>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</si>
  <si>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</si>
  <si>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</si>
  <si>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</si>
  <si>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</si>
  <si>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</si>
  <si>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</si>
  <si>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</si>
  <si>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</si>
  <si>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</si>
  <si>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</si>
  <si>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</si>
  <si>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</si>
  <si>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</si>
  <si>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</si>
  <si>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</si>
  <si>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</si>
  <si>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</si>
  <si>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</si>
  <si>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</si>
  <si>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</si>
  <si>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</si>
  <si>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</si>
  <si>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</si>
  <si>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</si>
  <si>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</si>
  <si>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</si>
  <si>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</si>
  <si>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</si>
  <si>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</si>
  <si>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</si>
  <si>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</si>
  <si>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</si>
  <si>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</si>
  <si>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</si>
  <si>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</si>
  <si>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</si>
  <si>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</si>
  <si>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</si>
  <si>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</si>
  <si>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</si>
  <si>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</si>
  <si>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</si>
  <si>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</si>
  <si>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</si>
  <si>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</si>
  <si>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</si>
  <si>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</si>
  <si>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</si>
  <si>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</si>
  <si>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</si>
  <si>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</si>
  <si>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</si>
  <si>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</si>
  <si>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</si>
  <si>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</si>
  <si>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</si>
  <si>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</si>
  <si>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</si>
  <si>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</si>
  <si>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</si>
  <si>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</si>
  <si>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</si>
  <si>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</si>
  <si>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</si>
  <si>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</si>
  <si>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</si>
  <si>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</si>
  <si>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</si>
  <si>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</si>
  <si>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</si>
  <si>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</si>
  <si>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</si>
  <si>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</si>
  <si>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</si>
  <si>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</si>
  <si>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</si>
  <si>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</si>
  <si>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</si>
  <si>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</si>
  <si>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</si>
  <si>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</si>
  <si>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</si>
  <si>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</si>
  <si>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</si>
  <si>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</si>
  <si>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</si>
  <si>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</si>
  <si>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</si>
  <si>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</si>
  <si>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</si>
  <si>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</si>
  <si>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</si>
  <si>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</si>
  <si>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</si>
  <si>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</si>
  <si>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</si>
  <si>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</si>
  <si>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</si>
  <si>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</si>
  <si>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</si>
  <si>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</si>
  <si>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</si>
  <si>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</si>
  <si>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</si>
  <si>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</si>
  <si>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</si>
  <si>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</si>
  <si>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</si>
  <si>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</si>
  <si>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</si>
  <si>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</si>
  <si>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</si>
  <si>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</si>
  <si>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</si>
  <si>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</si>
  <si>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</si>
  <si>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</si>
  <si>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</si>
  <si>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</si>
  <si>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</si>
  <si>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</si>
  <si>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</si>
  <si>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</si>
  <si>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</si>
  <si>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</si>
  <si>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</si>
  <si>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</si>
  <si>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</si>
  <si>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</si>
  <si>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</si>
  <si>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</si>
  <si>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</si>
  <si>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</si>
  <si>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</si>
  <si>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</si>
  <si>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</si>
  <si>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</si>
  <si>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</si>
  <si>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</si>
  <si>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</si>
  <si>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</si>
  <si>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</si>
  <si>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</si>
  <si>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</si>
  <si>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</si>
  <si>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</si>
  <si>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</si>
  <si>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</si>
  <si>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</si>
  <si>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</si>
  <si>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</si>
  <si>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</si>
  <si>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</si>
  <si>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</si>
  <si>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</si>
  <si>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</si>
  <si>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</si>
  <si>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</si>
  <si>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</si>
  <si>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</si>
  <si>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</si>
  <si>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</si>
  <si>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</si>
  <si>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</si>
  <si>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</si>
  <si>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</si>
  <si>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</si>
  <si>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</si>
  <si>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</si>
  <si>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</si>
  <si>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</si>
  <si>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</si>
  <si>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</si>
  <si>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</si>
  <si>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</si>
  <si>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</si>
  <si>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</si>
  <si>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</si>
  <si>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</si>
  <si>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</si>
  <si>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</si>
  <si>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</si>
  <si>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</si>
  <si>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</si>
  <si>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</si>
  <si>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</si>
  <si>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</si>
  <si>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</si>
  <si>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</si>
  <si>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</si>
  <si>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</si>
  <si>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</si>
  <si>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</si>
  <si>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</si>
  <si>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</si>
  <si>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</si>
  <si>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</si>
  <si>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</si>
  <si>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</si>
  <si>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</si>
  <si>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</si>
  <si>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</si>
  <si>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</si>
  <si>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</si>
  <si>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</si>
  <si>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</si>
  <si>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</si>
  <si>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</si>
  <si>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</si>
  <si>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</si>
  <si>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</si>
  <si>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</si>
  <si>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</si>
  <si>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</si>
  <si>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</si>
  <si>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</si>
  <si>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</si>
  <si>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</si>
  <si>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</si>
  <si>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</si>
  <si>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</si>
  <si>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</si>
  <si>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</si>
  <si>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</si>
  <si>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</si>
  <si>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</si>
  <si>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</si>
  <si>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</si>
  <si>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</si>
  <si>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</si>
  <si>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</si>
  <si>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</si>
  <si>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</si>
  <si>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</si>
  <si>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</si>
  <si>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</si>
  <si>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</si>
  <si>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</si>
  <si>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</si>
  <si>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</si>
  <si>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</si>
  <si>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</si>
  <si>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</si>
  <si>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</si>
  <si>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</si>
  <si>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</si>
  <si>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</si>
  <si>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</si>
  <si>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</si>
  <si>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</si>
  <si>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</si>
  <si>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</si>
  <si>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</si>
  <si>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</si>
  <si>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</si>
  <si>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</si>
  <si>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</si>
  <si>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</si>
  <si>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</si>
  <si>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</si>
  <si>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</si>
  <si>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</si>
  <si>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</si>
  <si>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</si>
  <si>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</si>
  <si>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</si>
  <si>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</si>
  <si>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</si>
  <si>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</si>
  <si>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</si>
  <si>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</si>
  <si>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</si>
  <si>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</si>
  <si>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</si>
  <si>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</si>
  <si>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</si>
  <si>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</si>
  <si>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</si>
  <si>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</si>
  <si>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</si>
  <si>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</si>
  <si>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</si>
  <si>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</si>
  <si>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</si>
  <si>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</si>
  <si>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</si>
  <si>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</si>
  <si>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</si>
  <si>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</si>
  <si>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</si>
  <si>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</si>
  <si>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</si>
  <si>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</si>
  <si>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</si>
  <si>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</si>
  <si>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</si>
  <si>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</si>
  <si>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</si>
  <si>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</si>
  <si>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</si>
  <si>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</si>
  <si>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</si>
  <si>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</si>
  <si>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</si>
  <si>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</si>
  <si>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</si>
  <si>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</si>
  <si>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</si>
  <si>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</si>
  <si>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</si>
  <si>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</si>
  <si>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</si>
  <si>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</si>
  <si>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</si>
  <si>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</si>
  <si>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</si>
  <si>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</si>
  <si>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</si>
  <si>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</si>
  <si>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</si>
  <si>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</si>
  <si>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</si>
  <si>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</si>
  <si>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</si>
  <si>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</si>
  <si>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</si>
  <si>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</si>
  <si>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</si>
  <si>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</si>
  <si>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</si>
  <si>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</si>
  <si>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</si>
  <si>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</si>
  <si>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</si>
  <si>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</si>
  <si>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</si>
  <si>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</si>
  <si>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</si>
  <si>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</si>
  <si>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</si>
  <si>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</si>
  <si>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</si>
  <si>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</si>
  <si>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</si>
  <si>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</si>
  <si>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</si>
  <si>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</si>
  <si>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</si>
  <si>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</si>
  <si>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</si>
  <si>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</si>
  <si>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</si>
  <si>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</si>
  <si>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</si>
  <si>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</si>
  <si>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</si>
  <si>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</si>
  <si>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</si>
  <si>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</si>
  <si>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</si>
  <si>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</si>
  <si>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</si>
  <si>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</si>
  <si>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</si>
  <si>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</si>
  <si>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</si>
  <si>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</si>
  <si>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</si>
  <si>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</si>
  <si>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</si>
  <si>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</si>
  <si>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</si>
  <si>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</si>
  <si>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</si>
  <si>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</si>
  <si>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</si>
  <si>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</si>
  <si>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</si>
  <si>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</si>
  <si>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</si>
  <si>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</si>
  <si>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</si>
  <si>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</si>
  <si>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</si>
  <si>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</si>
  <si>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</si>
  <si>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</si>
  <si>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</si>
  <si>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</si>
  <si>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</si>
  <si>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</si>
  <si>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</si>
  <si>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</si>
  <si>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</si>
  <si>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</si>
  <si>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</si>
  <si>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</si>
  <si>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</si>
  <si>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</si>
  <si>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</si>
  <si>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</si>
  <si>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</si>
  <si>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</si>
  <si>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</si>
  <si>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</si>
  <si>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</si>
  <si>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</si>
  <si>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</si>
  <si>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</si>
  <si>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</si>
  <si>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</si>
  <si>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</si>
  <si>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</si>
  <si>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</si>
  <si>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</si>
  <si>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</si>
  <si>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</si>
  <si>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</si>
  <si>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</si>
  <si>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</si>
  <si>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</si>
  <si>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</si>
  <si>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</si>
  <si>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</si>
  <si>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</si>
  <si>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</si>
  <si>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</si>
  <si>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</si>
  <si>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</si>
  <si>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</si>
  <si>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</si>
  <si>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</si>
  <si>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</si>
  <si>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</si>
  <si>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</si>
  <si>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</si>
  <si>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</si>
  <si>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</si>
  <si>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</si>
  <si>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</si>
  <si>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</si>
  <si>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</si>
  <si>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</si>
  <si>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</si>
  <si>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</si>
  <si>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</si>
  <si>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официальный сайт ПАО «ТГК-1» www.tgc1.ru </t>
  </si>
  <si>
    <t>https://portal.eias.ru/Portal/DownloadPage.aspx?type=12&amp;guid=1e291b01-6579-4458-96e8-e65ecce34e9d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</si>
  <si>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</si>
  <si>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https://portal.eias.ru/Portal/DownloadPage.aspx?type=12&amp;guid=27df82f0-827f-49c4-be73-741c630613a6</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</si>
  <si>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</si>
  <si>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</si>
  <si>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</si>
  <si>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</si>
  <si>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t>
  </si>
  <si>
    <t>5.1.1</t>
  </si>
  <si>
    <t xml:space="preserve"> тел. +7 (815-55) 4-93-59, факс:+7 (815-55)4-95-20.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</si>
  <si>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</si>
  <si>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</si>
  <si>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184209, Мурманская область, г. Апатиты, Энергетическое ш., д. 5, Апатитская ТЭЦ</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</si>
  <si>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</si>
  <si>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</si>
  <si>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</si>
  <si>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</si>
  <si>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</si>
  <si>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</si>
  <si>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</si>
  <si>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</si>
  <si>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</si>
  <si>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</si>
  <si>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</si>
  <si>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</si>
  <si>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</si>
  <si>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</si>
  <si>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</si>
  <si>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</si>
  <si>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</si>
  <si>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</si>
  <si>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</si>
  <si>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</si>
  <si>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</si>
  <si>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</si>
  <si>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</si>
  <si>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</si>
  <si>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</si>
  <si>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</si>
  <si>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</si>
  <si>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</si>
  <si>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</si>
  <si>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</si>
  <si>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</si>
  <si>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</si>
  <si>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20.12.2024 № 51/7 "О внесении изменений в постановление Комитета по тарифному регулированию Мурманской области от 18.11.2022 № 44/66 в связи с корректировкой тарифов, ранее установленных ПАО "ТГК-1" на 2025 год"</t>
  </si>
  <si>
    <t>Постановление Комитета по тарифному регулированию Мурманской области от 20.12.2024 № 51/6 "Об установлении платы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ПАО "ТГК-1"</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</si>
  <si>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</si>
  <si>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</si>
  <si>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</si>
  <si>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</si>
  <si>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</si>
  <si>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</si>
  <si>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</si>
  <si>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</si>
  <si>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</si>
  <si>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</si>
  <si>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</si>
  <si>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</si>
  <si>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</si>
  <si>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</si>
  <si>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</si>
  <si>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</si>
  <si>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</si>
  <si>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</si>
  <si>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</si>
  <si>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</si>
  <si>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</si>
  <si>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</si>
  <si>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</si>
  <si>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</si>
  <si>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</si>
  <si>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</si>
  <si>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</si>
  <si>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</si>
  <si>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</si>
  <si>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</si>
  <si>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</si>
  <si>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</si>
  <si>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</si>
  <si>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</si>
  <si>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</si>
  <si>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</si>
  <si>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</si>
  <si>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</si>
  <si>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</si>
  <si>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</si>
  <si>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</si>
  <si>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</si>
  <si>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</si>
  <si>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</si>
  <si>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</si>
  <si>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</si>
  <si>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</si>
  <si>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</si>
  <si>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</si>
  <si>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</si>
  <si>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</si>
  <si>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</si>
  <si>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</si>
  <si>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</si>
  <si>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</si>
  <si>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</si>
  <si>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</si>
  <si>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</si>
  <si>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</si>
  <si>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</si>
  <si>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</si>
  <si>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</si>
  <si>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</si>
  <si>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</si>
  <si>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</si>
  <si>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</si>
  <si>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</si>
  <si>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</si>
  <si>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</si>
  <si>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</si>
  <si>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</si>
  <si>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</si>
  <si>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</si>
  <si>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</si>
  <si>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</si>
  <si>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</si>
  <si>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</si>
  <si>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</si>
  <si>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</si>
  <si>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</si>
  <si>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</si>
  <si>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</si>
  <si>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</si>
  <si>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</si>
  <si>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</si>
  <si>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</si>
  <si>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</si>
  <si>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</si>
  <si>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</si>
  <si>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</si>
  <si>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</si>
  <si>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</si>
  <si>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</si>
  <si>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</si>
  <si>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</si>
  <si>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</si>
  <si>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</si>
  <si>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</si>
  <si>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</si>
  <si>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</si>
  <si>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</si>
  <si>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</si>
  <si>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</si>
  <si>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</si>
  <si>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</si>
  <si>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</si>
  <si>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</si>
  <si>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</si>
  <si>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</si>
  <si>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</si>
  <si>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</si>
  <si>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</si>
  <si>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</si>
  <si>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</si>
  <si>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</si>
  <si>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</si>
  <si>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</si>
  <si>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</si>
  <si>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</si>
  <si>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</si>
  <si>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</si>
  <si>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</si>
  <si>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</si>
  <si>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</si>
  <si>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</si>
  <si>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</si>
  <si>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</si>
  <si>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</si>
  <si>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</si>
  <si>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</si>
  <si>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</si>
  <si>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</si>
  <si>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</si>
  <si>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</si>
  <si>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</si>
  <si>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</si>
  <si>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</si>
  <si>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</si>
  <si>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</si>
  <si>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</si>
  <si>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</si>
  <si>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</si>
  <si>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</si>
  <si>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</si>
  <si>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</si>
  <si>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</si>
  <si>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</si>
  <si>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</si>
  <si>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</si>
  <si>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</si>
  <si>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</si>
  <si>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</si>
  <si>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</si>
  <si>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</si>
  <si>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</si>
  <si>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</si>
  <si>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</si>
  <si>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</si>
  <si>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</si>
  <si>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</si>
  <si>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</si>
  <si>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</si>
  <si>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</si>
  <si>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</si>
  <si>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</si>
  <si>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</si>
  <si>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</si>
  <si>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</si>
  <si>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</si>
  <si>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</si>
  <si>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</si>
  <si>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</si>
  <si>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</si>
  <si>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</si>
  <si>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</si>
  <si>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</si>
  <si>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</si>
  <si>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</si>
  <si>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</si>
  <si>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</si>
  <si>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</si>
  <si>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</si>
  <si>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</si>
  <si>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</si>
  <si>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</si>
  <si>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</si>
  <si>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</si>
  <si>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</si>
  <si>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</si>
  <si>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</si>
  <si>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</si>
  <si>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</si>
  <si>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</si>
  <si>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</si>
  <si>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</si>
  <si>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</si>
  <si>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</si>
  <si>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</si>
  <si>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</si>
  <si>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</si>
  <si>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</si>
  <si>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</si>
  <si>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</si>
  <si>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</si>
  <si>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</si>
  <si>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</si>
  <si>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</si>
  <si>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</si>
  <si>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</si>
  <si>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</si>
  <si>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</si>
  <si>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</si>
  <si>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</si>
  <si>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</si>
  <si>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</si>
  <si>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</si>
  <si>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</si>
  <si>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</si>
  <si>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</si>
  <si>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</si>
  <si>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</si>
  <si>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</si>
  <si>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</si>
  <si>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</si>
  <si>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</si>
  <si>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</si>
  <si>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</si>
  <si>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</si>
  <si>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</si>
  <si>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</si>
  <si>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</si>
  <si>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</si>
  <si>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</si>
  <si>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</si>
  <si>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</si>
  <si>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</si>
  <si>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</si>
  <si>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</si>
  <si>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</si>
  <si>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</si>
  <si>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</si>
  <si>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</si>
  <si>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</si>
  <si>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</si>
  <si>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</si>
  <si>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</si>
  <si>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</si>
  <si>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</si>
  <si>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</si>
  <si>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</si>
  <si>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</si>
  <si>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</si>
  <si>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</si>
  <si>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</si>
  <si>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</si>
  <si>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</si>
  <si>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</si>
  <si>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</si>
  <si>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</si>
  <si>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</si>
  <si>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</si>
  <si>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</si>
  <si>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</si>
  <si>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</si>
  <si>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</si>
  <si>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</si>
  <si>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</si>
  <si>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</si>
  <si>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</si>
  <si>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</si>
  <si>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</si>
  <si>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</si>
  <si>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</si>
  <si>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</si>
  <si>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</si>
  <si>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</si>
  <si>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</si>
  <si>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</si>
  <si>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</si>
  <si>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</si>
  <si>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</si>
  <si>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</si>
  <si>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</si>
  <si>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</si>
  <si>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</si>
  <si>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</si>
  <si>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</si>
  <si>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</si>
  <si>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</si>
  <si>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</si>
  <si>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</si>
  <si>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</si>
  <si>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</si>
  <si>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</si>
  <si>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</si>
  <si>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</si>
  <si>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</si>
  <si>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</si>
  <si>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</si>
  <si>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</si>
  <si>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</si>
  <si>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</si>
  <si>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</si>
  <si>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</si>
  <si>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</si>
  <si>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</si>
  <si>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</si>
  <si>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</si>
  <si>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</si>
  <si>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</si>
  <si>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</si>
  <si>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</si>
  <si>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</si>
  <si>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</si>
  <si>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</si>
  <si>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</si>
  <si>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</si>
  <si>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</si>
  <si>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</si>
  <si>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</si>
  <si>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</si>
  <si>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</si>
  <si>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</si>
  <si>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</si>
  <si>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</si>
  <si>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</si>
  <si>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</si>
  <si>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</si>
  <si>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</si>
  <si>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</si>
  <si>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</si>
  <si>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</si>
  <si>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</si>
  <si>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</si>
  <si>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</si>
  <si>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</si>
  <si>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</si>
  <si>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</si>
  <si>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</si>
  <si>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</si>
  <si>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</si>
  <si>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</si>
  <si>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</si>
  <si>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</si>
  <si>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</si>
  <si>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</si>
  <si>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</si>
  <si>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</si>
  <si>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</si>
  <si>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</si>
  <si>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</si>
  <si>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</si>
  <si>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</si>
  <si>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</si>
  <si>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</si>
  <si>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</si>
  <si>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</si>
  <si>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</si>
  <si>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</si>
  <si>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</si>
  <si>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</si>
  <si>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</si>
  <si>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</si>
  <si>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</si>
  <si>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</si>
  <si>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</si>
  <si>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</si>
  <si>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</si>
  <si>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</si>
  <si>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</si>
  <si>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</si>
  <si>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</si>
  <si>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</si>
  <si>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</si>
  <si>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</si>
  <si>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</si>
  <si>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</si>
  <si>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</si>
  <si>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</si>
  <si>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</si>
  <si>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</si>
  <si>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</si>
  <si>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</si>
  <si>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</si>
  <si>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</si>
  <si>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</si>
  <si>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</si>
  <si>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</si>
  <si>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</si>
  <si>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</si>
  <si>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</si>
  <si>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</si>
  <si>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</si>
  <si>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</si>
  <si>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</si>
  <si>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</si>
  <si>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</si>
  <si>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</si>
  <si>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</si>
  <si>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</si>
  <si>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</si>
  <si>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</si>
  <si>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</si>
  <si>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</si>
  <si>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</si>
  <si>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</si>
  <si>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</si>
  <si>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</si>
  <si>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</si>
  <si>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</si>
  <si>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</si>
  <si>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</si>
  <si>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</si>
  <si>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</si>
  <si>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</si>
  <si>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</si>
  <si>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</si>
  <si>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</si>
  <si>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</si>
  <si>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</si>
  <si>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</si>
  <si>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</si>
  <si>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</si>
  <si>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</si>
  <si>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</si>
  <si>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</si>
  <si>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</si>
  <si>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</si>
  <si>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</si>
  <si>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</si>
  <si>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</si>
  <si>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</si>
  <si>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</si>
  <si>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</si>
  <si>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</si>
  <si>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</si>
  <si>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</si>
  <si>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</si>
  <si>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</si>
  <si>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</si>
  <si>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</si>
  <si>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</si>
  <si>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</si>
  <si>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</si>
  <si>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</si>
  <si>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</si>
  <si>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</si>
  <si>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</si>
  <si>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</si>
  <si>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</si>
  <si>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</si>
  <si>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</si>
  <si>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</si>
  <si>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</si>
  <si>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</si>
  <si>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</si>
  <si>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</si>
  <si>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</si>
  <si>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</si>
  <si>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</si>
  <si>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</si>
  <si>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</si>
  <si>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</si>
  <si>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</si>
  <si>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</si>
  <si>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</si>
  <si>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</si>
  <si>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</si>
  <si>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</si>
  <si>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</si>
  <si>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</si>
  <si>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</si>
  <si>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</si>
  <si>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</si>
  <si>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</si>
  <si>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</si>
  <si>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</si>
  <si>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</si>
  <si>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</si>
  <si>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</si>
  <si>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</si>
  <si>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</si>
  <si>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</si>
  <si>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</si>
  <si>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</si>
  <si>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</si>
  <si>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</si>
  <si>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</si>
  <si>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</si>
  <si>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</si>
  <si>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</si>
  <si>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</si>
  <si>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</si>
  <si>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</si>
  <si>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</si>
  <si>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</si>
  <si>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</si>
  <si>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</si>
  <si>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</si>
  <si>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</si>
  <si>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</si>
  <si>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</si>
  <si>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</si>
  <si>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</si>
  <si>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</si>
  <si>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</si>
  <si>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</si>
  <si>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</si>
  <si>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</si>
  <si>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</si>
  <si>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</si>
  <si>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</si>
  <si>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</si>
  <si>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</si>
  <si>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</si>
  <si>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</si>
  <si>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</si>
  <si>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</si>
  <si>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</si>
  <si>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</si>
  <si>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</si>
  <si>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</si>
  <si>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</si>
  <si>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</si>
  <si>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</si>
  <si>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</si>
  <si>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</si>
  <si>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</si>
  <si>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</si>
  <si>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</si>
  <si>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</si>
  <si>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</si>
  <si>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</si>
  <si>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</si>
  <si>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</si>
  <si>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</si>
  <si>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</si>
  <si>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</si>
  <si>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</si>
  <si>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</si>
  <si>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</si>
  <si>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</si>
  <si>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</si>
  <si>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</si>
  <si>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</si>
  <si>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</si>
  <si>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</si>
  <si>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</si>
  <si>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</si>
  <si>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</si>
  <si>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</si>
  <si>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</si>
  <si>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</si>
  <si>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</si>
  <si>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</si>
  <si>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</si>
  <si>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</si>
  <si>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</si>
  <si>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</si>
  <si>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</si>
  <si>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</si>
  <si>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</si>
  <si>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</si>
  <si>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</si>
  <si>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</si>
  <si>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</si>
  <si>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</si>
  <si>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</si>
  <si>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</si>
  <si>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</si>
  <si>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</si>
  <si>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</si>
  <si>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</si>
  <si>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</si>
  <si>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</si>
  <si>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</si>
  <si>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</si>
  <si>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</si>
  <si>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</si>
  <si>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</si>
  <si>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</si>
  <si>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</si>
  <si>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</si>
  <si>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</si>
  <si>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</si>
  <si>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</si>
  <si>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</si>
  <si>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</si>
  <si>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</si>
  <si>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</si>
  <si>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</si>
  <si>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</si>
  <si>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</si>
  <si>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</si>
  <si>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</si>
  <si>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</si>
  <si>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</si>
  <si>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</si>
  <si>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</si>
  <si>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</si>
  <si>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</si>
  <si>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</si>
  <si>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</si>
  <si>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</si>
  <si>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</si>
  <si>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</si>
  <si>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</si>
  <si>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</si>
  <si>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</si>
  <si>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</si>
  <si>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</si>
  <si>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</si>
  <si>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</si>
  <si>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</si>
  <si>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</si>
  <si>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</si>
  <si>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</si>
  <si>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</si>
  <si>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</si>
  <si>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</si>
  <si>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</si>
  <si>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</si>
  <si>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</si>
  <si>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</si>
  <si>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</si>
  <si>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</si>
  <si>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</si>
  <si>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</si>
  <si>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</si>
  <si>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</si>
  <si>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</si>
  <si>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</si>
  <si>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</si>
  <si>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</si>
  <si>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</si>
  <si>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</si>
  <si>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</si>
  <si>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</si>
  <si>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</si>
  <si>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</si>
  <si>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</si>
  <si>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</si>
  <si>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</si>
  <si>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</si>
  <si>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</si>
  <si>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</si>
  <si>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</si>
  <si>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</si>
  <si>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</si>
  <si>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</si>
  <si>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</si>
  <si>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</si>
  <si>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</si>
  <si>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</si>
  <si>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</si>
  <si>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</si>
  <si>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</si>
  <si>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</si>
  <si>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</si>
  <si>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</si>
  <si>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</si>
  <si>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</si>
  <si>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</si>
  <si>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</si>
  <si>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</si>
  <si>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</si>
  <si>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</si>
  <si>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</si>
  <si>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</si>
  <si>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</si>
  <si>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</si>
  <si>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</si>
  <si>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</si>
  <si>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</si>
  <si>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</si>
  <si>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</si>
  <si>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</si>
  <si>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</si>
  <si>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</si>
  <si>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</si>
  <si>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</si>
  <si>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</si>
  <si>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</si>
  <si>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</si>
  <si>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</si>
  <si>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</si>
  <si>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</si>
  <si>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</si>
  <si>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</si>
  <si>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</si>
  <si>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</si>
  <si>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</si>
  <si>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</si>
  <si>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</si>
  <si>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</si>
  <si>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</si>
  <si>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</si>
  <si>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</si>
  <si>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</si>
  <si>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</si>
  <si>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</si>
  <si>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</si>
  <si>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</si>
  <si>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</si>
  <si>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</si>
  <si>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</si>
  <si>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</si>
  <si>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</si>
  <si>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</si>
  <si>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</si>
  <si>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</si>
  <si>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</si>
  <si>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</si>
  <si>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</si>
  <si>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</si>
  <si>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</si>
  <si>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</si>
  <si>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</si>
  <si>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</si>
  <si>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</si>
  <si>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</si>
  <si>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</si>
  <si>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</si>
  <si>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</si>
  <si>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</si>
  <si>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</si>
  <si>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</si>
  <si>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</si>
  <si>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</si>
  <si>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</si>
  <si>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</si>
  <si>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</si>
  <si>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</si>
  <si>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</si>
  <si>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</si>
  <si>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</si>
  <si>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</si>
  <si>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</si>
  <si>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</si>
  <si>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</si>
  <si>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</si>
  <si>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</si>
  <si>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</si>
  <si>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</si>
  <si>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</si>
  <si>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</si>
  <si>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</si>
  <si>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</si>
  <si>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</si>
  <si>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</si>
  <si>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</si>
  <si>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</si>
  <si>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</si>
  <si>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</si>
  <si>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</si>
  <si>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</si>
  <si>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</si>
  <si>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</si>
  <si>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</si>
  <si>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</si>
  <si>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</si>
  <si>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</si>
  <si>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</si>
  <si>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</si>
  <si>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</si>
  <si>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</si>
  <si>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</si>
  <si>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</si>
  <si>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</si>
  <si>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</si>
  <si>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</si>
  <si>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</si>
  <si>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</si>
  <si>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</si>
  <si>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</si>
  <si>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</si>
  <si>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</si>
  <si>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</si>
  <si>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</si>
  <si>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</si>
  <si>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</si>
  <si>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</si>
  <si>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</si>
  <si>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</si>
  <si>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</si>
  <si>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</si>
  <si>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</si>
  <si>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</si>
  <si>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</si>
  <si>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</si>
  <si>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</si>
  <si>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</si>
  <si>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</si>
  <si>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</si>
  <si>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</si>
  <si>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</si>
  <si>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</si>
  <si>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</si>
  <si>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</si>
  <si>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</si>
  <si>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</si>
  <si>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</si>
  <si>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</si>
  <si>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</si>
  <si>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</si>
  <si>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</si>
  <si>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</si>
  <si>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</si>
  <si>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</si>
  <si>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</si>
  <si>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</si>
  <si>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</si>
  <si>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</si>
  <si>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</si>
  <si>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</si>
  <si>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</si>
  <si>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</si>
  <si>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</si>
  <si>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</si>
  <si>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</si>
  <si>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</si>
  <si>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</si>
  <si>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</si>
  <si>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</si>
  <si>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</si>
  <si>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</si>
  <si>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</si>
  <si>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</si>
  <si>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</si>
  <si>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</si>
  <si>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</si>
  <si>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</si>
  <si>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</si>
  <si>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</si>
  <si>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</si>
  <si>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</si>
  <si>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</si>
  <si>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</si>
  <si>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</si>
  <si>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</si>
  <si>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</si>
  <si>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</si>
  <si>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</si>
  <si>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</si>
  <si>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</si>
  <si>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</si>
  <si>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</si>
  <si>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</si>
  <si>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</si>
  <si>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</si>
  <si>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</si>
  <si>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</si>
  <si>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</si>
  <si>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</si>
  <si>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</si>
  <si>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</si>
  <si>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</si>
  <si>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</si>
  <si>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</si>
  <si>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</si>
  <si>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</si>
  <si>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</si>
  <si>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</si>
  <si>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</si>
  <si>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</si>
  <si>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</si>
  <si>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</si>
  <si>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</si>
  <si>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</si>
  <si>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</si>
  <si>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</si>
  <si>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</si>
  <si>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</si>
  <si>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</si>
  <si>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</si>
  <si>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</si>
  <si>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</si>
  <si>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</si>
  <si>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</si>
  <si>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</si>
  <si>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</si>
  <si>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</si>
  <si>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</si>
  <si>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</si>
  <si>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</si>
  <si>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</si>
  <si>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</si>
  <si>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</si>
  <si>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</si>
  <si>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</si>
  <si>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</si>
  <si>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</si>
  <si>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</si>
  <si>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</si>
  <si>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</si>
  <si>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</si>
  <si>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</si>
  <si>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</si>
  <si>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</si>
  <si>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</si>
  <si>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</si>
  <si>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</si>
  <si>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</si>
  <si>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</si>
  <si>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</si>
  <si>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</si>
  <si>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</si>
  <si>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</si>
  <si>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</si>
  <si>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</si>
  <si>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</si>
  <si>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</si>
  <si>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</si>
  <si>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</si>
  <si>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</si>
  <si>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</si>
  <si>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</si>
  <si>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</si>
  <si>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</si>
  <si>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</si>
  <si>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</si>
  <si>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</si>
  <si>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</si>
  <si>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</si>
  <si>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</si>
  <si>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</si>
  <si>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</si>
  <si>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</si>
  <si>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</si>
  <si>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</si>
  <si>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</si>
  <si>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</si>
  <si>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</si>
  <si>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</si>
  <si>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</si>
  <si>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</si>
  <si>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</si>
  <si>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</si>
  <si>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</si>
  <si>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</si>
  <si>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</si>
  <si>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</si>
  <si>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</si>
  <si>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</si>
  <si>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</si>
  <si>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</si>
  <si>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</si>
  <si>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</si>
  <si>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</si>
  <si>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</si>
  <si>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</si>
  <si>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</si>
  <si>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</si>
  <si>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</si>
  <si>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</si>
  <si>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</si>
  <si>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</si>
  <si>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</si>
  <si>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</si>
  <si>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</si>
  <si>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</si>
  <si>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</si>
  <si>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</si>
  <si>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</si>
  <si>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</si>
  <si>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</si>
  <si>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</si>
  <si>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</si>
  <si>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</si>
  <si>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</si>
  <si>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</si>
  <si>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</si>
  <si>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</si>
  <si>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</si>
  <si>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</si>
  <si>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</si>
  <si>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</si>
  <si>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</si>
  <si>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</si>
  <si>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</si>
  <si>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</si>
  <si>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</si>
  <si>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</si>
  <si>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</si>
  <si>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</si>
  <si>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</si>
  <si>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</si>
  <si>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</si>
  <si>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</si>
  <si>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</si>
  <si>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</si>
  <si>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</si>
  <si>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</si>
  <si>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</si>
  <si>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</si>
  <si>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</si>
  <si>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</si>
  <si>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</si>
  <si>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</si>
  <si>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</si>
  <si>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</si>
  <si>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</si>
  <si>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</si>
  <si>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</si>
  <si>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</si>
  <si>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</si>
  <si>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</si>
  <si>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</si>
  <si>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</si>
  <si>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</si>
  <si>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</si>
  <si>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</si>
  <si>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</si>
  <si>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</si>
  <si>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</si>
  <si>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</si>
  <si>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</si>
  <si>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</si>
  <si>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</si>
  <si>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</si>
  <si>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</si>
  <si>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</si>
  <si>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</si>
  <si>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</si>
  <si>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</si>
  <si>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</si>
  <si>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</si>
  <si>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</si>
  <si>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</si>
  <si>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</si>
  <si>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</si>
  <si>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</si>
  <si>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</si>
  <si>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</si>
  <si>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</si>
  <si>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</si>
  <si>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</si>
  <si>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</si>
  <si>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</si>
  <si>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</si>
  <si>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</si>
  <si>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</si>
  <si>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</si>
  <si>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</si>
  <si>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</si>
  <si>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</si>
  <si>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</si>
  <si>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</si>
  <si>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</si>
  <si>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</si>
  <si>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</si>
  <si>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</si>
  <si>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</si>
  <si>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</si>
  <si>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</si>
  <si>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</si>
  <si>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</si>
  <si>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</si>
  <si>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</si>
  <si>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</si>
  <si>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</si>
  <si>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</si>
  <si>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</si>
  <si>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</si>
  <si>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</si>
  <si>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</si>
  <si>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</si>
  <si>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</si>
  <si>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</si>
  <si>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</si>
  <si>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</si>
  <si>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</si>
  <si>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</si>
  <si>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</si>
  <si>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</si>
  <si>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</si>
  <si>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</si>
  <si>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</si>
  <si>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</si>
  <si>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</si>
  <si>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</si>
  <si>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</si>
  <si>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</si>
  <si>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</si>
  <si>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</si>
  <si>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</si>
  <si>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</si>
  <si>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</si>
  <si>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</si>
  <si>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</si>
  <si>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</si>
  <si>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</si>
  <si>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</si>
  <si>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</si>
  <si>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</si>
  <si>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</si>
  <si>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</si>
  <si>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</si>
  <si>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</si>
  <si>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</si>
  <si>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</si>
  <si>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</si>
  <si>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</si>
  <si>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</si>
  <si>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</si>
  <si>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</si>
  <si>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</si>
  <si>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</si>
  <si>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</si>
  <si>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</si>
  <si>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</si>
  <si>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</si>
  <si>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</si>
  <si>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</si>
  <si>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</si>
  <si>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</si>
  <si>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</si>
  <si>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</si>
  <si>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</si>
  <si>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</si>
  <si>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</si>
  <si>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</si>
  <si>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</si>
  <si>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</si>
  <si>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</si>
  <si>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</si>
  <si>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</si>
  <si>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</si>
  <si>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</si>
  <si>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</si>
  <si>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</si>
  <si>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</si>
  <si>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</si>
  <si>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</si>
  <si>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</si>
  <si>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</si>
  <si>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</si>
  <si>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</si>
  <si>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</si>
  <si>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</si>
  <si>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</si>
  <si>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</si>
  <si>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</si>
  <si>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</si>
  <si>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</si>
  <si>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</si>
  <si>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</si>
  <si>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</si>
  <si>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</si>
  <si>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</si>
  <si>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</si>
  <si>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</si>
  <si>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</si>
  <si>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</si>
  <si>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</si>
  <si>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</si>
  <si>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</si>
  <si>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</si>
  <si>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</si>
  <si>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</si>
  <si>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</si>
  <si>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</si>
  <si>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</si>
  <si>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</si>
  <si>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</si>
  <si>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</si>
  <si>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</si>
  <si>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</si>
  <si>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</si>
  <si>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</si>
  <si>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</si>
  <si>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</si>
  <si>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</si>
  <si>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</si>
  <si>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</si>
  <si>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</si>
  <si>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</si>
  <si>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</si>
  <si>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</si>
  <si>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</si>
  <si>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</si>
  <si>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</si>
  <si>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</si>
  <si>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</si>
  <si>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</si>
  <si>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</si>
  <si>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</si>
  <si>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</si>
  <si>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</si>
  <si>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</si>
  <si>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</si>
  <si>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</si>
  <si>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</si>
  <si>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</si>
  <si>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</si>
  <si>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</si>
  <si>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</si>
  <si>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</si>
  <si>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</si>
  <si>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</si>
  <si>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</si>
  <si>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</si>
  <si>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</si>
  <si>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</si>
  <si>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</si>
  <si>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</si>
  <si>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</si>
  <si>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</si>
  <si>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</si>
  <si>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</si>
  <si>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</si>
  <si>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</si>
  <si>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</si>
  <si>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</si>
  <si>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</si>
  <si>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</si>
  <si>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</si>
  <si>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</si>
  <si>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</si>
  <si>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</si>
  <si>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</si>
  <si>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</si>
  <si>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</si>
  <si>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</si>
  <si>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</si>
  <si>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</si>
  <si>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</si>
  <si>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</si>
  <si>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</si>
  <si>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</si>
  <si>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</si>
  <si>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</si>
  <si>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</si>
  <si>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</si>
  <si>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</si>
  <si>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</si>
  <si>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</si>
  <si>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</si>
  <si>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</si>
  <si>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</si>
  <si>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</si>
  <si>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</si>
  <si>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</si>
  <si>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</si>
  <si>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</si>
  <si>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</si>
  <si>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</si>
  <si>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</si>
  <si>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</si>
  <si>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</si>
  <si>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</si>
  <si>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</si>
  <si>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</si>
  <si>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</si>
  <si>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</si>
  <si>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</si>
  <si>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</si>
  <si>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</si>
  <si>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</si>
  <si>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</si>
  <si>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</si>
  <si>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</si>
  <si>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</si>
  <si>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</si>
  <si>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</si>
  <si>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</si>
  <si>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</si>
  <si>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</si>
  <si>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</si>
  <si>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</si>
  <si>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</si>
  <si>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</si>
  <si>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</si>
  <si>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</si>
  <si>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</si>
  <si>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</si>
  <si>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</si>
  <si>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</si>
  <si>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</si>
  <si>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</si>
  <si>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</si>
  <si>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</si>
  <si>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</si>
  <si>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</si>
  <si>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</si>
  <si>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</si>
  <si>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</si>
  <si>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</si>
  <si>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</si>
  <si>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</si>
  <si>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</si>
  <si>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</si>
  <si>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</si>
  <si>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</si>
  <si>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</si>
  <si>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</si>
  <si>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</si>
  <si>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</si>
  <si>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</si>
  <si>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</si>
  <si>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</si>
  <si>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</si>
  <si>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</si>
  <si>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</si>
  <si>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</si>
  <si>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</si>
  <si>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</si>
  <si>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</si>
  <si>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</si>
  <si>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</si>
  <si>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</si>
  <si>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</si>
  <si>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</si>
  <si>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</si>
  <si>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</si>
  <si>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</si>
  <si>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</si>
  <si>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</si>
  <si>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</si>
  <si>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</si>
  <si>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</si>
  <si>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</si>
  <si>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</si>
  <si>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</si>
  <si>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</si>
  <si>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</si>
  <si>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</si>
  <si>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</si>
  <si>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</si>
  <si>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</si>
  <si>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</si>
  <si>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</si>
  <si>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</si>
  <si>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</si>
  <si>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</si>
  <si>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</si>
  <si>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</si>
  <si>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</si>
  <si>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</si>
  <si>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</si>
  <si>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</si>
  <si>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</si>
  <si>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</si>
  <si>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</si>
  <si>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</si>
  <si>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</si>
  <si>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</si>
  <si>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</si>
  <si>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</si>
  <si>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</si>
  <si>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</si>
  <si>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</si>
  <si>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</si>
  <si>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</si>
  <si>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</si>
  <si>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</si>
  <si>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</si>
  <si>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</si>
  <si>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</si>
  <si>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</si>
  <si>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</si>
  <si>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</si>
  <si>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</si>
  <si>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</si>
  <si>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</si>
  <si>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</si>
  <si>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</si>
  <si>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</si>
  <si>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</si>
  <si>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</si>
  <si>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</si>
  <si>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</si>
  <si>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</si>
  <si>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</si>
  <si>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</si>
  <si>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</si>
  <si>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</si>
  <si>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</si>
  <si>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</si>
  <si>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</si>
  <si>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</si>
  <si>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</si>
  <si>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</si>
  <si>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</si>
  <si>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</si>
  <si>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</si>
  <si>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</si>
  <si>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</si>
  <si>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</si>
  <si>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</si>
  <si>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</si>
  <si>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</si>
  <si>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</si>
  <si>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</si>
  <si>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</si>
  <si>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</si>
  <si>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</si>
  <si>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</si>
  <si>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</si>
  <si>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</si>
  <si>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</si>
  <si>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</si>
  <si>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</si>
  <si>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</si>
  <si>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</si>
  <si>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</si>
  <si>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</si>
  <si>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</si>
  <si>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</si>
  <si>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</si>
  <si>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</si>
  <si>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</si>
  <si>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</si>
  <si>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</si>
  <si>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</si>
  <si>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</si>
  <si>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</si>
  <si>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</si>
  <si>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</si>
  <si>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</si>
  <si>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</si>
  <si>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</si>
  <si>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</si>
  <si>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</si>
  <si>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</si>
  <si>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</si>
  <si>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</si>
  <si>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</si>
  <si>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</si>
  <si>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</si>
  <si>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</si>
  <si>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</si>
  <si>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</si>
  <si>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</si>
  <si>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</si>
  <si>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</si>
  <si>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</si>
  <si>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</si>
  <si>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</si>
  <si>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</si>
  <si>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</si>
  <si>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</si>
  <si>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</si>
  <si>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</si>
  <si>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</si>
  <si>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</si>
  <si>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</si>
  <si>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</si>
  <si>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</si>
  <si>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</si>
  <si>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</si>
  <si>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</si>
  <si>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</si>
  <si>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</si>
  <si>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</si>
  <si>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</si>
  <si>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</si>
  <si>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</si>
  <si>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</si>
  <si>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</si>
  <si>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</si>
  <si>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</si>
  <si>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</si>
  <si>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</si>
  <si>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</si>
  <si>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</si>
  <si>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</si>
  <si>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</si>
  <si>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</si>
  <si>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</si>
  <si>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</si>
  <si>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</si>
  <si>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</si>
  <si>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</si>
  <si>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</si>
  <si>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</si>
  <si>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</si>
  <si>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</si>
  <si>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</si>
  <si>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</si>
  <si>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</si>
  <si>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</si>
  <si>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</si>
  <si>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</si>
  <si>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</si>
  <si>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</si>
  <si>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</si>
  <si>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</si>
  <si>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</si>
  <si>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</si>
  <si>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</si>
  <si>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</si>
  <si>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</si>
  <si>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</si>
  <si>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</si>
  <si>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</si>
  <si>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</si>
  <si>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</si>
  <si>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</si>
  <si>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</si>
  <si>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</si>
  <si>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</si>
  <si>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</si>
  <si>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</si>
  <si>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</si>
  <si>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</si>
  <si>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</si>
  <si>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</si>
  <si>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</si>
  <si>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</si>
  <si>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</si>
  <si>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</si>
  <si>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</si>
  <si>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</si>
  <si>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</si>
  <si>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</si>
  <si>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</si>
  <si>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</si>
  <si>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</si>
  <si>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</si>
  <si>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</si>
  <si>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</si>
  <si>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</si>
  <si>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</si>
  <si>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</si>
  <si>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</si>
  <si>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</si>
  <si>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</si>
  <si>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</si>
  <si>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</si>
  <si>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</si>
  <si>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</si>
  <si>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</si>
  <si>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</si>
  <si>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</si>
  <si>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</si>
  <si>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</si>
  <si>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</si>
  <si>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</si>
  <si>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</si>
  <si>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</si>
  <si>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</si>
  <si>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</si>
  <si>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</si>
  <si>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</si>
  <si>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</si>
  <si>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</si>
  <si>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</si>
  <si>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</si>
  <si>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</si>
  <si>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</si>
  <si>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</si>
  <si>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</si>
  <si>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</si>
  <si>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</si>
  <si>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</si>
  <si>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</si>
  <si>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</si>
  <si>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</si>
  <si>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</si>
  <si>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</si>
  <si>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</si>
  <si>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</si>
  <si>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</si>
  <si>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</si>
  <si>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</si>
  <si>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</si>
  <si>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</si>
  <si>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</si>
  <si>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</si>
  <si>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</si>
  <si>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</si>
  <si>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</si>
  <si>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</si>
  <si>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</si>
  <si>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</si>
  <si>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</si>
  <si>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</si>
  <si>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</si>
  <si>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</si>
  <si>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</si>
  <si>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</si>
  <si>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</si>
  <si>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</si>
  <si>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</si>
  <si>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</si>
  <si>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</si>
  <si>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</si>
  <si>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</si>
  <si>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</si>
  <si>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</si>
  <si>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</si>
  <si>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</si>
  <si>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</si>
  <si>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</si>
  <si>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</si>
  <si>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</si>
  <si>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</si>
  <si>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</si>
  <si>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</si>
  <si>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</si>
  <si>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</si>
  <si>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</si>
  <si>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</si>
  <si>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</si>
  <si>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</si>
  <si>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</si>
  <si>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</si>
  <si>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</si>
  <si>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</si>
  <si>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</si>
  <si>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</si>
  <si>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</si>
  <si>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</si>
  <si>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</si>
  <si>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</si>
  <si>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</si>
  <si>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</si>
  <si>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</si>
  <si>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</si>
  <si>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</si>
  <si>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</si>
  <si>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</si>
  <si>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</si>
  <si>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</si>
  <si>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2</t>
  </si>
  <si>
    <t>Территория 3</t>
  </si>
  <si>
    <t>ID_TARIFF_NAME</t>
  </si>
  <si>
    <t>TARIFF_NAME</t>
  </si>
  <si>
    <t>VED_NAME</t>
  </si>
  <si>
    <t>4190064</t>
  </si>
  <si>
    <t>4190065</t>
  </si>
  <si>
    <t>4190066</t>
  </si>
  <si>
    <t>4190067</t>
  </si>
  <si>
    <t>4190069</t>
  </si>
  <si>
    <t>4190070</t>
  </si>
  <si>
    <t>4190071</t>
  </si>
  <si>
    <t>4190072</t>
  </si>
  <si>
    <t>Город Апатиты</t>
  </si>
  <si>
    <t>47705000</t>
  </si>
  <si>
    <t>Город Кировск</t>
  </si>
  <si>
    <t>47712000</t>
  </si>
  <si>
    <t>Город Мончегорск</t>
  </si>
  <si>
    <t>47715000</t>
  </si>
  <si>
    <t>Город Оленегорск</t>
  </si>
  <si>
    <t>47717000</t>
  </si>
  <si>
    <t>Город Полярные Зори</t>
  </si>
  <si>
    <t>47719000</t>
  </si>
  <si>
    <t>Ковдорский район</t>
  </si>
  <si>
    <t>47703000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</si>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</sst>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558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0" fillId="0" borderId="0" xfId="0" applyNumberFormat="1" applyFont="1">
      <alignment vertical="top"/>
    </xf>
    <xf numFmtId="49" fontId="2" fillId="0" borderId="0" xfId="0" applyNumberFormat="1" applyFont="1" applyAlignment="1">
      <alignment vertical="center" wrapText="1"/>
    </xf>
    <xf numFmtId="0" fontId="2"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169" fontId="2" fillId="0" borderId="3" xfId="0" applyNumberFormat="1" applyFont="1" applyBorder="1" applyAlignment="1">
      <alignment horizontal="right" vertical="center" wrapText="1"/>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10" xfId="0" applyNumberFormat="1" applyFont="1" applyBorder="1" applyAlignment="1">
      <alignment horizontal="left" vertical="center" wrapText="1" inden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0" fillId="0" borderId="27" xfId="0" applyNumberFormat="1" applyFont="1" applyBorder="1" applyAlignment="1">
      <alignment horizontal="center" vertical="center" wrapText="1"/>
    </xf>
    <xf numFmtId="0" fontId="53" fillId="6" borderId="0" xfId="0" applyNumberFormat="1" applyFont="1" applyFill="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2" fillId="0" borderId="0" xfId="0" applyNumberFormat="1" applyFont="1" applyAlignment="1">
      <alignment horizontal="center" vertical="center"/>
    </xf>
    <xf numFmtId="0" fontId="2"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 fontId="2" fillId="7" borderId="4" xfId="0" applyNumberFormat="1" applyFont="1" applyFill="1" applyBorder="1" applyAlignment="1" applyProtection="1">
      <alignment horizontal="right" vertical="center" wrapText="1"/>
      <protection locked="0"/>
    </xf>
    <xf numFmtId="0" fontId="17" fillId="0" borderId="8" xfId="0" applyNumberFormat="1" applyFont="1" applyBorder="1" applyAlignment="1">
      <alignment vertical="top" wrapText="1"/>
    </xf>
    <xf numFmtId="49" fontId="0" fillId="0" borderId="0" xfId="0" applyNumberFormat="1" applyFont="1">
      <alignment vertical="top"/>
    </xf>
    <xf numFmtId="0" fontId="2" fillId="7"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2" fillId="0" borderId="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49" fontId="46" fillId="0" borderId="0" xfId="0" applyNumberFormat="1" applyFont="1" applyAlignment="1">
      <alignment horizontal="left" vertical="center"/>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7" fillId="0" borderId="0" xfId="0" applyNumberFormat="1" applyFont="1" applyAlignment="1">
      <alignment horizontal="center" vertical="center" wrapText="1"/>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8" xfId="0" applyNumberFormat="1" applyFont="1" applyFill="1" applyBorder="1" applyAlignment="1">
      <alignment horizontal="left" vertical="top" wrapText="1"/>
    </xf>
    <xf numFmtId="0" fontId="2" fillId="11" borderId="27" xfId="0" applyNumberFormat="1" applyFont="1" applyFill="1" applyBorder="1" applyAlignment="1">
      <alignment horizontal="left" vertical="top" wrapText="1"/>
    </xf>
    <xf numFmtId="0" fontId="2" fillId="11" borderId="14"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2" fillId="0" borderId="27" xfId="0" applyNumberFormat="1" applyFont="1" applyBorder="1" applyAlignment="1">
      <alignment vertical="center"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27df82f0-827f-49c4-be73-741c630613a6" TargetMode="External"/><Relationship Id="rId2" Type="http://schemas.openxmlformats.org/officeDocument/2006/relationships/hyperlink" Target="https://portal.eias.ru/Portal/DownloadPage.aspx?type=12&amp;guid=27df82f0-827f-49c4-be73-741c630613a6" TargetMode="External"/><Relationship Id="rId1" Type="http://schemas.openxmlformats.org/officeDocument/2006/relationships/hyperlink" Target="https://portal.eias.ru/Portal/DownloadPage.aspx?type=12&amp;guid=1e291b01-6579-4458-96e8-e65ecce34e9d"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6" customWidth="1"/>
    <col min="2" max="2" width="9.140625" style="1796" customWidth="1"/>
    <col min="3" max="3" width="16.42578125" style="1796" customWidth="1"/>
    <col min="4" max="25" width="6.28515625" style="1796" customWidth="1"/>
    <col min="26" max="28" width="11" style="1796"/>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5132" t="s">
        <v>1</v>
      </c>
      <c r="C2" s="5132"/>
      <c r="D2" s="5132"/>
      <c r="E2" s="5132"/>
      <c r="F2" s="5132"/>
      <c r="G2" s="5132"/>
      <c r="H2" s="5132"/>
      <c r="I2" s="5132"/>
      <c r="J2" s="5132"/>
      <c r="K2" s="5132"/>
      <c r="L2" s="5132"/>
      <c r="M2" s="5132"/>
      <c r="N2" s="5132"/>
      <c r="O2" s="5132"/>
      <c r="P2" s="5132"/>
      <c r="Q2" s="1614"/>
      <c r="R2" s="1614"/>
      <c r="S2" s="1614"/>
      <c r="T2" s="1614"/>
      <c r="U2" s="1614"/>
      <c r="V2" s="1615"/>
      <c r="W2" s="1614"/>
      <c r="X2" s="1614"/>
      <c r="Y2" s="1612"/>
      <c r="Z2" s="1611"/>
      <c r="AA2" s="1613"/>
      <c r="AB2" s="1611"/>
    </row>
    <row r="3" spans="1:28" ht="15.75" customHeight="1">
      <c r="A3" s="1611"/>
      <c r="B3" s="5133" t="s">
        <v>2</v>
      </c>
      <c r="C3" s="5133"/>
      <c r="D3" s="5133"/>
      <c r="E3" s="5133"/>
      <c r="F3" s="5133"/>
      <c r="G3" s="5133"/>
      <c r="H3" s="5133"/>
      <c r="I3" s="5133"/>
      <c r="J3" s="5133"/>
      <c r="K3" s="5133"/>
      <c r="L3" s="5133"/>
      <c r="M3" s="5133"/>
      <c r="N3" s="5133"/>
      <c r="O3" s="5133"/>
      <c r="P3" s="5133"/>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513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5135"/>
      <c r="D5" s="5135"/>
      <c r="E5" s="5135"/>
      <c r="F5" s="5135"/>
      <c r="G5" s="5135"/>
      <c r="H5" s="5135"/>
      <c r="I5" s="5135"/>
      <c r="J5" s="5135"/>
      <c r="K5" s="5135"/>
      <c r="L5" s="5135"/>
      <c r="M5" s="5135"/>
      <c r="N5" s="5135"/>
      <c r="O5" s="5135"/>
      <c r="P5" s="5135"/>
      <c r="Q5" s="5135"/>
      <c r="R5" s="5135"/>
      <c r="S5" s="5135"/>
      <c r="T5" s="5135"/>
      <c r="U5" s="5135"/>
      <c r="V5" s="5135"/>
      <c r="W5" s="5135"/>
      <c r="X5" s="5135"/>
      <c r="Y5" s="5136"/>
      <c r="Z5" s="1617"/>
      <c r="AA5" s="1613"/>
      <c r="AB5" s="1617"/>
    </row>
    <row r="6" spans="1:28" ht="15" customHeight="1">
      <c r="A6" s="1618"/>
      <c r="B6" s="5137" t="s">
        <v>3</v>
      </c>
      <c r="C6" s="5138"/>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5137"/>
      <c r="C7" s="5138"/>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5137"/>
      <c r="C8" s="5138"/>
      <c r="D8" s="1624"/>
      <c r="E8" s="1625" t="s">
        <v>4</v>
      </c>
      <c r="F8" s="5140" t="s">
        <v>5</v>
      </c>
      <c r="G8" s="5141"/>
      <c r="H8" s="5141"/>
      <c r="I8" s="5141"/>
      <c r="J8" s="5141"/>
      <c r="K8" s="5141"/>
      <c r="L8" s="5141"/>
      <c r="M8" s="5141"/>
      <c r="N8" s="1624"/>
      <c r="O8" s="1626" t="s">
        <v>4</v>
      </c>
      <c r="P8" s="5142" t="s">
        <v>6</v>
      </c>
      <c r="Q8" s="5143"/>
      <c r="R8" s="5143"/>
      <c r="S8" s="5143"/>
      <c r="T8" s="5143"/>
      <c r="U8" s="5143"/>
      <c r="V8" s="5143"/>
      <c r="W8" s="5143"/>
      <c r="X8" s="5143"/>
      <c r="Y8" s="1620"/>
      <c r="Z8" s="1621"/>
      <c r="AA8" s="1622"/>
      <c r="AB8" s="1622"/>
    </row>
    <row r="9" spans="1:28" ht="15" customHeight="1">
      <c r="A9" s="1618"/>
      <c r="B9" s="5137"/>
      <c r="C9" s="5138"/>
      <c r="D9" s="1624"/>
      <c r="E9" s="1627" t="s">
        <v>4</v>
      </c>
      <c r="F9" s="5140" t="s">
        <v>7</v>
      </c>
      <c r="G9" s="5141"/>
      <c r="H9" s="5141"/>
      <c r="I9" s="5141"/>
      <c r="J9" s="5141"/>
      <c r="K9" s="5141"/>
      <c r="L9" s="5141"/>
      <c r="M9" s="5141"/>
      <c r="N9" s="1624"/>
      <c r="O9" s="1628" t="s">
        <v>4</v>
      </c>
      <c r="P9" s="5142" t="s">
        <v>8</v>
      </c>
      <c r="Q9" s="5143"/>
      <c r="R9" s="5143"/>
      <c r="S9" s="5143"/>
      <c r="T9" s="5143"/>
      <c r="U9" s="5143"/>
      <c r="V9" s="5143"/>
      <c r="W9" s="5143"/>
      <c r="X9" s="5143"/>
      <c r="Y9" s="1620"/>
      <c r="Z9" s="1621"/>
      <c r="AA9" s="1622"/>
      <c r="AB9" s="1622"/>
    </row>
    <row r="10" spans="1:28" ht="30" customHeight="1">
      <c r="A10" s="1618"/>
      <c r="B10" s="5137"/>
      <c r="C10" s="5139"/>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5144" t="s">
        <v>9</v>
      </c>
      <c r="C11" s="5145"/>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5137"/>
      <c r="C12" s="5139"/>
      <c r="D12" s="1632"/>
      <c r="E12" s="5141" t="s">
        <v>10</v>
      </c>
      <c r="F12" s="5141"/>
      <c r="G12" s="5141"/>
      <c r="H12" s="5141"/>
      <c r="I12" s="5141"/>
      <c r="J12" s="5141"/>
      <c r="K12" s="5141"/>
      <c r="L12" s="5141"/>
      <c r="M12" s="5141"/>
      <c r="N12" s="5141"/>
      <c r="O12" s="5141"/>
      <c r="P12" s="5141"/>
      <c r="Q12" s="5141"/>
      <c r="R12" s="5141"/>
      <c r="S12" s="5141"/>
      <c r="T12" s="5141"/>
      <c r="U12" s="5141"/>
      <c r="V12" s="5141"/>
      <c r="W12" s="5141"/>
      <c r="X12" s="5141"/>
      <c r="Y12" s="1620"/>
      <c r="Z12" s="1621"/>
      <c r="AA12" s="1622"/>
      <c r="AB12" s="1622"/>
    </row>
    <row r="13" spans="1:28" ht="15" customHeight="1">
      <c r="A13" s="1618"/>
      <c r="B13" s="5144" t="s">
        <v>11</v>
      </c>
      <c r="C13" s="5145"/>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5137"/>
      <c r="C14" s="5138"/>
      <c r="D14" s="1624"/>
      <c r="E14" s="5148" t="s">
        <v>12</v>
      </c>
      <c r="F14" s="5148"/>
      <c r="G14" s="5148"/>
      <c r="H14" s="5148"/>
      <c r="I14" s="5148"/>
      <c r="J14" s="5148"/>
      <c r="K14" s="5148"/>
      <c r="L14" s="5148"/>
      <c r="M14" s="5148"/>
      <c r="N14" s="5148"/>
      <c r="O14" s="5148"/>
      <c r="P14" s="5148"/>
      <c r="Q14" s="5148"/>
      <c r="R14" s="5148"/>
      <c r="S14" s="5148"/>
      <c r="T14" s="5148"/>
      <c r="U14" s="5148"/>
      <c r="V14" s="5148"/>
      <c r="W14" s="5148"/>
      <c r="X14" s="5148"/>
      <c r="Y14" s="1620"/>
      <c r="Z14" s="1621"/>
      <c r="AA14" s="1622"/>
      <c r="AB14" s="1622"/>
    </row>
    <row r="15" spans="1:28" ht="16.5" customHeight="1">
      <c r="A15" s="1618"/>
      <c r="B15" s="5146"/>
      <c r="C15" s="5147"/>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5148"/>
      <c r="C16" s="5149"/>
      <c r="D16" s="5149"/>
      <c r="E16" s="5149"/>
      <c r="F16" s="5149"/>
      <c r="G16" s="5149"/>
      <c r="H16" s="5149"/>
      <c r="I16" s="5149"/>
      <c r="J16" s="5149"/>
      <c r="K16" s="5149"/>
      <c r="L16" s="5149"/>
      <c r="M16" s="5149"/>
      <c r="N16" s="5149"/>
      <c r="O16" s="5149"/>
      <c r="P16" s="5149"/>
      <c r="Q16" s="5149"/>
      <c r="R16" s="5149"/>
      <c r="S16" s="5149"/>
      <c r="T16" s="5149"/>
      <c r="U16" s="5149"/>
      <c r="V16" s="5149"/>
      <c r="W16" s="5149"/>
      <c r="X16" s="5149"/>
      <c r="Y16" s="5149"/>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28" zoomScale="135" workbookViewId="0">
      <selection activeCell="F26" sqref="F26"/>
    </sheetView>
  </sheetViews>
  <sheetFormatPr defaultColWidth="9.140625" defaultRowHeight="11.25" customHeight="1"/>
  <cols>
    <col min="1" max="1" width="10.7109375" style="1803" hidden="1" customWidth="1"/>
    <col min="2" max="2" width="10.7109375" style="1800" hidden="1" customWidth="1"/>
    <col min="3" max="3" width="3.7109375" style="1815" customWidth="1"/>
    <col min="4" max="4" width="1.7109375" style="1816" customWidth="1"/>
    <col min="5" max="5" width="55.28515625" style="1816" customWidth="1"/>
    <col min="6" max="6" width="50.7109375" style="1816" customWidth="1"/>
    <col min="7" max="7" width="1.7109375" style="1804" customWidth="1"/>
    <col min="8" max="8" width="18" style="1805" hidden="1" customWidth="1"/>
    <col min="9" max="9" width="9.5703125" style="1798" customWidth="1"/>
    <col min="10" max="10" width="52.140625" style="1806" hidden="1" customWidth="1"/>
    <col min="11" max="11" width="9.140625" style="1816"/>
    <col min="12" max="12" width="78" style="1816" customWidth="1"/>
    <col min="13" max="16" width="9.140625" style="1816"/>
  </cols>
  <sheetData>
    <row r="1" spans="1:11" s="1797" customFormat="1" ht="3" customHeight="1">
      <c r="A1" s="699"/>
      <c r="B1" s="159"/>
      <c r="F1" s="160">
        <v>26354809</v>
      </c>
      <c r="G1" s="344"/>
      <c r="H1" s="7"/>
      <c r="I1" s="344"/>
      <c r="J1" s="783"/>
    </row>
    <row r="2" spans="1:11" s="1799" customFormat="1" ht="14.25" customHeight="1">
      <c r="A2" s="699"/>
      <c r="B2" s="31"/>
      <c r="E2" s="1647"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2" customFormat="1" ht="6" customHeight="1">
      <c r="A4" s="700"/>
      <c r="B4" s="151"/>
      <c r="C4" s="152"/>
      <c r="D4" s="153"/>
      <c r="E4" s="161"/>
      <c r="F4" s="162"/>
      <c r="G4" s="687"/>
      <c r="H4" s="342"/>
      <c r="I4" s="344"/>
      <c r="J4" s="786"/>
    </row>
    <row r="5" spans="1:11" ht="37.5" customHeight="1">
      <c r="D5" s="9"/>
      <c r="E5" s="5150" t="str">
        <f>NameTemplatesInTitle</f>
        <v>Показатели, подлежащие раскрытию в сфере теплоснабжения (цены и тарифы)</v>
      </c>
      <c r="F5" s="5151"/>
      <c r="G5" s="688"/>
      <c r="J5" s="787"/>
    </row>
    <row r="6" spans="1:11" s="1802" customFormat="1" ht="6" customHeight="1">
      <c r="A6" s="700"/>
      <c r="B6" s="151"/>
      <c r="C6" s="152"/>
      <c r="D6" s="153"/>
      <c r="E6" s="155"/>
      <c r="F6" s="156"/>
      <c r="G6" s="688"/>
      <c r="H6" s="342"/>
      <c r="I6" s="344"/>
      <c r="J6" s="786"/>
    </row>
    <row r="7" spans="1:11" ht="19.5" customHeight="1">
      <c r="D7" s="9"/>
      <c r="E7" s="324" t="s">
        <v>13</v>
      </c>
      <c r="F7" s="136" t="s">
        <v>14</v>
      </c>
      <c r="G7" s="688"/>
    </row>
    <row r="8" spans="1:11" s="1802" customFormat="1" ht="6" customHeight="1">
      <c r="A8" s="701"/>
      <c r="B8" s="151"/>
      <c r="C8" s="152"/>
      <c r="D8" s="157"/>
      <c r="E8" s="155"/>
      <c r="F8" s="158"/>
      <c r="G8" s="11"/>
      <c r="H8" s="342"/>
      <c r="I8" s="344"/>
      <c r="J8" s="789"/>
    </row>
    <row r="9" spans="1:11" s="1805" customFormat="1" ht="19.5" hidden="1" customHeight="1">
      <c r="A9" s="700"/>
      <c r="B9" s="31"/>
      <c r="C9" s="341"/>
      <c r="D9" s="343"/>
      <c r="E9" s="1064" t="s">
        <v>15</v>
      </c>
      <c r="F9" s="1050"/>
      <c r="G9" s="688"/>
      <c r="I9" s="344"/>
      <c r="J9" s="788"/>
    </row>
    <row r="10" spans="1:11" s="1807" customFormat="1" ht="6" customHeight="1">
      <c r="A10" s="701"/>
      <c r="B10" s="358"/>
      <c r="C10" s="359"/>
      <c r="D10" s="157"/>
      <c r="E10" s="155"/>
      <c r="F10" s="158"/>
      <c r="G10" s="11"/>
      <c r="H10" s="342"/>
      <c r="I10" s="344"/>
      <c r="J10" s="789"/>
    </row>
    <row r="11" spans="1:11" ht="22.5" customHeight="1">
      <c r="A11" s="5153" t="s">
        <v>16</v>
      </c>
      <c r="D11" s="9"/>
      <c r="E11" s="1064" t="s">
        <v>17</v>
      </c>
      <c r="F11" s="1808">
        <v>44927.338067129633</v>
      </c>
      <c r="G11" s="11"/>
      <c r="H11" s="689" t="s">
        <v>18</v>
      </c>
      <c r="J11" s="788" t="s">
        <v>19</v>
      </c>
    </row>
    <row r="12" spans="1:11" ht="22.5" customHeight="1">
      <c r="A12" s="5153"/>
      <c r="D12" s="9"/>
      <c r="E12" s="1064" t="s">
        <v>20</v>
      </c>
      <c r="F12" s="1808">
        <v>46752.338194444441</v>
      </c>
      <c r="G12" s="8"/>
      <c r="J12" s="788" t="s">
        <v>21</v>
      </c>
    </row>
    <row r="13" spans="1:11" s="1805" customFormat="1" ht="22.5" hidden="1" customHeight="1">
      <c r="A13" s="704" t="s">
        <v>22</v>
      </c>
      <c r="B13" s="31"/>
      <c r="C13" s="341"/>
      <c r="D13" s="343"/>
      <c r="E13" s="1683" t="s">
        <v>23</v>
      </c>
      <c r="F13" s="1641" t="s">
        <v>24</v>
      </c>
      <c r="G13" s="11"/>
      <c r="H13" s="686"/>
      <c r="I13" s="344"/>
      <c r="J13" s="1684" t="s">
        <v>25</v>
      </c>
    </row>
    <row r="14" spans="1:11" s="1805" customFormat="1" ht="27" hidden="1" customHeight="1">
      <c r="A14" s="704" t="s">
        <v>26</v>
      </c>
      <c r="B14" s="31"/>
      <c r="C14" s="341"/>
      <c r="D14" s="343"/>
      <c r="E14" s="1064" t="s">
        <v>27</v>
      </c>
      <c r="F14" s="1675"/>
      <c r="G14" s="11"/>
      <c r="H14" s="686"/>
      <c r="I14" s="344"/>
      <c r="J14" s="788" t="s">
        <v>28</v>
      </c>
    </row>
    <row r="15" spans="1:11" s="1805" customFormat="1" ht="19.5" hidden="1" customHeight="1">
      <c r="A15" s="704" t="s">
        <v>29</v>
      </c>
      <c r="B15" s="31"/>
      <c r="C15" s="341"/>
      <c r="D15" s="343"/>
      <c r="E15" s="1064" t="s">
        <v>30</v>
      </c>
      <c r="F15" s="1675"/>
      <c r="G15" s="11"/>
      <c r="H15" s="686"/>
      <c r="I15" s="344"/>
      <c r="J15" s="788" t="s">
        <v>31</v>
      </c>
    </row>
    <row r="16" spans="1:11" s="1802" customFormat="1" ht="6" customHeight="1">
      <c r="A16" s="701"/>
      <c r="B16" s="151"/>
      <c r="C16" s="152"/>
      <c r="D16" s="157"/>
      <c r="E16" s="155"/>
      <c r="F16" s="158"/>
      <c r="G16" s="11"/>
      <c r="H16" s="342"/>
      <c r="I16" s="344"/>
      <c r="J16" s="786"/>
    </row>
    <row r="17" spans="1:10" ht="19.5" customHeight="1">
      <c r="D17" s="9"/>
      <c r="E17" s="324" t="s">
        <v>32</v>
      </c>
      <c r="F17" s="1809" t="s">
        <v>33</v>
      </c>
      <c r="G17" s="8"/>
      <c r="H17" s="689" t="s">
        <v>18</v>
      </c>
    </row>
    <row r="18" spans="1:10" ht="25.5" customHeight="1">
      <c r="D18" s="9"/>
      <c r="E18" s="1683" t="s">
        <v>34</v>
      </c>
      <c r="F18" s="1810">
        <v>45278.338553240741</v>
      </c>
      <c r="G18" s="8"/>
      <c r="I18" s="690"/>
      <c r="J18" s="5152"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0">
        <v>45292.338773148149</v>
      </c>
      <c r="G19" s="8"/>
      <c r="I19" s="690"/>
      <c r="J19" s="5152"/>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8">
        <v>44883.339189814818</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0">
        <v>45646.340555555558</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1" t="s">
        <v>43</v>
      </c>
      <c r="G27" s="8"/>
    </row>
    <row r="28" spans="1:10" ht="24.75" customHeight="1">
      <c r="D28" s="9"/>
      <c r="E28" s="324" t="s">
        <v>44</v>
      </c>
      <c r="F28" s="1811" t="s">
        <v>39</v>
      </c>
      <c r="G28" s="8"/>
    </row>
    <row r="29" spans="1:10" ht="19.5" customHeight="1">
      <c r="D29" s="9"/>
      <c r="E29" s="324" t="s">
        <v>40</v>
      </c>
      <c r="F29" s="1811" t="s">
        <v>41</v>
      </c>
      <c r="G29" s="8"/>
    </row>
    <row r="30" spans="1:10" s="1802"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4"/>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2" customFormat="1" ht="11.25" customHeight="1">
      <c r="A35" s="701"/>
      <c r="B35" s="151"/>
      <c r="C35" s="152"/>
      <c r="D35" s="157"/>
      <c r="E35" s="155"/>
      <c r="F35" s="158"/>
      <c r="G35" s="11"/>
      <c r="H35" s="342"/>
      <c r="I35" s="344"/>
      <c r="J35" s="786"/>
    </row>
    <row r="36" spans="1:10" ht="19.5" customHeight="1">
      <c r="A36" s="791"/>
      <c r="D36" s="13"/>
      <c r="E36" s="324" t="s">
        <v>52</v>
      </c>
      <c r="F36" s="1812" t="s">
        <v>53</v>
      </c>
      <c r="G36" s="11"/>
    </row>
    <row r="37" spans="1:10" ht="19.5" customHeight="1">
      <c r="A37" s="791"/>
      <c r="D37" s="13"/>
      <c r="E37" s="324" t="s">
        <v>54</v>
      </c>
      <c r="F37" s="1812" t="s">
        <v>55</v>
      </c>
      <c r="G37" s="11"/>
    </row>
    <row r="38" spans="1:10" s="1802"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7" customFormat="1" ht="6" hidden="1" customHeight="1">
      <c r="A40" s="700"/>
      <c r="B40" s="358"/>
      <c r="C40" s="359"/>
      <c r="D40" s="360"/>
      <c r="E40" s="361"/>
      <c r="F40" s="959"/>
      <c r="G40" s="8"/>
      <c r="H40" s="342"/>
      <c r="I40" s="344"/>
      <c r="J40" s="788"/>
    </row>
    <row r="41" spans="1:10" s="1805"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7" customFormat="1" ht="6" customHeight="1">
      <c r="A42" s="700"/>
      <c r="B42" s="358"/>
      <c r="C42" s="359"/>
      <c r="D42" s="360"/>
      <c r="E42" s="361"/>
      <c r="F42" s="959"/>
      <c r="G42" s="8"/>
      <c r="H42" s="342"/>
      <c r="I42" s="344"/>
      <c r="J42" s="786"/>
    </row>
    <row r="43" spans="1:10" s="1805" customFormat="1" ht="22.5" customHeight="1">
      <c r="A43" s="700"/>
      <c r="B43" s="346"/>
      <c r="C43" s="341"/>
      <c r="D43" s="343"/>
      <c r="E43" s="324" t="s">
        <v>58</v>
      </c>
      <c r="F43" s="628" t="s">
        <v>57</v>
      </c>
      <c r="G43" s="8"/>
      <c r="I43" s="344"/>
      <c r="J43" s="788"/>
    </row>
    <row r="44" spans="1:10" s="1805" customFormat="1" ht="22.5" customHeight="1">
      <c r="A44" s="700"/>
      <c r="B44" s="346"/>
      <c r="C44" s="341"/>
      <c r="D44" s="343"/>
      <c r="E44" s="1064" t="s">
        <v>59</v>
      </c>
      <c r="F44" s="1795"/>
      <c r="G44" s="8"/>
      <c r="I44" s="344"/>
      <c r="J44" s="788"/>
    </row>
    <row r="45" spans="1:10" s="1807" customFormat="1" ht="6" customHeight="1">
      <c r="A45" s="700"/>
      <c r="B45" s="358"/>
      <c r="C45" s="359"/>
      <c r="D45" s="360"/>
      <c r="E45" s="361"/>
      <c r="F45" s="959"/>
      <c r="G45" s="8"/>
      <c r="H45" s="342"/>
      <c r="I45" s="344"/>
      <c r="J45" s="788"/>
    </row>
    <row r="46" spans="1:10" s="1807" customFormat="1" ht="22.5" customHeight="1">
      <c r="A46" s="700"/>
      <c r="B46" s="358"/>
      <c r="C46" s="359"/>
      <c r="D46" s="360"/>
      <c r="E46" s="1064" t="s">
        <v>60</v>
      </c>
      <c r="F46" s="628" t="s">
        <v>57</v>
      </c>
      <c r="G46" s="8"/>
      <c r="H46" s="342"/>
      <c r="I46" s="344"/>
      <c r="J46" s="788"/>
    </row>
    <row r="47" spans="1:10" s="1805" customFormat="1" ht="22.5" customHeight="1">
      <c r="A47" s="700"/>
      <c r="B47" s="346"/>
      <c r="C47" s="341"/>
      <c r="D47" s="343"/>
      <c r="E47" s="1064" t="s">
        <v>61</v>
      </c>
      <c r="F47" s="628" t="s">
        <v>57</v>
      </c>
      <c r="G47" s="8"/>
      <c r="I47" s="344"/>
      <c r="J47" s="788"/>
    </row>
    <row r="48" spans="1:10" s="1802"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62</v>
      </c>
      <c r="G49" s="8"/>
    </row>
    <row r="50" spans="1:16" s="1807" customFormat="1" ht="6" hidden="1" customHeight="1">
      <c r="A50" s="701"/>
      <c r="B50" s="358"/>
      <c r="C50" s="359"/>
      <c r="D50" s="157"/>
      <c r="E50" s="155"/>
      <c r="F50" s="158"/>
      <c r="G50" s="11"/>
      <c r="H50" s="342"/>
      <c r="I50" s="344"/>
      <c r="J50" s="788"/>
    </row>
    <row r="51" spans="1:16" s="1813" customFormat="1" ht="22.5" hidden="1" customHeight="1">
      <c r="A51" s="702"/>
      <c r="B51" s="346"/>
      <c r="C51" s="455"/>
      <c r="D51" s="456"/>
      <c r="E51" s="324" t="s">
        <v>63</v>
      </c>
      <c r="F51" s="628" t="s">
        <v>57</v>
      </c>
      <c r="G51" s="457"/>
      <c r="I51" s="458"/>
      <c r="J51" s="790"/>
      <c r="P51" s="459"/>
    </row>
    <row r="52" spans="1:16" s="1807" customFormat="1" ht="6" hidden="1" customHeight="1">
      <c r="A52" s="701"/>
      <c r="B52" s="358"/>
      <c r="C52" s="359"/>
      <c r="D52" s="157"/>
      <c r="E52" s="155"/>
      <c r="F52" s="158"/>
      <c r="G52" s="11"/>
      <c r="H52" s="342"/>
      <c r="I52" s="344"/>
      <c r="J52" s="786"/>
    </row>
    <row r="53" spans="1:16" s="1813" customFormat="1" ht="22.5" hidden="1" customHeight="1">
      <c r="A53" s="702"/>
      <c r="B53" s="346"/>
      <c r="C53" s="455"/>
      <c r="D53" s="456"/>
      <c r="E53" s="324" t="s">
        <v>64</v>
      </c>
      <c r="F53" s="954" t="s">
        <v>57</v>
      </c>
      <c r="G53" s="457"/>
      <c r="I53" s="458"/>
      <c r="J53" s="790"/>
      <c r="P53" s="459"/>
    </row>
    <row r="54" spans="1:16" s="1813" customFormat="1" ht="22.5" hidden="1" customHeight="1">
      <c r="A54" s="702"/>
      <c r="B54" s="346"/>
      <c r="C54" s="455"/>
      <c r="D54" s="456"/>
      <c r="E54" s="324" t="s">
        <v>65</v>
      </c>
      <c r="F54" s="1682"/>
      <c r="G54" s="457"/>
      <c r="I54" s="458"/>
      <c r="J54" s="790"/>
      <c r="P54" s="459"/>
    </row>
    <row r="55" spans="1:16" s="1807" customFormat="1" ht="6" hidden="1" customHeight="1">
      <c r="A55" s="701"/>
      <c r="B55" s="358"/>
      <c r="C55" s="359"/>
      <c r="D55" s="157"/>
      <c r="E55" s="155"/>
      <c r="F55" s="158"/>
      <c r="G55" s="11"/>
      <c r="H55" s="342"/>
      <c r="I55" s="344"/>
      <c r="J55" s="786"/>
    </row>
    <row r="56" spans="1:16" s="1813" customFormat="1" ht="22.5" hidden="1" customHeight="1">
      <c r="A56" s="702"/>
      <c r="B56" s="346"/>
      <c r="C56" s="455"/>
      <c r="D56" s="456"/>
      <c r="E56" s="324" t="s">
        <v>66</v>
      </c>
      <c r="F56" s="954" t="s">
        <v>57</v>
      </c>
      <c r="G56" s="457"/>
      <c r="I56" s="458"/>
      <c r="J56" s="790"/>
      <c r="P56" s="459"/>
    </row>
    <row r="57" spans="1:16" s="1807" customFormat="1" ht="6" hidden="1" customHeight="1">
      <c r="A57" s="701"/>
      <c r="B57" s="358"/>
      <c r="C57" s="359"/>
      <c r="D57" s="157"/>
      <c r="E57" s="155"/>
      <c r="F57" s="158"/>
      <c r="G57" s="11"/>
      <c r="H57" s="342"/>
      <c r="I57" s="344"/>
      <c r="J57" s="786"/>
    </row>
    <row r="58" spans="1:16" s="1813" customFormat="1" ht="15" hidden="1" customHeight="1">
      <c r="A58" s="702"/>
      <c r="B58" s="346"/>
      <c r="C58" s="455"/>
      <c r="D58" s="456"/>
      <c r="E58" s="324" t="s">
        <v>67</v>
      </c>
      <c r="F58" s="954" t="s">
        <v>62</v>
      </c>
      <c r="G58" s="457"/>
      <c r="I58" s="458"/>
      <c r="J58" s="790"/>
      <c r="P58" s="459"/>
    </row>
    <row r="59" spans="1:16" s="1813"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3" customFormat="1" ht="15" hidden="1" customHeight="1">
      <c r="A60" s="702"/>
      <c r="B60" s="346"/>
      <c r="C60" s="455"/>
      <c r="D60" s="456"/>
      <c r="E60" s="1064" t="s">
        <v>68</v>
      </c>
      <c r="F60" s="1050"/>
      <c r="G60" s="457"/>
      <c r="I60" s="458"/>
      <c r="J60" s="790"/>
      <c r="P60" s="459"/>
    </row>
    <row r="61" spans="1:16" s="1807" customFormat="1" ht="6" hidden="1" customHeight="1">
      <c r="A61" s="701"/>
      <c r="B61" s="358"/>
      <c r="C61" s="359"/>
      <c r="D61" s="360"/>
      <c r="E61" s="361"/>
      <c r="F61" s="959"/>
      <c r="G61" s="8"/>
      <c r="H61" s="342"/>
      <c r="I61" s="344"/>
      <c r="J61" s="788"/>
    </row>
    <row r="62" spans="1:16" s="1805" customFormat="1" ht="33.75" hidden="1" customHeight="1">
      <c r="A62" s="701"/>
      <c r="B62" s="31"/>
      <c r="C62" s="341"/>
      <c r="D62" s="343"/>
      <c r="E62" s="1064" t="s">
        <v>69</v>
      </c>
      <c r="F62" s="1581" t="s">
        <v>62</v>
      </c>
      <c r="G62" s="8"/>
      <c r="H62" s="689" t="s">
        <v>18</v>
      </c>
      <c r="I62" s="344"/>
      <c r="J62" s="788"/>
    </row>
    <row r="63" spans="1:16" s="1802" customFormat="1" ht="6" customHeight="1">
      <c r="A63" s="701"/>
      <c r="B63" s="151"/>
      <c r="C63" s="152"/>
      <c r="D63" s="157"/>
      <c r="E63" s="155"/>
      <c r="F63" s="158"/>
      <c r="G63" s="11"/>
      <c r="H63" s="342"/>
      <c r="I63" s="344"/>
      <c r="J63" s="786"/>
    </row>
    <row r="64" spans="1:16" ht="19.5" customHeight="1">
      <c r="A64" s="703"/>
      <c r="B64" s="32"/>
      <c r="D64" s="16"/>
      <c r="E64" s="324" t="s">
        <v>70</v>
      </c>
      <c r="F64" s="137" t="s">
        <v>71</v>
      </c>
      <c r="G64" s="11"/>
    </row>
    <row r="65" spans="1:9" ht="19.5" customHeight="1">
      <c r="A65" s="703"/>
      <c r="B65" s="32"/>
      <c r="D65" s="16"/>
      <c r="E65" s="324" t="s">
        <v>72</v>
      </c>
      <c r="F65" s="137"/>
      <c r="G65" s="11"/>
    </row>
    <row r="66" spans="1:9" ht="35.25" customHeight="1">
      <c r="D66" s="9"/>
      <c r="E66" s="326" t="s">
        <v>73</v>
      </c>
      <c r="F66" s="960"/>
      <c r="G66" s="8"/>
    </row>
    <row r="67" spans="1:9" ht="19.5" customHeight="1">
      <c r="A67" s="703"/>
      <c r="D67" s="343"/>
      <c r="E67" s="324" t="s">
        <v>74</v>
      </c>
      <c r="F67" s="189"/>
      <c r="G67" s="11"/>
    </row>
    <row r="68" spans="1:9" ht="19.5" customHeight="1">
      <c r="A68" s="703"/>
      <c r="B68" s="32"/>
      <c r="D68" s="16"/>
      <c r="E68" s="324" t="s">
        <v>75</v>
      </c>
      <c r="F68" s="189"/>
      <c r="G68" s="11"/>
    </row>
    <row r="69" spans="1:9" ht="19.5" customHeight="1">
      <c r="A69" s="703"/>
      <c r="B69" s="32"/>
      <c r="D69" s="16"/>
      <c r="E69" s="324" t="s">
        <v>76</v>
      </c>
      <c r="F69" s="189"/>
      <c r="G69" s="11"/>
    </row>
    <row r="70" spans="1:9" ht="19.5" customHeight="1">
      <c r="D70" s="343"/>
      <c r="E70" s="324" t="s">
        <v>77</v>
      </c>
      <c r="F70" s="1814"/>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165" workbookViewId="0">
      <selection activeCell="G20" sqref="G20"/>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1"/>
      <c r="B1" s="436"/>
      <c r="C1" s="436"/>
      <c r="D1" s="141"/>
      <c r="F1" s="436"/>
      <c r="G1" s="165" t="s">
        <v>78</v>
      </c>
      <c r="H1" s="419" t="s">
        <v>79</v>
      </c>
      <c r="I1" s="147" t="s">
        <v>80</v>
      </c>
      <c r="J1" s="165" t="s">
        <v>78</v>
      </c>
      <c r="K1" s="165"/>
      <c r="L1" s="165"/>
      <c r="M1" s="165"/>
      <c r="N1" s="166"/>
      <c r="O1" s="165"/>
      <c r="P1" s="165"/>
      <c r="Q1" s="165"/>
      <c r="R1" s="165"/>
      <c r="S1" s="165"/>
      <c r="T1" s="147"/>
      <c r="U1" s="147"/>
      <c r="V1" s="147"/>
      <c r="W1" s="147"/>
      <c r="X1" s="147"/>
      <c r="Y1" s="147"/>
      <c r="Z1" s="147"/>
      <c r="AA1" s="147"/>
      <c r="AB1" s="147"/>
    </row>
    <row r="2" spans="1:28" s="1820"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1" customFormat="1" ht="3" customHeight="1">
      <c r="A3" s="674"/>
      <c r="B3" s="350"/>
      <c r="C3" s="674"/>
      <c r="D3" s="85"/>
      <c r="E3" s="35"/>
      <c r="F3" s="434"/>
      <c r="G3" s="35"/>
      <c r="H3" s="35"/>
      <c r="I3" s="87"/>
      <c r="J3" s="165"/>
      <c r="K3" s="77"/>
      <c r="L3" s="77"/>
      <c r="M3" s="77"/>
      <c r="N3" s="146"/>
      <c r="O3" s="77"/>
      <c r="P3" s="145"/>
      <c r="Q3" s="145"/>
      <c r="R3" s="145"/>
      <c r="S3" s="145"/>
    </row>
    <row r="4" spans="1:28" s="1821" customFormat="1" ht="25.5" customHeight="1">
      <c r="A4" s="674"/>
      <c r="B4" s="350"/>
      <c r="C4" s="674"/>
      <c r="D4" s="85"/>
      <c r="E4" s="5155" t="str">
        <f>NameTemplatesInListMO</f>
        <v>Перечень муниципальных районов и муниципальных образований (территорий действия тарифа)</v>
      </c>
      <c r="F4" s="5155"/>
      <c r="G4" s="5155"/>
      <c r="H4" s="5155"/>
      <c r="I4" s="5155"/>
      <c r="J4" s="165"/>
      <c r="K4" s="77"/>
      <c r="L4" s="77"/>
      <c r="M4" s="77"/>
      <c r="N4" s="146"/>
      <c r="O4" s="77"/>
      <c r="P4" s="145"/>
      <c r="Q4" s="145"/>
      <c r="R4" s="145"/>
      <c r="S4" s="145"/>
    </row>
    <row r="5" spans="1:28" s="1821" customFormat="1" ht="3" customHeight="1">
      <c r="A5" s="674"/>
      <c r="B5" s="350"/>
      <c r="C5" s="674"/>
      <c r="D5" s="85"/>
      <c r="E5" s="35"/>
      <c r="F5" s="434"/>
      <c r="G5" s="88"/>
      <c r="H5" s="88"/>
      <c r="I5" s="89"/>
      <c r="J5" s="77"/>
      <c r="K5" s="77"/>
      <c r="L5" s="77"/>
      <c r="M5" s="77"/>
      <c r="N5" s="146"/>
      <c r="O5" s="77"/>
      <c r="P5" s="145"/>
      <c r="Q5" s="145"/>
      <c r="R5" s="145"/>
      <c r="S5" s="145"/>
    </row>
    <row r="6" spans="1:28" s="1821"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1" customFormat="1" ht="14.25" customHeight="1">
      <c r="A8" s="674"/>
      <c r="B8" s="350"/>
      <c r="C8" s="674"/>
      <c r="D8" s="85"/>
      <c r="E8" s="5151" t="s">
        <v>81</v>
      </c>
      <c r="F8" s="5156"/>
      <c r="G8" s="5150"/>
      <c r="H8" s="5157" t="s">
        <v>82</v>
      </c>
      <c r="I8" s="5157"/>
      <c r="J8" s="77"/>
      <c r="K8" s="77"/>
      <c r="L8" s="77"/>
      <c r="M8" s="77"/>
      <c r="N8" s="146"/>
      <c r="O8" s="77"/>
      <c r="P8" s="145"/>
      <c r="Q8" s="145"/>
      <c r="R8" s="145"/>
      <c r="S8" s="145"/>
    </row>
    <row r="9" spans="1:28" s="1821" customFormat="1" ht="20.25" customHeight="1">
      <c r="A9" s="674"/>
      <c r="B9" s="350"/>
      <c r="C9" s="674"/>
      <c r="D9" s="85"/>
      <c r="E9" s="693" t="s">
        <v>83</v>
      </c>
      <c r="F9" s="693"/>
      <c r="G9" s="93" t="s">
        <v>84</v>
      </c>
      <c r="H9" s="93" t="s">
        <v>84</v>
      </c>
      <c r="I9" s="93" t="s">
        <v>80</v>
      </c>
      <c r="J9" s="77"/>
      <c r="K9" s="77"/>
      <c r="L9" s="77"/>
      <c r="M9" s="77"/>
      <c r="N9" s="146"/>
      <c r="O9" s="77"/>
      <c r="P9" s="145"/>
      <c r="Q9" s="145"/>
      <c r="R9" s="145"/>
      <c r="S9" s="145"/>
    </row>
    <row r="10" spans="1:28" ht="11.25" customHeight="1">
      <c r="D10" s="97"/>
      <c r="E10" s="694" t="s">
        <v>85</v>
      </c>
      <c r="F10" s="694"/>
      <c r="G10" s="143" t="s">
        <v>86</v>
      </c>
      <c r="H10" s="143" t="s">
        <v>87</v>
      </c>
      <c r="I10" s="143" t="s">
        <v>88</v>
      </c>
      <c r="J10" s="107"/>
      <c r="K10" s="107"/>
      <c r="L10" s="107"/>
      <c r="M10" s="107"/>
      <c r="N10" s="92"/>
      <c r="O10" s="107"/>
      <c r="P10" s="144"/>
      <c r="Q10" s="144"/>
      <c r="R10" s="144"/>
      <c r="S10" s="144"/>
    </row>
    <row r="11" spans="1:28" s="1821" customFormat="1" ht="0.75" customHeight="1">
      <c r="A11" s="674"/>
      <c r="B11" s="350"/>
      <c r="C11" s="674"/>
      <c r="D11" s="85"/>
      <c r="E11" s="706"/>
      <c r="F11" s="706"/>
      <c r="G11" s="94"/>
      <c r="H11" s="94"/>
      <c r="I11" s="96"/>
      <c r="J11" s="167" t="s">
        <v>89</v>
      </c>
      <c r="K11" s="77"/>
      <c r="L11" s="77"/>
      <c r="M11" s="77" t="s">
        <v>90</v>
      </c>
      <c r="N11" s="146" t="s">
        <v>91</v>
      </c>
      <c r="O11" s="77" t="s">
        <v>92</v>
      </c>
      <c r="P11" s="145"/>
      <c r="Q11" s="145"/>
      <c r="R11" s="145"/>
      <c r="S11" s="145"/>
    </row>
    <row r="12" spans="1:28" s="1828" customFormat="1" ht="14.25" customHeight="1">
      <c r="A12" s="5154">
        <v>1</v>
      </c>
      <c r="B12" s="350"/>
      <c r="C12" s="674"/>
      <c r="D12" s="698"/>
      <c r="E12" s="139">
        <f>A12</f>
        <v>1</v>
      </c>
      <c r="F12" s="718" t="s">
        <v>93</v>
      </c>
      <c r="G12" s="464" t="str">
        <f>"Территория "&amp;E12</f>
        <v>Территория 1</v>
      </c>
      <c r="H12" s="708"/>
      <c r="I12" s="708"/>
      <c r="J12" s="705"/>
      <c r="K12" s="425"/>
      <c r="L12" s="425"/>
      <c r="M12" s="425"/>
      <c r="N12" s="146"/>
      <c r="O12" s="425"/>
      <c r="P12" s="145"/>
      <c r="Q12" s="145"/>
      <c r="R12" s="145"/>
      <c r="S12" s="145"/>
    </row>
    <row r="13" spans="1:28" s="1830" customFormat="1" ht="15" customHeight="1">
      <c r="A13" s="5154"/>
      <c r="B13" s="350">
        <v>1</v>
      </c>
      <c r="C13" s="350"/>
      <c r="D13" s="716"/>
      <c r="E13" s="696" t="str">
        <f>A12&amp;"."&amp;B13</f>
        <v>1.1</v>
      </c>
      <c r="F13" s="711" t="s">
        <v>94</v>
      </c>
      <c r="G13" s="709" t="s">
        <v>95</v>
      </c>
      <c r="H13" s="709" t="s">
        <v>95</v>
      </c>
      <c r="I13" s="707" t="s">
        <v>96</v>
      </c>
      <c r="J13" s="425" t="e">
        <f ca="1">MERGEVALUE(G13)</f>
        <v>#NAME?</v>
      </c>
      <c r="K13" s="436"/>
      <c r="L13" s="436"/>
      <c r="M13" s="425" t="str">
        <f t="array" ref="M13">IF(ISERROR(MATCH(MID(N13,1,250),MID(note_ter,1,250),0)),"n","y")</f>
        <v>n</v>
      </c>
      <c r="N13" s="436"/>
      <c r="O13" s="425" t="str">
        <f>H13&amp;"("&amp;I13&amp;")"</f>
        <v>город Апатиты(47519000)</v>
      </c>
      <c r="P13" s="350"/>
      <c r="Q13" s="350"/>
      <c r="R13" s="352"/>
      <c r="S13" s="350"/>
      <c r="T13" s="350"/>
      <c r="U13" s="350"/>
      <c r="V13" s="354"/>
      <c r="W13" s="354"/>
      <c r="X13" s="351"/>
      <c r="Y13" s="351"/>
      <c r="Z13" s="351"/>
      <c r="AA13" s="351"/>
      <c r="AB13" s="351"/>
    </row>
    <row r="14" spans="1:28" s="1830" customFormat="1" ht="15" customHeight="1">
      <c r="A14" s="5154"/>
      <c r="B14" s="350"/>
      <c r="C14" s="345"/>
      <c r="D14" s="717"/>
      <c r="E14" s="353"/>
      <c r="F14" s="98"/>
      <c r="G14" s="348" t="s">
        <v>97</v>
      </c>
      <c r="H14" s="108"/>
      <c r="I14" s="356"/>
      <c r="J14" s="436"/>
      <c r="K14" s="436"/>
      <c r="L14" s="436"/>
      <c r="M14" s="436"/>
      <c r="N14" s="425"/>
      <c r="O14" s="436"/>
      <c r="P14" s="350"/>
      <c r="Q14" s="350"/>
      <c r="R14" s="352"/>
      <c r="S14" s="350"/>
      <c r="T14" s="350"/>
      <c r="U14" s="350"/>
      <c r="V14" s="354"/>
      <c r="W14" s="354"/>
      <c r="X14" s="351"/>
      <c r="Y14" s="351"/>
      <c r="Z14" s="351"/>
      <c r="AA14" s="351"/>
      <c r="AB14" s="351"/>
    </row>
    <row r="15" spans="1:28" ht="15" customHeight="1">
      <c r="A15" s="5158" t="s">
        <v>98</v>
      </c>
      <c r="B15" s="1059"/>
      <c r="C15" s="717" t="s">
        <v>99</v>
      </c>
      <c r="D15" s="1726"/>
      <c r="E15" s="1713" t="str">
        <f>A15</f>
        <v>2</v>
      </c>
      <c r="F15" s="720" t="s">
        <v>100</v>
      </c>
      <c r="G15" s="464" t="str">
        <f>"Территория "&amp;E15</f>
        <v>Территория 2</v>
      </c>
      <c r="H15" s="708"/>
      <c r="I15" s="708"/>
      <c r="J15" s="705"/>
      <c r="K15" s="1535"/>
      <c r="L15" s="1535"/>
      <c r="M15" s="1535"/>
      <c r="N15" s="146"/>
      <c r="O15" s="1535"/>
      <c r="P15" s="145"/>
      <c r="Q15" s="145"/>
      <c r="R15" s="145"/>
      <c r="S15" s="145"/>
      <c r="T15" s="1833"/>
      <c r="U15" s="1833"/>
      <c r="V15" s="1833"/>
      <c r="W15" s="1833"/>
      <c r="X15" s="1833"/>
      <c r="Y15" s="1833"/>
      <c r="Z15" s="1833"/>
      <c r="AA15" s="1833"/>
      <c r="AB15" s="1833"/>
    </row>
    <row r="16" spans="1:28" ht="15" customHeight="1">
      <c r="A16" s="5158"/>
      <c r="B16" s="1059">
        <v>1</v>
      </c>
      <c r="C16" s="1059"/>
      <c r="D16" s="716"/>
      <c r="E16" s="1721" t="str">
        <f>A15&amp;"."&amp;B16</f>
        <v>2.1</v>
      </c>
      <c r="F16" s="719" t="s">
        <v>101</v>
      </c>
      <c r="G16" s="709" t="s">
        <v>102</v>
      </c>
      <c r="H16" s="709" t="s">
        <v>102</v>
      </c>
      <c r="I16" s="707" t="s">
        <v>103</v>
      </c>
      <c r="J16" s="1535"/>
      <c r="K16" s="1547"/>
      <c r="L16" s="1547"/>
      <c r="M16" s="1535" t="str">
        <f t="array" ref="M16">IF(ISERROR(MATCH(MID(N16,1,250),MID(note_ter,1,250),0)),"n","y")</f>
        <v>n</v>
      </c>
      <c r="N16" s="1547"/>
      <c r="O16" s="1535" t="str">
        <f>H16&amp;"("&amp;I16&amp;")"</f>
        <v>город Кировск(47522000)</v>
      </c>
      <c r="P16" s="1059"/>
      <c r="Q16" s="1059"/>
      <c r="R16" s="352"/>
      <c r="S16" s="1059"/>
      <c r="T16" s="1059"/>
      <c r="U16" s="1059"/>
      <c r="V16" s="354"/>
      <c r="W16" s="354"/>
      <c r="X16" s="351"/>
      <c r="Y16" s="351"/>
      <c r="Z16" s="351"/>
      <c r="AA16" s="351"/>
      <c r="AB16" s="351"/>
    </row>
    <row r="17" spans="1:28" ht="15" customHeight="1">
      <c r="A17" s="5158"/>
      <c r="B17" s="1059"/>
      <c r="C17" s="345"/>
      <c r="D17" s="717"/>
      <c r="E17" s="353"/>
      <c r="F17" s="98"/>
      <c r="G17" s="348" t="s">
        <v>97</v>
      </c>
      <c r="H17" s="108"/>
      <c r="I17" s="356"/>
      <c r="J17" s="1547"/>
      <c r="K17" s="1547"/>
      <c r="L17" s="1547"/>
      <c r="M17" s="1547"/>
      <c r="N17" s="1535"/>
      <c r="O17" s="1547"/>
      <c r="P17" s="1059"/>
      <c r="Q17" s="1059"/>
      <c r="R17" s="352"/>
      <c r="S17" s="1059"/>
      <c r="T17" s="1059"/>
      <c r="U17" s="1059"/>
      <c r="V17" s="354"/>
      <c r="W17" s="354"/>
      <c r="X17" s="351"/>
      <c r="Y17" s="351"/>
      <c r="Z17" s="351"/>
      <c r="AA17" s="351"/>
      <c r="AB17" s="351"/>
    </row>
    <row r="18" spans="1:28" ht="15" customHeight="1">
      <c r="A18" s="5158" t="s">
        <v>85</v>
      </c>
      <c r="B18" s="1059"/>
      <c r="C18" s="717" t="s">
        <v>99</v>
      </c>
      <c r="D18" s="1726"/>
      <c r="E18" s="1713" t="str">
        <f>A18</f>
        <v>3</v>
      </c>
      <c r="F18" s="720" t="s">
        <v>104</v>
      </c>
      <c r="G18" s="464" t="str">
        <f>"Территория "&amp;E18</f>
        <v>Территория 3</v>
      </c>
      <c r="H18" s="708"/>
      <c r="I18" s="708"/>
      <c r="J18" s="705"/>
      <c r="K18" s="1535"/>
      <c r="L18" s="1535"/>
      <c r="M18" s="1535"/>
      <c r="N18" s="146"/>
      <c r="O18" s="1535"/>
      <c r="P18" s="145"/>
      <c r="Q18" s="145"/>
      <c r="R18" s="145"/>
      <c r="S18" s="145"/>
      <c r="T18" s="1833"/>
      <c r="U18" s="1833"/>
      <c r="V18" s="1833"/>
      <c r="W18" s="1833"/>
      <c r="X18" s="1833"/>
      <c r="Y18" s="1833"/>
      <c r="Z18" s="1833"/>
      <c r="AA18" s="1833"/>
      <c r="AB18" s="1833"/>
    </row>
    <row r="19" spans="1:28" ht="15" customHeight="1">
      <c r="A19" s="5158"/>
      <c r="B19" s="1059">
        <v>1</v>
      </c>
      <c r="C19" s="1059"/>
      <c r="D19" s="716"/>
      <c r="E19" s="1721" t="str">
        <f>A18&amp;"."&amp;B19</f>
        <v>3.1</v>
      </c>
      <c r="F19" s="719" t="s">
        <v>105</v>
      </c>
      <c r="G19" s="709" t="s">
        <v>106</v>
      </c>
      <c r="H19" s="709" t="s">
        <v>106</v>
      </c>
      <c r="I19" s="707" t="s">
        <v>107</v>
      </c>
      <c r="J19" s="1535"/>
      <c r="K19" s="1547"/>
      <c r="L19" s="1547"/>
      <c r="M19" s="1535" t="str">
        <f t="array" ref="M19">IF(ISERROR(MATCH(MID(N19,1,250),MID(note_ter,1,250),0)),"n","y")</f>
        <v>n</v>
      </c>
      <c r="N19" s="1547"/>
      <c r="O19" s="1535" t="str">
        <f>H19&amp;"("&amp;I19&amp;")"</f>
        <v>Печенгский муниципальный округ(47515000)</v>
      </c>
      <c r="P19" s="1059"/>
      <c r="Q19" s="1059"/>
      <c r="R19" s="352"/>
      <c r="S19" s="1059"/>
      <c r="T19" s="1059"/>
      <c r="U19" s="1059"/>
      <c r="V19" s="354"/>
      <c r="W19" s="354"/>
      <c r="X19" s="351"/>
      <c r="Y19" s="351"/>
      <c r="Z19" s="351"/>
      <c r="AA19" s="351"/>
      <c r="AB19" s="351"/>
    </row>
    <row r="20" spans="1:28" ht="15" customHeight="1">
      <c r="A20" s="5158"/>
      <c r="B20" s="1059"/>
      <c r="C20" s="345"/>
      <c r="D20" s="717"/>
      <c r="E20" s="353"/>
      <c r="F20" s="98"/>
      <c r="G20" s="348" t="s">
        <v>97</v>
      </c>
      <c r="H20" s="108"/>
      <c r="I20" s="356"/>
      <c r="J20" s="1547"/>
      <c r="K20" s="1547"/>
      <c r="L20" s="1547"/>
      <c r="M20" s="1547"/>
      <c r="N20" s="1535"/>
      <c r="O20" s="1547"/>
      <c r="P20" s="1059"/>
      <c r="Q20" s="1059"/>
      <c r="R20" s="352"/>
      <c r="S20" s="1059"/>
      <c r="T20" s="1059"/>
      <c r="U20" s="1059"/>
      <c r="V20" s="354"/>
      <c r="W20" s="354"/>
      <c r="X20" s="351"/>
      <c r="Y20" s="351"/>
      <c r="Z20" s="351"/>
      <c r="AA20" s="351"/>
      <c r="AB20" s="351"/>
    </row>
    <row r="21" spans="1:28" s="1821" customFormat="1" ht="14.25" customHeight="1">
      <c r="A21" s="674"/>
      <c r="B21" s="350"/>
      <c r="C21" s="674"/>
      <c r="D21" s="698"/>
      <c r="E21" s="710"/>
      <c r="F21" s="99"/>
      <c r="G21" s="349" t="s">
        <v>108</v>
      </c>
      <c r="H21" s="99"/>
      <c r="I21" s="100"/>
      <c r="J21" s="167"/>
      <c r="K21" s="77"/>
      <c r="L21" s="77"/>
      <c r="M21" s="77"/>
      <c r="N21" s="146" t="s">
        <v>109</v>
      </c>
      <c r="O21" s="77"/>
      <c r="P21" s="145"/>
      <c r="Q21" s="145"/>
      <c r="R21" s="145"/>
      <c r="S21" s="145"/>
    </row>
    <row r="22" spans="1:28" s="1821" customFormat="1" ht="21" customHeight="1">
      <c r="A22" s="674"/>
      <c r="B22" s="350"/>
      <c r="C22" s="674"/>
      <c r="D22" s="86"/>
      <c r="E22" s="101"/>
      <c r="F22" s="101"/>
      <c r="G22" s="101"/>
      <c r="H22" s="101"/>
      <c r="I22" s="101"/>
      <c r="J22" s="77"/>
      <c r="K22" s="77"/>
      <c r="L22" s="77"/>
      <c r="M22" s="77"/>
      <c r="N22" s="146"/>
      <c r="O22" s="77"/>
      <c r="P22" s="145"/>
      <c r="Q22" s="145"/>
      <c r="R22" s="145"/>
      <c r="S22" s="145"/>
    </row>
    <row r="23" spans="1:28" s="1821" customFormat="1" ht="14.25" customHeight="1">
      <c r="A23" s="674"/>
      <c r="B23" s="350"/>
      <c r="C23" s="674"/>
      <c r="D23" s="86"/>
      <c r="E23" s="17"/>
      <c r="F23" s="674"/>
      <c r="G23" s="17"/>
      <c r="H23" s="17"/>
      <c r="I23" s="17"/>
      <c r="J23" s="77"/>
      <c r="K23" s="77"/>
      <c r="L23" s="77"/>
      <c r="M23" s="77"/>
      <c r="N23" s="146"/>
      <c r="O23" s="77"/>
      <c r="P23" s="145"/>
      <c r="Q23" s="145"/>
      <c r="R23" s="145"/>
      <c r="S23" s="145"/>
    </row>
    <row r="24" spans="1:28" s="1821" customFormat="1" ht="0.75" customHeight="1">
      <c r="A24" s="674"/>
      <c r="B24" s="350"/>
      <c r="C24" s="674"/>
      <c r="D24" s="86"/>
      <c r="E24" s="17"/>
      <c r="F24" s="674"/>
      <c r="G24" s="17"/>
      <c r="H24" s="17"/>
      <c r="I24" s="17"/>
      <c r="J24" s="77"/>
      <c r="K24" s="77"/>
      <c r="L24" s="77"/>
      <c r="M24" s="77"/>
      <c r="N24" s="146"/>
      <c r="O24" s="77"/>
      <c r="P24" s="145"/>
      <c r="Q24" s="145"/>
      <c r="R24" s="145"/>
      <c r="S24" s="145"/>
    </row>
    <row r="25" spans="1:28" s="1837" customFormat="1" ht="10.5" customHeight="1">
      <c r="B25" s="750"/>
      <c r="D25" s="103"/>
      <c r="J25" s="77"/>
      <c r="K25" s="77"/>
      <c r="L25" s="77"/>
      <c r="M25" s="77"/>
      <c r="N25" s="146"/>
      <c r="O25" s="77"/>
      <c r="P25" s="145"/>
      <c r="Q25" s="145"/>
      <c r="R25" s="145"/>
      <c r="S25" s="145"/>
    </row>
    <row r="26" spans="1:28" s="1837" customFormat="1" ht="10.5" customHeight="1">
      <c r="B26" s="750"/>
      <c r="D26" s="103"/>
      <c r="J26" s="77"/>
      <c r="K26" s="77"/>
      <c r="L26" s="77"/>
      <c r="M26" s="77"/>
      <c r="N26" s="146"/>
      <c r="O26" s="77"/>
      <c r="P26" s="145"/>
      <c r="Q26" s="145"/>
      <c r="R26" s="145"/>
      <c r="S26" s="145"/>
    </row>
    <row r="30" spans="1:28" ht="14.25" customHeight="1">
      <c r="H30" s="1"/>
    </row>
    <row r="34" spans="10:12" ht="14.25" customHeight="1">
      <c r="J34" s="17"/>
      <c r="K34" s="17"/>
      <c r="L34" s="17"/>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8"/>
      <c r="B4" s="508"/>
      <c r="D4" s="5173" t="str">
        <f>Титульный!E5</f>
        <v>Показатели, подлежащие раскрытию в сфере теплоснабжения (цены и тарифы)</v>
      </c>
      <c r="E4" s="5174"/>
      <c r="F4" s="5174"/>
      <c r="G4" s="5174"/>
      <c r="H4" s="5174"/>
      <c r="I4" s="5175"/>
      <c r="J4" s="507"/>
      <c r="K4" s="507"/>
      <c r="L4" s="507"/>
      <c r="M4" s="507"/>
    </row>
    <row r="5" spans="1:38" s="1839" customFormat="1" ht="15" customHeight="1">
      <c r="A5" s="508"/>
      <c r="B5" s="508"/>
      <c r="C5" s="508"/>
      <c r="D5" s="5176" t="str">
        <f>IF(org=0,"Не определено",org)</f>
        <v>ПАО "ТГК-1" (филиал "Кольский")</v>
      </c>
      <c r="E5" s="5177"/>
      <c r="F5" s="5177"/>
      <c r="G5" s="5177"/>
      <c r="H5" s="5177"/>
      <c r="I5" s="5178"/>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40" customFormat="1" ht="6" customHeight="1">
      <c r="A6" s="5154"/>
      <c r="B6" s="5154"/>
      <c r="C6" s="5154"/>
      <c r="D6" s="5154"/>
      <c r="E6" s="5154"/>
      <c r="F6" s="5154"/>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51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184"/>
      <c r="G7" s="5184"/>
      <c r="H7" s="5184"/>
      <c r="I7" s="5184"/>
      <c r="J7" s="5184"/>
      <c r="K7" s="5184"/>
      <c r="L7" s="5184"/>
      <c r="M7" s="5184"/>
    </row>
    <row r="8" spans="1:38" s="1839"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5179"/>
      <c r="B9" s="248"/>
      <c r="C9" s="248"/>
      <c r="D9" s="5180" t="s">
        <v>110</v>
      </c>
      <c r="E9" s="5180"/>
      <c r="F9" s="5181" t="s">
        <v>111</v>
      </c>
      <c r="G9" s="5182"/>
      <c r="H9" s="5182"/>
      <c r="I9" s="5182"/>
      <c r="J9" s="5185" t="s">
        <v>112</v>
      </c>
      <c r="K9" s="5185"/>
      <c r="L9" s="5185"/>
      <c r="M9" s="5185"/>
    </row>
    <row r="10" spans="1:38" ht="22.5" customHeight="1">
      <c r="A10" s="5179"/>
      <c r="B10" s="514"/>
      <c r="C10" s="450"/>
      <c r="D10" s="448" t="s">
        <v>83</v>
      </c>
      <c r="E10" s="448" t="s">
        <v>84</v>
      </c>
      <c r="F10" s="448" t="s">
        <v>113</v>
      </c>
      <c r="G10" s="5186" t="s">
        <v>83</v>
      </c>
      <c r="H10" s="5187"/>
      <c r="I10" s="448" t="s">
        <v>84</v>
      </c>
      <c r="J10" s="448" t="s">
        <v>113</v>
      </c>
      <c r="K10" s="5186" t="s">
        <v>83</v>
      </c>
      <c r="L10" s="5187"/>
      <c r="M10" s="448" t="s">
        <v>84</v>
      </c>
      <c r="N10" s="1538"/>
    </row>
    <row r="11" spans="1:38" s="1841" customFormat="1" ht="11.25" hidden="1" customHeight="1">
      <c r="A11" s="515"/>
      <c r="B11" s="515"/>
      <c r="C11" s="515"/>
      <c r="D11" s="516" t="s">
        <v>114</v>
      </c>
      <c r="E11" s="516" t="s">
        <v>98</v>
      </c>
      <c r="F11" s="516" t="s">
        <v>85</v>
      </c>
      <c r="G11" s="5169" t="s">
        <v>86</v>
      </c>
      <c r="H11" s="5170"/>
      <c r="I11" s="516" t="s">
        <v>115</v>
      </c>
      <c r="J11" s="516" t="s">
        <v>87</v>
      </c>
      <c r="K11" s="5171" t="s">
        <v>88</v>
      </c>
      <c r="L11" s="5172"/>
      <c r="M11" s="516" t="s">
        <v>116</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117</v>
      </c>
      <c r="P12" s="1328" t="s">
        <v>118</v>
      </c>
      <c r="Q12" s="1328" t="s">
        <v>119</v>
      </c>
      <c r="R12" s="1328" t="s">
        <v>120</v>
      </c>
    </row>
    <row r="13" spans="1:38" s="1843" customFormat="1" ht="15" customHeight="1">
      <c r="A13" s="211"/>
      <c r="B13" s="211"/>
      <c r="C13" s="451"/>
      <c r="D13" s="5162" t="s">
        <v>114</v>
      </c>
      <c r="E13" s="5163"/>
      <c r="F13" s="5166" t="s">
        <v>62</v>
      </c>
      <c r="G13" s="5167"/>
      <c r="H13" s="5168">
        <v>1</v>
      </c>
      <c r="I13" s="5159" t="str">
        <f>IF(U13="","",INDEX(TERRITORY_MR_LIST,MATCH(U13,TERRITORY_LIST_ID,0)))</f>
        <v/>
      </c>
      <c r="J13" s="5161" t="s">
        <v>57</v>
      </c>
      <c r="K13" s="523"/>
      <c r="L13" s="452" t="s">
        <v>114</v>
      </c>
      <c r="M13" s="524" t="s">
        <v>24</v>
      </c>
      <c r="N13" s="728"/>
      <c r="O13" s="1331" t="s">
        <v>121</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122</v>
      </c>
      <c r="Z13" s="525">
        <v>1705000</v>
      </c>
      <c r="AA13" s="525"/>
      <c r="AB13" s="525"/>
      <c r="AC13" s="525"/>
      <c r="AD13" s="525"/>
      <c r="AE13" s="525"/>
      <c r="AF13" s="525"/>
      <c r="AG13" s="525"/>
      <c r="AH13" s="525"/>
      <c r="AI13" s="525"/>
      <c r="AJ13" s="525"/>
      <c r="AK13" s="525"/>
      <c r="AL13" s="525"/>
    </row>
    <row r="14" spans="1:38" s="1843" customFormat="1" ht="15" customHeight="1">
      <c r="A14" s="211"/>
      <c r="B14" s="211"/>
      <c r="C14" s="97"/>
      <c r="D14" s="5162"/>
      <c r="E14" s="5164"/>
      <c r="F14" s="5161"/>
      <c r="G14" s="5167"/>
      <c r="H14" s="5168"/>
      <c r="I14" s="5160"/>
      <c r="J14" s="5161"/>
      <c r="K14" s="353"/>
      <c r="L14" s="98"/>
      <c r="M14" s="527" t="s">
        <v>123</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3" customFormat="1" ht="15" customHeight="1">
      <c r="A15" s="211"/>
      <c r="B15" s="211"/>
      <c r="C15" s="97"/>
      <c r="D15" s="5162"/>
      <c r="E15" s="5165"/>
      <c r="F15" s="5161"/>
      <c r="G15" s="966"/>
      <c r="H15" s="967"/>
      <c r="I15" s="504" t="s">
        <v>124</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125</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217"/>
  <sheetViews>
    <sheetView showGridLines="0" topLeftCell="C4" zoomScale="90" workbookViewId="0">
      <selection activeCell="J13" sqref="J13:J19"/>
    </sheetView>
  </sheetViews>
  <sheetFormatPr defaultColWidth="9.140625" defaultRowHeight="11.25" customHeight="1"/>
  <cols>
    <col min="1" max="2" width="3.7109375" style="2105" hidden="1" customWidth="1"/>
    <col min="3" max="3" width="3.7109375" style="2106" customWidth="1"/>
    <col min="4" max="4" width="6.140625" style="2106" customWidth="1"/>
    <col min="5" max="5" width="43.140625" style="2106" customWidth="1"/>
    <col min="6" max="6" width="15" style="1898" customWidth="1"/>
    <col min="7" max="7" width="43.140625" style="2106" customWidth="1"/>
    <col min="8" max="8" width="3.7109375" style="2106" customWidth="1"/>
    <col min="9" max="9" width="5.42578125" style="2106" customWidth="1"/>
    <col min="10" max="10" width="47.85546875" style="2106" customWidth="1"/>
    <col min="11" max="12" width="3.7109375" style="2106" customWidth="1"/>
    <col min="13" max="13" width="5.7109375" style="2106" customWidth="1"/>
    <col min="14" max="14" width="28.140625" style="2106" customWidth="1"/>
    <col min="15" max="16" width="3.7109375" style="2106" customWidth="1"/>
    <col min="17" max="17" width="5.7109375" style="2106" customWidth="1"/>
    <col min="18" max="18" width="34.42578125" style="2106" customWidth="1"/>
    <col min="19" max="20" width="3.7109375" style="2107" customWidth="1"/>
    <col min="21" max="21" width="5.7109375" style="2107" customWidth="1"/>
    <col min="22" max="22" width="34.42578125" style="2107" customWidth="1"/>
    <col min="23" max="23" width="30.7109375" style="2106" customWidth="1"/>
    <col min="24" max="24" width="3.7109375" style="2106"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2106" hidden="1"/>
  </cols>
  <sheetData>
    <row r="1" spans="1:44" ht="11.25" hidden="1" customHeight="1">
      <c r="A1" s="78"/>
    </row>
    <row r="2" spans="1:44" ht="11.25" hidden="1" customHeight="1"/>
    <row r="3" spans="1:44" ht="11.25" hidden="1" customHeight="1"/>
    <row r="4" spans="1:44" ht="3" customHeight="1"/>
    <row r="5" spans="1:44" s="1847" customFormat="1" ht="29.25" customHeight="1">
      <c r="A5" s="76"/>
      <c r="B5" s="76"/>
      <c r="D5" s="5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5214"/>
      <c r="F5" s="5214"/>
      <c r="G5" s="5214"/>
      <c r="H5" s="5214"/>
      <c r="I5" s="5214"/>
      <c r="J5" s="5215"/>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4" s="1839" customFormat="1" ht="15" customHeight="1">
      <c r="A6" s="508"/>
      <c r="B6" s="508"/>
      <c r="C6" s="508"/>
      <c r="D6" s="5219" t="str">
        <f>IF(org=0,"Не определено",org)</f>
        <v>ПАО "ТГК-1" (филиал "Кольский")</v>
      </c>
      <c r="E6" s="5219"/>
      <c r="F6" s="5219"/>
      <c r="G6" s="5219"/>
      <c r="H6" s="5219"/>
      <c r="I6" s="5219"/>
      <c r="J6" s="5219"/>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4" s="1848" customFormat="1" ht="11.25" customHeight="1">
      <c r="A7" s="132"/>
      <c r="B7" s="132"/>
      <c r="D7" s="5216"/>
      <c r="E7" s="5217"/>
      <c r="F7" s="5217"/>
      <c r="G7" s="5217"/>
      <c r="H7" s="5217"/>
      <c r="I7" s="5217"/>
      <c r="J7" s="5218"/>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4"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4" ht="27" customHeight="1">
      <c r="D9" s="5180" t="s">
        <v>83</v>
      </c>
      <c r="E9" s="5151" t="s">
        <v>126</v>
      </c>
      <c r="F9" s="5150"/>
      <c r="G9" s="5180" t="s">
        <v>110</v>
      </c>
      <c r="H9" s="5180" t="s">
        <v>83</v>
      </c>
      <c r="I9" s="5180"/>
      <c r="J9" s="5180" t="s">
        <v>127</v>
      </c>
      <c r="K9" s="5208" t="s">
        <v>128</v>
      </c>
      <c r="L9" s="5208"/>
      <c r="M9" s="5208"/>
      <c r="N9" s="5208"/>
      <c r="O9" s="5208" t="s">
        <v>129</v>
      </c>
      <c r="P9" s="5208"/>
      <c r="Q9" s="5208"/>
      <c r="R9" s="5208"/>
      <c r="S9" s="5208" t="s">
        <v>130</v>
      </c>
      <c r="T9" s="5208"/>
      <c r="U9" s="5208"/>
      <c r="V9" s="5208"/>
      <c r="W9" s="5180" t="s">
        <v>131</v>
      </c>
    </row>
    <row r="10" spans="1:44" ht="30" customHeight="1">
      <c r="D10" s="5180"/>
      <c r="E10" s="1202" t="s">
        <v>84</v>
      </c>
      <c r="F10" s="1202" t="s">
        <v>132</v>
      </c>
      <c r="G10" s="5180"/>
      <c r="H10" s="5180"/>
      <c r="I10" s="5180"/>
      <c r="J10" s="5180"/>
      <c r="K10" s="41" t="s">
        <v>113</v>
      </c>
      <c r="L10" s="5180" t="s">
        <v>83</v>
      </c>
      <c r="M10" s="5180"/>
      <c r="N10" s="41" t="s">
        <v>133</v>
      </c>
      <c r="O10" s="41" t="s">
        <v>113</v>
      </c>
      <c r="P10" s="5180" t="s">
        <v>83</v>
      </c>
      <c r="Q10" s="5180"/>
      <c r="R10" s="41" t="s">
        <v>133</v>
      </c>
      <c r="S10" s="201" t="s">
        <v>113</v>
      </c>
      <c r="T10" s="5180" t="s">
        <v>83</v>
      </c>
      <c r="U10" s="5180"/>
      <c r="V10" s="201" t="s">
        <v>84</v>
      </c>
      <c r="W10" s="5180"/>
      <c r="Z10" s="1178" t="s">
        <v>134</v>
      </c>
      <c r="AA10" s="1178" t="s">
        <v>135</v>
      </c>
      <c r="AB10" s="1178" t="s">
        <v>136</v>
      </c>
      <c r="AC10" s="1178" t="s">
        <v>137</v>
      </c>
      <c r="AD10" s="1178" t="s">
        <v>138</v>
      </c>
      <c r="AE10" s="1178" t="s">
        <v>139</v>
      </c>
      <c r="AF10" s="1178" t="s">
        <v>140</v>
      </c>
      <c r="AG10" s="1178" t="s">
        <v>141</v>
      </c>
      <c r="AH10" s="1178" t="s">
        <v>142</v>
      </c>
      <c r="AI10" s="1178" t="s">
        <v>143</v>
      </c>
      <c r="AJ10" s="1178" t="s">
        <v>144</v>
      </c>
      <c r="AK10" s="1178" t="s">
        <v>145</v>
      </c>
      <c r="AL10" s="1178" t="s">
        <v>146</v>
      </c>
      <c r="AM10" s="1178" t="s">
        <v>147</v>
      </c>
      <c r="AN10" s="1178" t="s">
        <v>148</v>
      </c>
      <c r="AO10" s="1178" t="s">
        <v>149</v>
      </c>
      <c r="AP10" s="1178" t="s">
        <v>150</v>
      </c>
      <c r="AQ10" s="1178" t="s">
        <v>151</v>
      </c>
    </row>
    <row r="11" spans="1:44" s="1850" customFormat="1" ht="12" hidden="1" customHeight="1">
      <c r="D11" s="1158" t="s">
        <v>114</v>
      </c>
      <c r="E11" s="1158" t="s">
        <v>98</v>
      </c>
      <c r="F11" s="1158"/>
      <c r="G11" s="1158" t="s">
        <v>85</v>
      </c>
      <c r="H11" s="5209" t="s">
        <v>115</v>
      </c>
      <c r="I11" s="5209"/>
      <c r="J11" s="1158" t="s">
        <v>87</v>
      </c>
      <c r="K11" s="1158" t="s">
        <v>88</v>
      </c>
      <c r="L11" s="5209" t="s">
        <v>116</v>
      </c>
      <c r="M11" s="5209"/>
      <c r="N11" s="1158" t="s">
        <v>152</v>
      </c>
      <c r="O11" s="1158" t="s">
        <v>153</v>
      </c>
      <c r="P11" s="5209" t="s">
        <v>154</v>
      </c>
      <c r="Q11" s="5209"/>
      <c r="R11" s="1158" t="s">
        <v>155</v>
      </c>
      <c r="S11" s="1158" t="s">
        <v>154</v>
      </c>
      <c r="T11" s="5209" t="s">
        <v>155</v>
      </c>
      <c r="U11" s="5209"/>
      <c r="V11" s="1158" t="s">
        <v>156</v>
      </c>
      <c r="W11" s="1158" t="s">
        <v>157</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4"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4" s="1851" customFormat="1" ht="17.25" customHeight="1">
      <c r="A13" s="244"/>
      <c r="C13" s="130"/>
      <c r="D13" s="5194">
        <v>1</v>
      </c>
      <c r="E13" s="5196" t="s">
        <v>158</v>
      </c>
      <c r="F13" s="5198" t="s">
        <v>62</v>
      </c>
      <c r="G13" s="5210" t="str">
        <f>"Производство тепловой энергии. Комбинированная выработка с уст. мощностью производства электрической энергии 25 МВт и более, Передача. Тепловая энергия"&amp;",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3" s="5234"/>
      <c r="I13" s="5234">
        <v>1</v>
      </c>
      <c r="J13" s="5237" t="s">
        <v>159</v>
      </c>
      <c r="K13" s="5240" t="s">
        <v>62</v>
      </c>
      <c r="L13" s="5162"/>
      <c r="M13" s="5162" t="s">
        <v>114</v>
      </c>
      <c r="N13" s="5235" t="str">
        <f>IF(Z13="","",INDEX(TERRITORY_MR_LIST,MATCH(Z13,TERRITORY_LIST_ID,0)))</f>
        <v>Территория 1</v>
      </c>
      <c r="O13" s="5240" t="s">
        <v>62</v>
      </c>
      <c r="P13" s="5162"/>
      <c r="Q13" s="5162" t="s">
        <v>114</v>
      </c>
      <c r="R13" s="5242" t="s">
        <v>160</v>
      </c>
      <c r="S13" s="5161" t="s">
        <v>62</v>
      </c>
      <c r="T13" s="1853"/>
      <c r="U13" s="1853" t="s">
        <v>114</v>
      </c>
      <c r="V13" s="1854" t="s">
        <v>161</v>
      </c>
      <c r="W13" s="1852"/>
      <c r="Y13" s="1185"/>
      <c r="Z13" s="1185" t="s">
        <v>93</v>
      </c>
      <c r="AA13" s="1185"/>
      <c r="AB13" s="1185" t="s">
        <v>162</v>
      </c>
      <c r="AC13" s="1185" t="s">
        <v>163</v>
      </c>
      <c r="AD13" s="1185" t="s">
        <v>164</v>
      </c>
      <c r="AE13" s="1185" t="s">
        <v>165</v>
      </c>
      <c r="AF13" s="1185" t="s">
        <v>166</v>
      </c>
      <c r="AG13" s="1185" t="s">
        <v>167</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3" s="1185" t="str">
        <f>IF($J$13=0,"",$J$13)</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13" s="1185" t="str">
        <f>IF($K$13="нет","без дифференциации",IF($N$13=0,"",$N$13))</f>
        <v>Территория 1</v>
      </c>
      <c r="AL13" s="1185" t="str">
        <f>IF($O$13="нет","без дифференциации",IF($R$13=0,"",$R$13))</f>
        <v xml:space="preserve">открытая система теплоснабжения г. Апатиты
</v>
      </c>
      <c r="AM13" s="1185" t="str">
        <f>IF($S$13="нет","без дифференциации",IF($V$13=0,"",$V$13))</f>
        <v>Апатитская ТЭЦ</v>
      </c>
      <c r="AN13" s="1185">
        <f>$I$13</f>
        <v>1</v>
      </c>
      <c r="AO13" s="1185" t="str">
        <f>$I$13&amp;"."&amp;$M$13</f>
        <v>1.1</v>
      </c>
      <c r="AP13" s="1185" t="str">
        <f>$I$13&amp;"."&amp;$M$13&amp;"."&amp;$Q$13</f>
        <v>1.1.1</v>
      </c>
      <c r="AQ13" s="1185" t="str">
        <f>$I$13&amp;"."&amp;$M$13&amp;"."&amp;$Q$13&amp;"."&amp;$U$13</f>
        <v>1.1.1.1</v>
      </c>
    </row>
    <row r="14" spans="1:44" s="1851" customFormat="1" ht="17.25" customHeight="1">
      <c r="A14" s="244"/>
      <c r="C14" s="243"/>
      <c r="D14" s="5194"/>
      <c r="E14" s="5196"/>
      <c r="F14" s="5199"/>
      <c r="G14" s="5210"/>
      <c r="H14" s="5234"/>
      <c r="I14" s="5234"/>
      <c r="J14" s="5237"/>
      <c r="K14" s="5241"/>
      <c r="L14" s="5162"/>
      <c r="M14" s="5162"/>
      <c r="N14" s="5235"/>
      <c r="O14" s="5241"/>
      <c r="P14" s="5162"/>
      <c r="Q14" s="5162"/>
      <c r="R14" s="5242" t="s">
        <v>24</v>
      </c>
      <c r="S14" s="5161"/>
      <c r="T14" s="1855"/>
      <c r="U14" s="1856"/>
      <c r="V14" s="1857" t="s">
        <v>168</v>
      </c>
      <c r="W14" s="1858"/>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4" s="1859" customFormat="1" ht="17.25" customHeight="1">
      <c r="A15" s="244"/>
      <c r="C15" s="130"/>
      <c r="D15" s="5194"/>
      <c r="E15" s="5196"/>
      <c r="F15" s="5199"/>
      <c r="G15" s="5210"/>
      <c r="H15" s="5195"/>
      <c r="I15" s="5195"/>
      <c r="J15" s="5238"/>
      <c r="K15" s="5241"/>
      <c r="L15" s="5195"/>
      <c r="M15" s="5195"/>
      <c r="N15" s="5236"/>
      <c r="O15" s="5166"/>
      <c r="P15" s="1860"/>
      <c r="Q15" s="1861"/>
      <c r="R15" s="1862" t="s">
        <v>169</v>
      </c>
      <c r="S15" s="1863"/>
      <c r="T15" s="1864"/>
      <c r="U15" s="1865"/>
      <c r="V15" s="1866"/>
      <c r="W15" s="1867"/>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4" ht="17.25" customHeight="1">
      <c r="A16" s="1746"/>
      <c r="B16" s="1868"/>
      <c r="C16" s="1748"/>
      <c r="D16" s="5220"/>
      <c r="E16" s="5221"/>
      <c r="F16" s="5199"/>
      <c r="G16" s="5212"/>
      <c r="H16" s="5220"/>
      <c r="I16" s="5220"/>
      <c r="J16" s="5239"/>
      <c r="K16" s="5243"/>
      <c r="L16" s="5162" t="s">
        <v>99</v>
      </c>
      <c r="M16" s="5162" t="s">
        <v>98</v>
      </c>
      <c r="N16" s="5235" t="str">
        <f>IF(Z16="","",INDEX(TERRITORY_MR_LIST,MATCH(Z16,TERRITORY_LIST_ID,0)))</f>
        <v>Территория 2</v>
      </c>
      <c r="O16" s="5240" t="s">
        <v>62</v>
      </c>
      <c r="P16" s="5162"/>
      <c r="Q16" s="5162" t="s">
        <v>114</v>
      </c>
      <c r="R16" s="5242" t="s">
        <v>170</v>
      </c>
      <c r="S16" s="5161" t="s">
        <v>62</v>
      </c>
      <c r="T16" s="1719"/>
      <c r="U16" s="1719" t="s">
        <v>114</v>
      </c>
      <c r="V16" s="1749" t="s">
        <v>161</v>
      </c>
      <c r="W16" s="1709"/>
      <c r="X16" s="1868"/>
      <c r="Y16" s="1185"/>
      <c r="Z16" s="1185" t="s">
        <v>100</v>
      </c>
      <c r="AA16" s="1185"/>
      <c r="AB16" s="1185"/>
      <c r="AC16" s="1869" t="s">
        <v>163</v>
      </c>
      <c r="AD16" s="1869" t="s">
        <v>164</v>
      </c>
      <c r="AE16" s="1185" t="s">
        <v>171</v>
      </c>
      <c r="AF16" s="1185" t="s">
        <v>172</v>
      </c>
      <c r="AG16" s="1185" t="s">
        <v>173</v>
      </c>
      <c r="AH16"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6" s="1185" t="str">
        <f>IF($J$13=0,"",$J$13)</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16" s="1185" t="str">
        <f>IF($K$16="нет","без дифференциации",IF($N$16=0,"",$N$16))</f>
        <v>Территория 2</v>
      </c>
      <c r="AL16" s="1750" t="str">
        <f>IF($O$16="нет","без дифференциации",IF($R$16=0,"",$R$16))</f>
        <v>открытая система теплоснабжения г. Кировск</v>
      </c>
      <c r="AM16" s="1750" t="str">
        <f>IF($S$16="нет","без дифференциации",IF($V$16=0,"",$V$16))</f>
        <v>Апатитская ТЭЦ</v>
      </c>
      <c r="AN16" s="1185">
        <f>$I$13</f>
        <v>1</v>
      </c>
      <c r="AO16" s="1185" t="str">
        <f>$I$13&amp;"."&amp;$M$16</f>
        <v>1.2</v>
      </c>
      <c r="AP16" s="1185" t="str">
        <f>$I$13&amp;"."&amp;$M$16&amp;"."&amp;$Q$16</f>
        <v>1.2.1</v>
      </c>
      <c r="AQ16" s="1185" t="str">
        <f>$I$13&amp;"."&amp;$M$16&amp;"."&amp;$Q$16&amp;"."&amp;$U$16</f>
        <v>1.2.1.1</v>
      </c>
      <c r="AR16" s="1868"/>
    </row>
    <row r="17" spans="1:44" ht="17.25" customHeight="1">
      <c r="A17" s="1746"/>
      <c r="B17" s="1868"/>
      <c r="C17" s="1751"/>
      <c r="D17" s="5220"/>
      <c r="E17" s="5221"/>
      <c r="F17" s="5199"/>
      <c r="G17" s="5212"/>
      <c r="H17" s="5220"/>
      <c r="I17" s="5220"/>
      <c r="J17" s="5239"/>
      <c r="K17" s="5243"/>
      <c r="L17" s="5162"/>
      <c r="M17" s="5162"/>
      <c r="N17" s="5235"/>
      <c r="O17" s="5241"/>
      <c r="P17" s="5162"/>
      <c r="Q17" s="5162"/>
      <c r="R17" s="5242" t="s">
        <v>24</v>
      </c>
      <c r="S17" s="5161"/>
      <c r="T17" s="240"/>
      <c r="U17" s="241"/>
      <c r="V17" s="241" t="s">
        <v>168</v>
      </c>
      <c r="W17" s="242"/>
      <c r="X17" s="1868"/>
      <c r="Y17" s="1178"/>
      <c r="Z17" s="1178"/>
      <c r="AA17" s="1178"/>
      <c r="AB17" s="1178"/>
      <c r="AC17" s="1178"/>
      <c r="AD17" s="1178"/>
      <c r="AE17" s="1178"/>
      <c r="AF17" s="1178"/>
      <c r="AG17" s="1178"/>
      <c r="AH17" s="1178"/>
      <c r="AI17" s="1178"/>
      <c r="AJ17" s="1178"/>
      <c r="AK17" s="1178"/>
      <c r="AL17" s="1868"/>
      <c r="AM17" s="1868"/>
      <c r="AN17" s="1868"/>
      <c r="AO17" s="1868"/>
      <c r="AP17" s="1868"/>
      <c r="AQ17" s="1868"/>
      <c r="AR17" s="1868"/>
    </row>
    <row r="18" spans="1:44" ht="17.25" customHeight="1">
      <c r="A18" s="1746"/>
      <c r="B18" s="1868"/>
      <c r="C18" s="1751"/>
      <c r="D18" s="5220"/>
      <c r="E18" s="5221"/>
      <c r="F18" s="5199"/>
      <c r="G18" s="5212"/>
      <c r="H18" s="5220"/>
      <c r="I18" s="5220"/>
      <c r="J18" s="5239"/>
      <c r="K18" s="5243"/>
      <c r="L18" s="5195"/>
      <c r="M18" s="5195"/>
      <c r="N18" s="5236"/>
      <c r="O18" s="5166"/>
      <c r="P18" s="240"/>
      <c r="Q18" s="241"/>
      <c r="R18" s="241" t="s">
        <v>169</v>
      </c>
      <c r="S18" s="1752"/>
      <c r="T18" s="1752"/>
      <c r="U18" s="1752"/>
      <c r="V18" s="1752"/>
      <c r="W18" s="242"/>
      <c r="X18" s="1868"/>
      <c r="Y18" s="1178"/>
      <c r="Z18" s="1178"/>
      <c r="AA18" s="1178"/>
      <c r="AB18" s="1178"/>
      <c r="AC18" s="1178"/>
      <c r="AD18" s="1178"/>
      <c r="AE18" s="1178"/>
      <c r="AF18" s="1178"/>
      <c r="AG18" s="1178"/>
      <c r="AH18" s="1178"/>
      <c r="AI18" s="1178"/>
      <c r="AJ18" s="1178"/>
      <c r="AK18" s="1178"/>
      <c r="AL18" s="1868"/>
      <c r="AM18" s="1868"/>
      <c r="AN18" s="1868"/>
      <c r="AO18" s="1868"/>
      <c r="AP18" s="1868"/>
      <c r="AQ18" s="1868"/>
      <c r="AR18" s="1868"/>
    </row>
    <row r="19" spans="1:44" s="1859" customFormat="1" ht="17.25" customHeight="1">
      <c r="A19" s="244"/>
      <c r="C19" s="243"/>
      <c r="D19" s="5194"/>
      <c r="E19" s="5196"/>
      <c r="F19" s="5199"/>
      <c r="G19" s="5210"/>
      <c r="H19" s="5195"/>
      <c r="I19" s="5195"/>
      <c r="J19" s="5238"/>
      <c r="K19" s="5166"/>
      <c r="L19" s="1870"/>
      <c r="M19" s="1871"/>
      <c r="N19" s="1872" t="s">
        <v>174</v>
      </c>
      <c r="O19" s="1873"/>
      <c r="P19" s="1874"/>
      <c r="Q19" s="1875"/>
      <c r="R19" s="1876"/>
      <c r="S19" s="1877"/>
      <c r="T19" s="1878"/>
      <c r="U19" s="1879"/>
      <c r="V19" s="1880"/>
      <c r="W19" s="1881"/>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4" ht="17.25" customHeight="1">
      <c r="A20" s="1746"/>
      <c r="B20" s="1868"/>
      <c r="C20" s="1748"/>
      <c r="D20" s="5220"/>
      <c r="E20" s="5221"/>
      <c r="F20" s="5199"/>
      <c r="G20" s="5212"/>
      <c r="H20" s="5234" t="s">
        <v>99</v>
      </c>
      <c r="I20" s="5234" t="s">
        <v>98</v>
      </c>
      <c r="J20" s="5237" t="s">
        <v>175</v>
      </c>
      <c r="K20" s="5240" t="s">
        <v>62</v>
      </c>
      <c r="L20" s="5162"/>
      <c r="M20" s="5162" t="s">
        <v>114</v>
      </c>
      <c r="N20" s="5235" t="str">
        <f>IF(Z20="","",INDEX(TERRITORY_MR_LIST,MATCH(Z20,TERRITORY_LIST_ID,0)))</f>
        <v>Территория 1</v>
      </c>
      <c r="O20" s="5240" t="s">
        <v>62</v>
      </c>
      <c r="P20" s="5162"/>
      <c r="Q20" s="5162" t="s">
        <v>114</v>
      </c>
      <c r="R20" s="5242" t="s">
        <v>160</v>
      </c>
      <c r="S20" s="5161" t="s">
        <v>62</v>
      </c>
      <c r="T20" s="1719"/>
      <c r="U20" s="1719" t="s">
        <v>114</v>
      </c>
      <c r="V20" s="1749" t="s">
        <v>161</v>
      </c>
      <c r="W20" s="1709"/>
      <c r="X20" s="1868"/>
      <c r="Y20" s="1185"/>
      <c r="Z20" s="1185" t="s">
        <v>93</v>
      </c>
      <c r="AA20" s="1185"/>
      <c r="AB20" s="1185"/>
      <c r="AC20" s="1869" t="s">
        <v>163</v>
      </c>
      <c r="AD20" s="1185" t="s">
        <v>176</v>
      </c>
      <c r="AE20" s="1185" t="s">
        <v>177</v>
      </c>
      <c r="AF20" s="1185" t="s">
        <v>178</v>
      </c>
      <c r="AG20" s="1185" t="s">
        <v>179</v>
      </c>
      <c r="AH20"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0" s="1185" t="str">
        <f>IF($J$20=0,"",$J$20)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AK20" s="1185" t="str">
        <f>IF($K$20="нет","без дифференциации",IF($N$20=0,"",$N$20))</f>
        <v>Территория 1</v>
      </c>
      <c r="AL20" s="1750" t="str">
        <f>IF($O$20="нет","без дифференциации",IF($R$20=0,"",$R$20))</f>
        <v xml:space="preserve">открытая система теплоснабжения г. Апатиты
</v>
      </c>
      <c r="AM20" s="1750" t="str">
        <f>IF($S$20="нет","без дифференциации",IF($V$20=0,"",$V$20))</f>
        <v>Апатитская ТЭЦ</v>
      </c>
      <c r="AN20" s="1185" t="str">
        <f>$I$20</f>
        <v>2</v>
      </c>
      <c r="AO20" s="1185" t="str">
        <f>$I$20&amp;"."&amp;$M$20</f>
        <v>2.1</v>
      </c>
      <c r="AP20" s="1185" t="str">
        <f>$I$20&amp;"."&amp;$M$20&amp;"."&amp;$Q$20</f>
        <v>2.1.1</v>
      </c>
      <c r="AQ20" s="1185" t="str">
        <f>$I$20&amp;"."&amp;$M$20&amp;"."&amp;$Q$20&amp;"."&amp;$U$20</f>
        <v>2.1.1.1</v>
      </c>
      <c r="AR20" s="1868"/>
    </row>
    <row r="21" spans="1:44" ht="17.25" customHeight="1">
      <c r="A21" s="1746"/>
      <c r="B21" s="1868"/>
      <c r="C21" s="1751"/>
      <c r="D21" s="5220"/>
      <c r="E21" s="5221"/>
      <c r="F21" s="5199"/>
      <c r="G21" s="5212"/>
      <c r="H21" s="5234"/>
      <c r="I21" s="5234"/>
      <c r="J21" s="5237"/>
      <c r="K21" s="5241"/>
      <c r="L21" s="5162"/>
      <c r="M21" s="5162"/>
      <c r="N21" s="5235"/>
      <c r="O21" s="5241"/>
      <c r="P21" s="5162"/>
      <c r="Q21" s="5162"/>
      <c r="R21" s="5242" t="s">
        <v>24</v>
      </c>
      <c r="S21" s="5161"/>
      <c r="T21" s="240"/>
      <c r="U21" s="241"/>
      <c r="V21" s="241" t="s">
        <v>168</v>
      </c>
      <c r="W21" s="242"/>
      <c r="X21" s="1868"/>
      <c r="Y21" s="1178"/>
      <c r="Z21" s="1178"/>
      <c r="AA21" s="1178"/>
      <c r="AB21" s="1178"/>
      <c r="AC21" s="1178"/>
      <c r="AD21" s="1178"/>
      <c r="AE21" s="1178"/>
      <c r="AF21" s="1178"/>
      <c r="AG21" s="1178"/>
      <c r="AH21" s="1178"/>
      <c r="AI21" s="1178"/>
      <c r="AJ21" s="1178"/>
      <c r="AK21" s="1178"/>
      <c r="AL21" s="1868"/>
      <c r="AM21" s="1868"/>
      <c r="AN21" s="1868"/>
      <c r="AO21" s="1868"/>
      <c r="AP21" s="1868"/>
      <c r="AQ21" s="1868"/>
      <c r="AR21" s="1868"/>
    </row>
    <row r="22" spans="1:44" ht="17.25" customHeight="1">
      <c r="A22" s="1746"/>
      <c r="B22" s="1868"/>
      <c r="C22" s="1751"/>
      <c r="D22" s="5220"/>
      <c r="E22" s="5221"/>
      <c r="F22" s="5199"/>
      <c r="G22" s="5212"/>
      <c r="H22" s="5195"/>
      <c r="I22" s="5195"/>
      <c r="J22" s="5238"/>
      <c r="K22" s="5241"/>
      <c r="L22" s="5195"/>
      <c r="M22" s="5195"/>
      <c r="N22" s="5236"/>
      <c r="O22" s="5166"/>
      <c r="P22" s="240"/>
      <c r="Q22" s="241"/>
      <c r="R22" s="241" t="s">
        <v>169</v>
      </c>
      <c r="S22" s="1752"/>
      <c r="T22" s="1752"/>
      <c r="U22" s="1752"/>
      <c r="V22" s="1752"/>
      <c r="W22" s="242"/>
      <c r="X22" s="1868"/>
      <c r="Y22" s="1178"/>
      <c r="Z22" s="1178"/>
      <c r="AA22" s="1178"/>
      <c r="AB22" s="1178"/>
      <c r="AC22" s="1178"/>
      <c r="AD22" s="1178"/>
      <c r="AE22" s="1178"/>
      <c r="AF22" s="1178"/>
      <c r="AG22" s="1178"/>
      <c r="AH22" s="1178"/>
      <c r="AI22" s="1178"/>
      <c r="AJ22" s="1178"/>
      <c r="AK22" s="1178"/>
      <c r="AL22" s="1868"/>
      <c r="AM22" s="1868"/>
      <c r="AN22" s="1868"/>
      <c r="AO22" s="1868"/>
      <c r="AP22" s="1868"/>
      <c r="AQ22" s="1868"/>
      <c r="AR22" s="1868"/>
    </row>
    <row r="23" spans="1:44" ht="17.25" customHeight="1">
      <c r="A23" s="1746"/>
      <c r="B23" s="1868"/>
      <c r="C23" s="1751"/>
      <c r="D23" s="5220"/>
      <c r="E23" s="5221"/>
      <c r="F23" s="5199"/>
      <c r="G23" s="5212"/>
      <c r="H23" s="5195"/>
      <c r="I23" s="5195"/>
      <c r="J23" s="5238"/>
      <c r="K23" s="5166"/>
      <c r="L23" s="240"/>
      <c r="M23" s="241"/>
      <c r="N23" s="241" t="s">
        <v>174</v>
      </c>
      <c r="O23" s="241"/>
      <c r="P23" s="241"/>
      <c r="Q23" s="241"/>
      <c r="R23" s="241"/>
      <c r="S23" s="1752"/>
      <c r="T23" s="1752"/>
      <c r="U23" s="1752"/>
      <c r="V23" s="1752"/>
      <c r="W23" s="242"/>
      <c r="X23" s="1868"/>
      <c r="Y23" s="1178"/>
      <c r="Z23" s="1178"/>
      <c r="AA23" s="1178"/>
      <c r="AB23" s="1178"/>
      <c r="AC23" s="1178"/>
      <c r="AD23" s="1178"/>
      <c r="AE23" s="1178"/>
      <c r="AF23" s="1178"/>
      <c r="AG23" s="1178"/>
      <c r="AH23" s="1178"/>
      <c r="AI23" s="1178"/>
      <c r="AJ23" s="1178"/>
      <c r="AK23" s="1178"/>
      <c r="AL23" s="1868"/>
      <c r="AM23" s="1868"/>
      <c r="AN23" s="1868"/>
      <c r="AO23" s="1868"/>
      <c r="AP23" s="1868"/>
      <c r="AQ23" s="1868"/>
      <c r="AR23" s="1868"/>
    </row>
    <row r="24" spans="1:44" ht="17.25" customHeight="1">
      <c r="A24" s="1746"/>
      <c r="B24" s="1868"/>
      <c r="C24" s="1748"/>
      <c r="D24" s="5220"/>
      <c r="E24" s="5221"/>
      <c r="F24" s="5199"/>
      <c r="G24" s="5212"/>
      <c r="H24" s="5234" t="s">
        <v>99</v>
      </c>
      <c r="I24" s="5234" t="s">
        <v>85</v>
      </c>
      <c r="J24" s="5237" t="s">
        <v>180</v>
      </c>
      <c r="K24" s="5240" t="s">
        <v>62</v>
      </c>
      <c r="L24" s="5162"/>
      <c r="M24" s="5162" t="s">
        <v>114</v>
      </c>
      <c r="N24" s="5235" t="str">
        <f>IF(Z24="","",INDEX(TERRITORY_MR_LIST,MATCH(Z24,TERRITORY_LIST_ID,0)))</f>
        <v>Территория 1</v>
      </c>
      <c r="O24" s="5240" t="s">
        <v>62</v>
      </c>
      <c r="P24" s="5162"/>
      <c r="Q24" s="5162" t="s">
        <v>114</v>
      </c>
      <c r="R24" s="5242" t="s">
        <v>160</v>
      </c>
      <c r="S24" s="5161" t="s">
        <v>62</v>
      </c>
      <c r="T24" s="1719"/>
      <c r="U24" s="1719" t="s">
        <v>114</v>
      </c>
      <c r="V24" s="1749" t="s">
        <v>161</v>
      </c>
      <c r="W24" s="1709"/>
      <c r="X24" s="1868"/>
      <c r="Y24" s="1185"/>
      <c r="Z24" s="1185" t="s">
        <v>93</v>
      </c>
      <c r="AA24" s="1185"/>
      <c r="AB24" s="1185"/>
      <c r="AC24" s="1869" t="s">
        <v>163</v>
      </c>
      <c r="AD24" s="1185" t="s">
        <v>181</v>
      </c>
      <c r="AE24" s="1185" t="s">
        <v>182</v>
      </c>
      <c r="AF24" s="1185" t="s">
        <v>183</v>
      </c>
      <c r="AG24" s="1185" t="s">
        <v>184</v>
      </c>
      <c r="AH24"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4"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4" s="1185" t="str">
        <f>IF($J$24=0,"",$J$24)</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AK24" s="1185" t="str">
        <f>IF($K$24="нет","без дифференциации",IF($N$24=0,"",$N$24))</f>
        <v>Территория 1</v>
      </c>
      <c r="AL24" s="1750" t="str">
        <f>IF($O$24="нет","без дифференциации",IF($R$24=0,"",$R$24))</f>
        <v xml:space="preserve">открытая система теплоснабжения г. Апатиты
</v>
      </c>
      <c r="AM24" s="1750" t="str">
        <f>IF($S$24="нет","без дифференциации",IF($V$24=0,"",$V$24))</f>
        <v>Апатитская ТЭЦ</v>
      </c>
      <c r="AN24" s="1185" t="str">
        <f>$I$24</f>
        <v>3</v>
      </c>
      <c r="AO24" s="1185" t="str">
        <f>$I$24&amp;"."&amp;$M$24</f>
        <v>3.1</v>
      </c>
      <c r="AP24" s="1185" t="str">
        <f>$I$24&amp;"."&amp;$M$24&amp;"."&amp;$Q$24</f>
        <v>3.1.1</v>
      </c>
      <c r="AQ24" s="1185" t="str">
        <f>$I$24&amp;"."&amp;$M$24&amp;"."&amp;$Q$24&amp;"."&amp;$U$24</f>
        <v>3.1.1.1</v>
      </c>
      <c r="AR24" s="1868"/>
    </row>
    <row r="25" spans="1:44" ht="17.25" customHeight="1">
      <c r="A25" s="1746"/>
      <c r="B25" s="1868"/>
      <c r="C25" s="1751"/>
      <c r="D25" s="5220"/>
      <c r="E25" s="5221"/>
      <c r="F25" s="5199"/>
      <c r="G25" s="5212"/>
      <c r="H25" s="5234"/>
      <c r="I25" s="5234"/>
      <c r="J25" s="5237"/>
      <c r="K25" s="5241"/>
      <c r="L25" s="5162"/>
      <c r="M25" s="5162"/>
      <c r="N25" s="5235"/>
      <c r="O25" s="5241"/>
      <c r="P25" s="5162"/>
      <c r="Q25" s="5162"/>
      <c r="R25" s="5242" t="s">
        <v>24</v>
      </c>
      <c r="S25" s="5161"/>
      <c r="T25" s="240"/>
      <c r="U25" s="241"/>
      <c r="V25" s="241" t="s">
        <v>168</v>
      </c>
      <c r="W25" s="242"/>
      <c r="X25" s="1868"/>
      <c r="Y25" s="1178"/>
      <c r="Z25" s="1178"/>
      <c r="AA25" s="1178"/>
      <c r="AB25" s="1178"/>
      <c r="AC25" s="1178"/>
      <c r="AD25" s="1178"/>
      <c r="AE25" s="1178"/>
      <c r="AF25" s="1178"/>
      <c r="AG25" s="1178"/>
      <c r="AH25" s="1178"/>
      <c r="AI25" s="1178"/>
      <c r="AJ25" s="1178"/>
      <c r="AK25" s="1178"/>
      <c r="AL25" s="1868"/>
      <c r="AM25" s="1868"/>
      <c r="AN25" s="1868"/>
      <c r="AO25" s="1868"/>
      <c r="AP25" s="1868"/>
      <c r="AQ25" s="1868"/>
      <c r="AR25" s="1868"/>
    </row>
    <row r="26" spans="1:44" ht="17.25" customHeight="1">
      <c r="A26" s="1746"/>
      <c r="B26" s="1868"/>
      <c r="C26" s="1751"/>
      <c r="D26" s="5220"/>
      <c r="E26" s="5221"/>
      <c r="F26" s="5199"/>
      <c r="G26" s="5212"/>
      <c r="H26" s="5195"/>
      <c r="I26" s="5195"/>
      <c r="J26" s="5238"/>
      <c r="K26" s="5241"/>
      <c r="L26" s="5195"/>
      <c r="M26" s="5195"/>
      <c r="N26" s="5236"/>
      <c r="O26" s="5166"/>
      <c r="P26" s="240"/>
      <c r="Q26" s="241"/>
      <c r="R26" s="241" t="s">
        <v>169</v>
      </c>
      <c r="S26" s="1752"/>
      <c r="T26" s="1752"/>
      <c r="U26" s="1752"/>
      <c r="V26" s="1752"/>
      <c r="W26" s="242"/>
      <c r="X26" s="1868"/>
      <c r="Y26" s="1178"/>
      <c r="Z26" s="1178"/>
      <c r="AA26" s="1178"/>
      <c r="AB26" s="1178"/>
      <c r="AC26" s="1178"/>
      <c r="AD26" s="1178"/>
      <c r="AE26" s="1178"/>
      <c r="AF26" s="1178"/>
      <c r="AG26" s="1178"/>
      <c r="AH26" s="1178"/>
      <c r="AI26" s="1178"/>
      <c r="AJ26" s="1178"/>
      <c r="AK26" s="1178"/>
      <c r="AL26" s="1868"/>
      <c r="AM26" s="1868"/>
      <c r="AN26" s="1868"/>
      <c r="AO26" s="1868"/>
      <c r="AP26" s="1868"/>
      <c r="AQ26" s="1868"/>
      <c r="AR26" s="1868"/>
    </row>
    <row r="27" spans="1:44" ht="17.25" customHeight="1">
      <c r="A27" s="1746"/>
      <c r="B27" s="1868"/>
      <c r="C27" s="1751"/>
      <c r="D27" s="5220"/>
      <c r="E27" s="5221"/>
      <c r="F27" s="5199"/>
      <c r="G27" s="5212"/>
      <c r="H27" s="5195"/>
      <c r="I27" s="5195"/>
      <c r="J27" s="5238"/>
      <c r="K27" s="5166"/>
      <c r="L27" s="240"/>
      <c r="M27" s="241"/>
      <c r="N27" s="241" t="s">
        <v>174</v>
      </c>
      <c r="O27" s="241"/>
      <c r="P27" s="241"/>
      <c r="Q27" s="241"/>
      <c r="R27" s="241"/>
      <c r="S27" s="1752"/>
      <c r="T27" s="1752"/>
      <c r="U27" s="1752"/>
      <c r="V27" s="1752"/>
      <c r="W27" s="242"/>
      <c r="X27" s="1868"/>
      <c r="Y27" s="1178"/>
      <c r="Z27" s="1178"/>
      <c r="AA27" s="1178"/>
      <c r="AB27" s="1178"/>
      <c r="AC27" s="1178"/>
      <c r="AD27" s="1178"/>
      <c r="AE27" s="1178"/>
      <c r="AF27" s="1178"/>
      <c r="AG27" s="1178"/>
      <c r="AH27" s="1178"/>
      <c r="AI27" s="1178"/>
      <c r="AJ27" s="1178"/>
      <c r="AK27" s="1178"/>
      <c r="AL27" s="1868"/>
      <c r="AM27" s="1868"/>
      <c r="AN27" s="1868"/>
      <c r="AO27" s="1868"/>
      <c r="AP27" s="1868"/>
      <c r="AQ27" s="1868"/>
      <c r="AR27" s="1868"/>
    </row>
    <row r="28" spans="1:44" ht="17.25" customHeight="1">
      <c r="A28" s="1746"/>
      <c r="B28" s="1868"/>
      <c r="C28" s="1748"/>
      <c r="D28" s="5220"/>
      <c r="E28" s="5221"/>
      <c r="F28" s="5199"/>
      <c r="G28" s="5212"/>
      <c r="H28" s="5234" t="s">
        <v>99</v>
      </c>
      <c r="I28" s="5234" t="s">
        <v>86</v>
      </c>
      <c r="J28" s="5237" t="s">
        <v>185</v>
      </c>
      <c r="K28" s="5240" t="s">
        <v>62</v>
      </c>
      <c r="L28" s="5162"/>
      <c r="M28" s="5162" t="s">
        <v>114</v>
      </c>
      <c r="N28" s="5235" t="str">
        <f>IF(Z28="","",INDEX(TERRITORY_MR_LIST,MATCH(Z28,TERRITORY_LIST_ID,0)))</f>
        <v>Территория 2</v>
      </c>
      <c r="O28" s="5240" t="s">
        <v>62</v>
      </c>
      <c r="P28" s="5162"/>
      <c r="Q28" s="5162" t="s">
        <v>114</v>
      </c>
      <c r="R28" s="5242" t="s">
        <v>170</v>
      </c>
      <c r="S28" s="5161" t="s">
        <v>62</v>
      </c>
      <c r="T28" s="1719"/>
      <c r="U28" s="1719" t="s">
        <v>114</v>
      </c>
      <c r="V28" s="1749" t="s">
        <v>161</v>
      </c>
      <c r="W28" s="1709"/>
      <c r="X28" s="1868"/>
      <c r="Y28" s="1185"/>
      <c r="Z28" s="1185" t="s">
        <v>100</v>
      </c>
      <c r="AA28" s="1185"/>
      <c r="AB28" s="1185"/>
      <c r="AC28" s="1869" t="s">
        <v>163</v>
      </c>
      <c r="AD28" s="1185" t="s">
        <v>186</v>
      </c>
      <c r="AE28" s="1185" t="s">
        <v>187</v>
      </c>
      <c r="AF28" s="1185" t="s">
        <v>188</v>
      </c>
      <c r="AG28" s="1185" t="s">
        <v>189</v>
      </c>
      <c r="AH28"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8"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8" s="1185" t="str">
        <f>IF($J$28=0,"",$J$28)</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K28" s="1185" t="str">
        <f>IF($K$28="нет","без дифференциации",IF($N$28=0,"",$N$28))</f>
        <v>Территория 2</v>
      </c>
      <c r="AL28" s="1750" t="str">
        <f>IF($O$28="нет","без дифференциации",IF($R$28=0,"",$R$28))</f>
        <v>открытая система теплоснабжения г. Кировск</v>
      </c>
      <c r="AM28" s="1750" t="str">
        <f>IF($S$28="нет","без дифференциации",IF($V$28=0,"",$V$28))</f>
        <v>Апатитская ТЭЦ</v>
      </c>
      <c r="AN28" s="1185" t="str">
        <f>$I$28</f>
        <v>4</v>
      </c>
      <c r="AO28" s="1185" t="str">
        <f>$I$28&amp;"."&amp;$M$28</f>
        <v>4.1</v>
      </c>
      <c r="AP28" s="1185" t="str">
        <f>$I$28&amp;"."&amp;$M$28&amp;"."&amp;$Q$28</f>
        <v>4.1.1</v>
      </c>
      <c r="AQ28" s="1185" t="str">
        <f>$I$28&amp;"."&amp;$M$28&amp;"."&amp;$Q$28&amp;"."&amp;$U$28</f>
        <v>4.1.1.1</v>
      </c>
      <c r="AR28" s="1868"/>
    </row>
    <row r="29" spans="1:44" ht="17.25" customHeight="1">
      <c r="A29" s="1746"/>
      <c r="B29" s="1868"/>
      <c r="C29" s="1751"/>
      <c r="D29" s="5220"/>
      <c r="E29" s="5221"/>
      <c r="F29" s="5199"/>
      <c r="G29" s="5212"/>
      <c r="H29" s="5234"/>
      <c r="I29" s="5234"/>
      <c r="J29" s="5237"/>
      <c r="K29" s="5241"/>
      <c r="L29" s="5162"/>
      <c r="M29" s="5162"/>
      <c r="N29" s="5235"/>
      <c r="O29" s="5241"/>
      <c r="P29" s="5162"/>
      <c r="Q29" s="5162"/>
      <c r="R29" s="5242" t="s">
        <v>24</v>
      </c>
      <c r="S29" s="5161"/>
      <c r="T29" s="240"/>
      <c r="U29" s="241"/>
      <c r="V29" s="241" t="s">
        <v>168</v>
      </c>
      <c r="W29" s="242"/>
      <c r="X29" s="1868"/>
      <c r="Y29" s="1178"/>
      <c r="Z29" s="1178"/>
      <c r="AA29" s="1178"/>
      <c r="AB29" s="1178"/>
      <c r="AC29" s="1178"/>
      <c r="AD29" s="1178"/>
      <c r="AE29" s="1178"/>
      <c r="AF29" s="1178"/>
      <c r="AG29" s="1178"/>
      <c r="AH29" s="1178"/>
      <c r="AI29" s="1178"/>
      <c r="AJ29" s="1178"/>
      <c r="AK29" s="1178"/>
      <c r="AL29" s="1868"/>
      <c r="AM29" s="1868"/>
      <c r="AN29" s="1868"/>
      <c r="AO29" s="1868"/>
      <c r="AP29" s="1868"/>
      <c r="AQ29" s="1868"/>
      <c r="AR29" s="1868"/>
    </row>
    <row r="30" spans="1:44" ht="17.25" customHeight="1">
      <c r="A30" s="1746"/>
      <c r="B30" s="1868"/>
      <c r="C30" s="1751"/>
      <c r="D30" s="5220"/>
      <c r="E30" s="5221"/>
      <c r="F30" s="5199"/>
      <c r="G30" s="5212"/>
      <c r="H30" s="5195"/>
      <c r="I30" s="5195"/>
      <c r="J30" s="5238"/>
      <c r="K30" s="5241"/>
      <c r="L30" s="5195"/>
      <c r="M30" s="5195"/>
      <c r="N30" s="5236"/>
      <c r="O30" s="5166"/>
      <c r="P30" s="240"/>
      <c r="Q30" s="241"/>
      <c r="R30" s="241" t="s">
        <v>169</v>
      </c>
      <c r="S30" s="1752"/>
      <c r="T30" s="1752"/>
      <c r="U30" s="1752"/>
      <c r="V30" s="1752"/>
      <c r="W30" s="242"/>
      <c r="X30" s="1868"/>
      <c r="Y30" s="1178"/>
      <c r="Z30" s="1178"/>
      <c r="AA30" s="1178"/>
      <c r="AB30" s="1178"/>
      <c r="AC30" s="1178"/>
      <c r="AD30" s="1178"/>
      <c r="AE30" s="1178"/>
      <c r="AF30" s="1178"/>
      <c r="AG30" s="1178"/>
      <c r="AH30" s="1178"/>
      <c r="AI30" s="1178"/>
      <c r="AJ30" s="1178"/>
      <c r="AK30" s="1178"/>
      <c r="AL30" s="1868"/>
      <c r="AM30" s="1868"/>
      <c r="AN30" s="1868"/>
      <c r="AO30" s="1868"/>
      <c r="AP30" s="1868"/>
      <c r="AQ30" s="1868"/>
      <c r="AR30" s="1868"/>
    </row>
    <row r="31" spans="1:44" ht="17.25" customHeight="1">
      <c r="A31" s="1746"/>
      <c r="B31" s="1868"/>
      <c r="C31" s="1751"/>
      <c r="D31" s="5220"/>
      <c r="E31" s="5221"/>
      <c r="F31" s="5199"/>
      <c r="G31" s="5212"/>
      <c r="H31" s="5195"/>
      <c r="I31" s="5195"/>
      <c r="J31" s="5238"/>
      <c r="K31" s="5166"/>
      <c r="L31" s="240"/>
      <c r="M31" s="241"/>
      <c r="N31" s="241" t="s">
        <v>174</v>
      </c>
      <c r="O31" s="241"/>
      <c r="P31" s="241"/>
      <c r="Q31" s="241"/>
      <c r="R31" s="241"/>
      <c r="S31" s="1752"/>
      <c r="T31" s="1752"/>
      <c r="U31" s="1752"/>
      <c r="V31" s="1752"/>
      <c r="W31" s="242"/>
      <c r="X31" s="1868"/>
      <c r="Y31" s="1178"/>
      <c r="Z31" s="1178"/>
      <c r="AA31" s="1178"/>
      <c r="AB31" s="1178"/>
      <c r="AC31" s="1178"/>
      <c r="AD31" s="1178"/>
      <c r="AE31" s="1178"/>
      <c r="AF31" s="1178"/>
      <c r="AG31" s="1178"/>
      <c r="AH31" s="1178"/>
      <c r="AI31" s="1178"/>
      <c r="AJ31" s="1178"/>
      <c r="AK31" s="1178"/>
      <c r="AL31" s="1868"/>
      <c r="AM31" s="1868"/>
      <c r="AN31" s="1868"/>
      <c r="AO31" s="1868"/>
      <c r="AP31" s="1868"/>
      <c r="AQ31" s="1868"/>
      <c r="AR31" s="1868"/>
    </row>
    <row r="32" spans="1:44" ht="17.25" customHeight="1">
      <c r="A32" s="1746"/>
      <c r="B32" s="1868"/>
      <c r="C32" s="1748"/>
      <c r="D32" s="5220"/>
      <c r="E32" s="5221"/>
      <c r="F32" s="5199"/>
      <c r="G32" s="5212"/>
      <c r="H32" s="5234" t="s">
        <v>99</v>
      </c>
      <c r="I32" s="5234" t="s">
        <v>115</v>
      </c>
      <c r="J32" s="5237" t="s">
        <v>190</v>
      </c>
      <c r="K32" s="5240" t="s">
        <v>62</v>
      </c>
      <c r="L32" s="5162"/>
      <c r="M32" s="5162" t="s">
        <v>114</v>
      </c>
      <c r="N32" s="5235" t="str">
        <f>IF(Z32="","",INDEX(TERRITORY_MR_LIST,MATCH(Z32,TERRITORY_LIST_ID,0)))</f>
        <v>Территория 1</v>
      </c>
      <c r="O32" s="5240" t="s">
        <v>62</v>
      </c>
      <c r="P32" s="5162"/>
      <c r="Q32" s="5162" t="s">
        <v>114</v>
      </c>
      <c r="R32" s="5242" t="s">
        <v>160</v>
      </c>
      <c r="S32" s="5161" t="s">
        <v>62</v>
      </c>
      <c r="T32" s="1719"/>
      <c r="U32" s="1719" t="s">
        <v>114</v>
      </c>
      <c r="V32" s="1749" t="s">
        <v>161</v>
      </c>
      <c r="W32" s="1709"/>
      <c r="X32" s="1868"/>
      <c r="Y32" s="1185"/>
      <c r="Z32" s="1185" t="s">
        <v>93</v>
      </c>
      <c r="AA32" s="1185"/>
      <c r="AB32" s="1185"/>
      <c r="AC32" s="1869" t="s">
        <v>163</v>
      </c>
      <c r="AD32" s="1185" t="s">
        <v>191</v>
      </c>
      <c r="AE32" s="1185" t="s">
        <v>192</v>
      </c>
      <c r="AF32" s="1185" t="s">
        <v>193</v>
      </c>
      <c r="AG32" s="1185" t="s">
        <v>194</v>
      </c>
      <c r="AH32"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2"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2" s="1185" t="str">
        <f>IF($J$32=0,"",$J$32)</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AK32" s="1185" t="str">
        <f>IF($K$32="нет","без дифференциации",IF($N$32=0,"",$N$32))</f>
        <v>Территория 1</v>
      </c>
      <c r="AL32" s="1750" t="str">
        <f>IF($O$32="нет","без дифференциации",IF($R$32=0,"",$R$32))</f>
        <v xml:space="preserve">открытая система теплоснабжения г. Апатиты
</v>
      </c>
      <c r="AM32" s="1750" t="str">
        <f>IF($S$32="нет","без дифференциации",IF($V$32=0,"",$V$32))</f>
        <v>Апатитская ТЭЦ</v>
      </c>
      <c r="AN32" s="1185" t="str">
        <f>$I$32</f>
        <v>5</v>
      </c>
      <c r="AO32" s="1185" t="str">
        <f>$I$32&amp;"."&amp;$M$32</f>
        <v>5.1</v>
      </c>
      <c r="AP32" s="1185" t="str">
        <f>$I$32&amp;"."&amp;$M$32&amp;"."&amp;$Q$32</f>
        <v>5.1.1</v>
      </c>
      <c r="AQ32" s="1185" t="str">
        <f>$I$32&amp;"."&amp;$M$32&amp;"."&amp;$Q$32&amp;"."&amp;$U$32</f>
        <v>5.1.1.1</v>
      </c>
      <c r="AR32" s="1868"/>
    </row>
    <row r="33" spans="1:44" ht="17.25" customHeight="1">
      <c r="A33" s="1746"/>
      <c r="B33" s="1868"/>
      <c r="C33" s="1751"/>
      <c r="D33" s="5220"/>
      <c r="E33" s="5221"/>
      <c r="F33" s="5199"/>
      <c r="G33" s="5212"/>
      <c r="H33" s="5234"/>
      <c r="I33" s="5234"/>
      <c r="J33" s="5237"/>
      <c r="K33" s="5241"/>
      <c r="L33" s="5162"/>
      <c r="M33" s="5162"/>
      <c r="N33" s="5235"/>
      <c r="O33" s="5241"/>
      <c r="P33" s="5162"/>
      <c r="Q33" s="5162"/>
      <c r="R33" s="5242" t="s">
        <v>24</v>
      </c>
      <c r="S33" s="5161"/>
      <c r="T33" s="240"/>
      <c r="U33" s="241"/>
      <c r="V33" s="241" t="s">
        <v>168</v>
      </c>
      <c r="W33" s="242"/>
      <c r="X33" s="1868"/>
      <c r="Y33" s="1178"/>
      <c r="Z33" s="1178"/>
      <c r="AA33" s="1178"/>
      <c r="AB33" s="1178"/>
      <c r="AC33" s="1178"/>
      <c r="AD33" s="1178"/>
      <c r="AE33" s="1178"/>
      <c r="AF33" s="1178"/>
      <c r="AG33" s="1178"/>
      <c r="AH33" s="1178"/>
      <c r="AI33" s="1178"/>
      <c r="AJ33" s="1178"/>
      <c r="AK33" s="1178"/>
      <c r="AL33" s="1868"/>
      <c r="AM33" s="1868"/>
      <c r="AN33" s="1868"/>
      <c r="AO33" s="1868"/>
      <c r="AP33" s="1868"/>
      <c r="AQ33" s="1868"/>
      <c r="AR33" s="1868"/>
    </row>
    <row r="34" spans="1:44" ht="17.25" customHeight="1">
      <c r="A34" s="1746"/>
      <c r="B34" s="1868"/>
      <c r="C34" s="1751"/>
      <c r="D34" s="5220"/>
      <c r="E34" s="5221"/>
      <c r="F34" s="5199"/>
      <c r="G34" s="5212"/>
      <c r="H34" s="5195"/>
      <c r="I34" s="5195"/>
      <c r="J34" s="5238"/>
      <c r="K34" s="5241"/>
      <c r="L34" s="5195"/>
      <c r="M34" s="5195"/>
      <c r="N34" s="5236"/>
      <c r="O34" s="5166"/>
      <c r="P34" s="240"/>
      <c r="Q34" s="241"/>
      <c r="R34" s="241" t="s">
        <v>169</v>
      </c>
      <c r="S34" s="1752"/>
      <c r="T34" s="1752"/>
      <c r="U34" s="1752"/>
      <c r="V34" s="1752"/>
      <c r="W34" s="242"/>
      <c r="X34" s="1868"/>
      <c r="Y34" s="1178"/>
      <c r="Z34" s="1178"/>
      <c r="AA34" s="1178"/>
      <c r="AB34" s="1178"/>
      <c r="AC34" s="1178"/>
      <c r="AD34" s="1178"/>
      <c r="AE34" s="1178"/>
      <c r="AF34" s="1178"/>
      <c r="AG34" s="1178"/>
      <c r="AH34" s="1178"/>
      <c r="AI34" s="1178"/>
      <c r="AJ34" s="1178"/>
      <c r="AK34" s="1178"/>
      <c r="AL34" s="1868"/>
      <c r="AM34" s="1868"/>
      <c r="AN34" s="1868"/>
      <c r="AO34" s="1868"/>
      <c r="AP34" s="1868"/>
      <c r="AQ34" s="1868"/>
      <c r="AR34" s="1868"/>
    </row>
    <row r="35" spans="1:44" ht="17.25" customHeight="1">
      <c r="A35" s="1746"/>
      <c r="B35" s="1868"/>
      <c r="C35" s="1751"/>
      <c r="D35" s="5220"/>
      <c r="E35" s="5221"/>
      <c r="F35" s="5199"/>
      <c r="G35" s="5212"/>
      <c r="H35" s="5195"/>
      <c r="I35" s="5195"/>
      <c r="J35" s="5238"/>
      <c r="K35" s="5166"/>
      <c r="L35" s="240"/>
      <c r="M35" s="241"/>
      <c r="N35" s="241" t="s">
        <v>174</v>
      </c>
      <c r="O35" s="241"/>
      <c r="P35" s="241"/>
      <c r="Q35" s="241"/>
      <c r="R35" s="241"/>
      <c r="S35" s="1752"/>
      <c r="T35" s="1752"/>
      <c r="U35" s="1752"/>
      <c r="V35" s="1752"/>
      <c r="W35" s="242"/>
      <c r="X35" s="1868"/>
      <c r="Y35" s="1178"/>
      <c r="Z35" s="1178"/>
      <c r="AA35" s="1178"/>
      <c r="AB35" s="1178"/>
      <c r="AC35" s="1178"/>
      <c r="AD35" s="1178"/>
      <c r="AE35" s="1178"/>
      <c r="AF35" s="1178"/>
      <c r="AG35" s="1178"/>
      <c r="AH35" s="1178"/>
      <c r="AI35" s="1178"/>
      <c r="AJ35" s="1178"/>
      <c r="AK35" s="1178"/>
      <c r="AL35" s="1868"/>
      <c r="AM35" s="1868"/>
      <c r="AN35" s="1868"/>
      <c r="AO35" s="1868"/>
      <c r="AP35" s="1868"/>
      <c r="AQ35" s="1868"/>
      <c r="AR35" s="1868"/>
    </row>
    <row r="36" spans="1:44" ht="17.25" customHeight="1">
      <c r="A36" s="1746"/>
      <c r="B36" s="1868"/>
      <c r="C36" s="1748"/>
      <c r="D36" s="5220"/>
      <c r="E36" s="5221"/>
      <c r="F36" s="5199"/>
      <c r="G36" s="5212"/>
      <c r="H36" s="5234" t="s">
        <v>99</v>
      </c>
      <c r="I36" s="5234" t="s">
        <v>87</v>
      </c>
      <c r="J36" s="5237" t="s">
        <v>195</v>
      </c>
      <c r="K36" s="5240" t="s">
        <v>62</v>
      </c>
      <c r="L36" s="5162"/>
      <c r="M36" s="5162" t="s">
        <v>114</v>
      </c>
      <c r="N36" s="5235" t="str">
        <f>IF(Z36="","",INDEX(TERRITORY_MR_LIST,MATCH(Z36,TERRITORY_LIST_ID,0)))</f>
        <v>Территория 1</v>
      </c>
      <c r="O36" s="5240" t="s">
        <v>62</v>
      </c>
      <c r="P36" s="5162"/>
      <c r="Q36" s="5162" t="s">
        <v>114</v>
      </c>
      <c r="R36" s="5242" t="s">
        <v>160</v>
      </c>
      <c r="S36" s="5161" t="s">
        <v>62</v>
      </c>
      <c r="T36" s="1719"/>
      <c r="U36" s="1719" t="s">
        <v>114</v>
      </c>
      <c r="V36" s="1749" t="s">
        <v>161</v>
      </c>
      <c r="W36" s="1709"/>
      <c r="X36" s="1868"/>
      <c r="Y36" s="1185"/>
      <c r="Z36" s="1185" t="s">
        <v>93</v>
      </c>
      <c r="AA36" s="1185"/>
      <c r="AB36" s="1185"/>
      <c r="AC36" s="1869" t="s">
        <v>163</v>
      </c>
      <c r="AD36" s="1185" t="s">
        <v>196</v>
      </c>
      <c r="AE36" s="1185" t="s">
        <v>197</v>
      </c>
      <c r="AF36" s="1185" t="s">
        <v>198</v>
      </c>
      <c r="AG36" s="1185" t="s">
        <v>199</v>
      </c>
      <c r="AH36"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6"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6" s="1185" t="str">
        <f>IF($J$36=0,"",$J$36)</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AK36" s="1185" t="str">
        <f>IF($K$36="нет","без дифференциации",IF($N$36=0,"",$N$36))</f>
        <v>Территория 1</v>
      </c>
      <c r="AL36" s="1750" t="str">
        <f>IF($O$36="нет","без дифференциации",IF($R$36=0,"",$R$36))</f>
        <v xml:space="preserve">открытая система теплоснабжения г. Апатиты
</v>
      </c>
      <c r="AM36" s="1750" t="str">
        <f>IF($S$36="нет","без дифференциации",IF($V$36=0,"",$V$36))</f>
        <v>Апатитская ТЭЦ</v>
      </c>
      <c r="AN36" s="1185" t="str">
        <f>$I$36</f>
        <v>6</v>
      </c>
      <c r="AO36" s="1185" t="str">
        <f>$I$36&amp;"."&amp;$M$36</f>
        <v>6.1</v>
      </c>
      <c r="AP36" s="1185" t="str">
        <f>$I$36&amp;"."&amp;$M$36&amp;"."&amp;$Q$36</f>
        <v>6.1.1</v>
      </c>
      <c r="AQ36" s="1185" t="str">
        <f>$I$36&amp;"."&amp;$M$36&amp;"."&amp;$Q$36&amp;"."&amp;$U$36</f>
        <v>6.1.1.1</v>
      </c>
      <c r="AR36" s="1868"/>
    </row>
    <row r="37" spans="1:44" ht="17.25" customHeight="1">
      <c r="A37" s="1746"/>
      <c r="B37" s="1868"/>
      <c r="C37" s="1751"/>
      <c r="D37" s="5220"/>
      <c r="E37" s="5221"/>
      <c r="F37" s="5199"/>
      <c r="G37" s="5212"/>
      <c r="H37" s="5234"/>
      <c r="I37" s="5234"/>
      <c r="J37" s="5237"/>
      <c r="K37" s="5241"/>
      <c r="L37" s="5162"/>
      <c r="M37" s="5162"/>
      <c r="N37" s="5235"/>
      <c r="O37" s="5241"/>
      <c r="P37" s="5162"/>
      <c r="Q37" s="5162"/>
      <c r="R37" s="5242" t="s">
        <v>24</v>
      </c>
      <c r="S37" s="5161"/>
      <c r="T37" s="240"/>
      <c r="U37" s="241"/>
      <c r="V37" s="241" t="s">
        <v>168</v>
      </c>
      <c r="W37" s="242"/>
      <c r="X37" s="1868"/>
      <c r="Y37" s="1178"/>
      <c r="Z37" s="1178"/>
      <c r="AA37" s="1178"/>
      <c r="AB37" s="1178"/>
      <c r="AC37" s="1178"/>
      <c r="AD37" s="1178"/>
      <c r="AE37" s="1178"/>
      <c r="AF37" s="1178"/>
      <c r="AG37" s="1178"/>
      <c r="AH37" s="1178"/>
      <c r="AI37" s="1178"/>
      <c r="AJ37" s="1178"/>
      <c r="AK37" s="1178"/>
      <c r="AL37" s="1868"/>
      <c r="AM37" s="1868"/>
      <c r="AN37" s="1868"/>
      <c r="AO37" s="1868"/>
      <c r="AP37" s="1868"/>
      <c r="AQ37" s="1868"/>
      <c r="AR37" s="1868"/>
    </row>
    <row r="38" spans="1:44" ht="17.25" customHeight="1">
      <c r="A38" s="1746"/>
      <c r="B38" s="1868"/>
      <c r="C38" s="1751"/>
      <c r="D38" s="5220"/>
      <c r="E38" s="5221"/>
      <c r="F38" s="5199"/>
      <c r="G38" s="5212"/>
      <c r="H38" s="5195"/>
      <c r="I38" s="5195"/>
      <c r="J38" s="5238"/>
      <c r="K38" s="5241"/>
      <c r="L38" s="5195"/>
      <c r="M38" s="5195"/>
      <c r="N38" s="5236"/>
      <c r="O38" s="5166"/>
      <c r="P38" s="240"/>
      <c r="Q38" s="241"/>
      <c r="R38" s="241" t="s">
        <v>169</v>
      </c>
      <c r="S38" s="1752"/>
      <c r="T38" s="1752"/>
      <c r="U38" s="1752"/>
      <c r="V38" s="1752"/>
      <c r="W38" s="242"/>
      <c r="X38" s="1868"/>
      <c r="Y38" s="1178"/>
      <c r="Z38" s="1178"/>
      <c r="AA38" s="1178"/>
      <c r="AB38" s="1178"/>
      <c r="AC38" s="1178"/>
      <c r="AD38" s="1178"/>
      <c r="AE38" s="1178"/>
      <c r="AF38" s="1178"/>
      <c r="AG38" s="1178"/>
      <c r="AH38" s="1178"/>
      <c r="AI38" s="1178"/>
      <c r="AJ38" s="1178"/>
      <c r="AK38" s="1178"/>
      <c r="AL38" s="1868"/>
      <c r="AM38" s="1868"/>
      <c r="AN38" s="1868"/>
      <c r="AO38" s="1868"/>
      <c r="AP38" s="1868"/>
      <c r="AQ38" s="1868"/>
      <c r="AR38" s="1868"/>
    </row>
    <row r="39" spans="1:44" ht="17.25" customHeight="1">
      <c r="A39" s="1746"/>
      <c r="B39" s="1868"/>
      <c r="C39" s="1751"/>
      <c r="D39" s="5220"/>
      <c r="E39" s="5221"/>
      <c r="F39" s="5199"/>
      <c r="G39" s="5212"/>
      <c r="H39" s="5195"/>
      <c r="I39" s="5195"/>
      <c r="J39" s="5238"/>
      <c r="K39" s="5166"/>
      <c r="L39" s="240"/>
      <c r="M39" s="241"/>
      <c r="N39" s="241" t="s">
        <v>174</v>
      </c>
      <c r="O39" s="241"/>
      <c r="P39" s="241"/>
      <c r="Q39" s="241"/>
      <c r="R39" s="241"/>
      <c r="S39" s="1752"/>
      <c r="T39" s="1752"/>
      <c r="U39" s="1752"/>
      <c r="V39" s="1752"/>
      <c r="W39" s="242"/>
      <c r="X39" s="1868"/>
      <c r="Y39" s="1178"/>
      <c r="Z39" s="1178"/>
      <c r="AA39" s="1178"/>
      <c r="AB39" s="1178"/>
      <c r="AC39" s="1178"/>
      <c r="AD39" s="1178"/>
      <c r="AE39" s="1178"/>
      <c r="AF39" s="1178"/>
      <c r="AG39" s="1178"/>
      <c r="AH39" s="1178"/>
      <c r="AI39" s="1178"/>
      <c r="AJ39" s="1178"/>
      <c r="AK39" s="1178"/>
      <c r="AL39" s="1868"/>
      <c r="AM39" s="1868"/>
      <c r="AN39" s="1868"/>
      <c r="AO39" s="1868"/>
      <c r="AP39" s="1868"/>
      <c r="AQ39" s="1868"/>
      <c r="AR39" s="1868"/>
    </row>
    <row r="40" spans="1:44" ht="17.25" customHeight="1">
      <c r="A40" s="1746"/>
      <c r="B40" s="1868"/>
      <c r="C40" s="1748"/>
      <c r="D40" s="5220"/>
      <c r="E40" s="5221"/>
      <c r="F40" s="5199"/>
      <c r="G40" s="5212"/>
      <c r="H40" s="5234" t="s">
        <v>99</v>
      </c>
      <c r="I40" s="5234" t="s">
        <v>88</v>
      </c>
      <c r="J40" s="5237" t="s">
        <v>200</v>
      </c>
      <c r="K40" s="5240" t="s">
        <v>62</v>
      </c>
      <c r="L40" s="5162"/>
      <c r="M40" s="5162" t="s">
        <v>114</v>
      </c>
      <c r="N40" s="5235" t="str">
        <f>IF(Z40="","",INDEX(TERRITORY_MR_LIST,MATCH(Z40,TERRITORY_LIST_ID,0)))</f>
        <v>Территория 2</v>
      </c>
      <c r="O40" s="5240" t="s">
        <v>62</v>
      </c>
      <c r="P40" s="5162"/>
      <c r="Q40" s="5162" t="s">
        <v>114</v>
      </c>
      <c r="R40" s="5242" t="s">
        <v>170</v>
      </c>
      <c r="S40" s="5161" t="s">
        <v>62</v>
      </c>
      <c r="T40" s="1719"/>
      <c r="U40" s="1719" t="s">
        <v>114</v>
      </c>
      <c r="V40" s="1749" t="s">
        <v>161</v>
      </c>
      <c r="W40" s="1709"/>
      <c r="X40" s="1868"/>
      <c r="Y40" s="1185"/>
      <c r="Z40" s="1185" t="s">
        <v>100</v>
      </c>
      <c r="AA40" s="1185"/>
      <c r="AB40" s="1185"/>
      <c r="AC40" s="1869" t="s">
        <v>163</v>
      </c>
      <c r="AD40" s="1185" t="s">
        <v>201</v>
      </c>
      <c r="AE40" s="1185" t="s">
        <v>202</v>
      </c>
      <c r="AF40" s="1185" t="s">
        <v>203</v>
      </c>
      <c r="AG40" s="1185" t="s">
        <v>204</v>
      </c>
      <c r="AH40"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40"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0" s="1185" t="str">
        <f>IF($J$40=0,"",$J$40)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K40" s="1185" t="str">
        <f>IF($K$40="нет","без дифференциации",IF($N$40=0,"",$N$40))</f>
        <v>Территория 2</v>
      </c>
      <c r="AL40" s="1750" t="str">
        <f>IF($O$40="нет","без дифференциации",IF($R$40=0,"",$R$40))</f>
        <v>открытая система теплоснабжения г. Кировск</v>
      </c>
      <c r="AM40" s="1750" t="str">
        <f>IF($S$40="нет","без дифференциации",IF($V$40=0,"",$V$40))</f>
        <v>Апатитская ТЭЦ</v>
      </c>
      <c r="AN40" s="1185" t="str">
        <f>$I$40</f>
        <v>7</v>
      </c>
      <c r="AO40" s="1185" t="str">
        <f>$I$40&amp;"."&amp;$M$40</f>
        <v>7.1</v>
      </c>
      <c r="AP40" s="1185" t="str">
        <f>$I$40&amp;"."&amp;$M$40&amp;"."&amp;$Q$40</f>
        <v>7.1.1</v>
      </c>
      <c r="AQ40" s="1185" t="str">
        <f>$I$40&amp;"."&amp;$M$40&amp;"."&amp;$Q$40&amp;"."&amp;$U$40</f>
        <v>7.1.1.1</v>
      </c>
      <c r="AR40" s="1868"/>
    </row>
    <row r="41" spans="1:44" ht="17.25" customHeight="1">
      <c r="A41" s="1746"/>
      <c r="B41" s="1868"/>
      <c r="C41" s="1751"/>
      <c r="D41" s="5220"/>
      <c r="E41" s="5221"/>
      <c r="F41" s="5199"/>
      <c r="G41" s="5212"/>
      <c r="H41" s="5234"/>
      <c r="I41" s="5234"/>
      <c r="J41" s="5237"/>
      <c r="K41" s="5241"/>
      <c r="L41" s="5162"/>
      <c r="M41" s="5162"/>
      <c r="N41" s="5235"/>
      <c r="O41" s="5241"/>
      <c r="P41" s="5162"/>
      <c r="Q41" s="5162"/>
      <c r="R41" s="5242" t="s">
        <v>24</v>
      </c>
      <c r="S41" s="5161"/>
      <c r="T41" s="240"/>
      <c r="U41" s="241"/>
      <c r="V41" s="241" t="s">
        <v>168</v>
      </c>
      <c r="W41" s="242"/>
      <c r="X41" s="1868"/>
      <c r="Y41" s="1178"/>
      <c r="Z41" s="1178"/>
      <c r="AA41" s="1178"/>
      <c r="AB41" s="1178"/>
      <c r="AC41" s="1178"/>
      <c r="AD41" s="1178"/>
      <c r="AE41" s="1178"/>
      <c r="AF41" s="1178"/>
      <c r="AG41" s="1178"/>
      <c r="AH41" s="1178"/>
      <c r="AI41" s="1178"/>
      <c r="AJ41" s="1178"/>
      <c r="AK41" s="1178"/>
      <c r="AL41" s="1868"/>
      <c r="AM41" s="1868"/>
      <c r="AN41" s="1868"/>
      <c r="AO41" s="1868"/>
      <c r="AP41" s="1868"/>
      <c r="AQ41" s="1868"/>
      <c r="AR41" s="1868"/>
    </row>
    <row r="42" spans="1:44" ht="17.25" customHeight="1">
      <c r="A42" s="1746"/>
      <c r="B42" s="1868"/>
      <c r="C42" s="1751"/>
      <c r="D42" s="5220"/>
      <c r="E42" s="5221"/>
      <c r="F42" s="5199"/>
      <c r="G42" s="5212"/>
      <c r="H42" s="5195"/>
      <c r="I42" s="5195"/>
      <c r="J42" s="5238"/>
      <c r="K42" s="5241"/>
      <c r="L42" s="5195"/>
      <c r="M42" s="5195"/>
      <c r="N42" s="5236"/>
      <c r="O42" s="5166"/>
      <c r="P42" s="240"/>
      <c r="Q42" s="241"/>
      <c r="R42" s="241" t="s">
        <v>169</v>
      </c>
      <c r="S42" s="1752"/>
      <c r="T42" s="1752"/>
      <c r="U42" s="1752"/>
      <c r="V42" s="1752"/>
      <c r="W42" s="242"/>
      <c r="X42" s="1868"/>
      <c r="Y42" s="1178"/>
      <c r="Z42" s="1178"/>
      <c r="AA42" s="1178"/>
      <c r="AB42" s="1178"/>
      <c r="AC42" s="1178"/>
      <c r="AD42" s="1178"/>
      <c r="AE42" s="1178"/>
      <c r="AF42" s="1178"/>
      <c r="AG42" s="1178"/>
      <c r="AH42" s="1178"/>
      <c r="AI42" s="1178"/>
      <c r="AJ42" s="1178"/>
      <c r="AK42" s="1178"/>
      <c r="AL42" s="1868"/>
      <c r="AM42" s="1868"/>
      <c r="AN42" s="1868"/>
      <c r="AO42" s="1868"/>
      <c r="AP42" s="1868"/>
      <c r="AQ42" s="1868"/>
      <c r="AR42" s="1868"/>
    </row>
    <row r="43" spans="1:44" ht="17.25" customHeight="1">
      <c r="A43" s="1746"/>
      <c r="B43" s="1868"/>
      <c r="C43" s="1751"/>
      <c r="D43" s="5220"/>
      <c r="E43" s="5221"/>
      <c r="F43" s="5199"/>
      <c r="G43" s="5212"/>
      <c r="H43" s="5195"/>
      <c r="I43" s="5195"/>
      <c r="J43" s="5238"/>
      <c r="K43" s="5166"/>
      <c r="L43" s="240"/>
      <c r="M43" s="241"/>
      <c r="N43" s="241" t="s">
        <v>174</v>
      </c>
      <c r="O43" s="241"/>
      <c r="P43" s="241"/>
      <c r="Q43" s="241"/>
      <c r="R43" s="241"/>
      <c r="S43" s="1752"/>
      <c r="T43" s="1752"/>
      <c r="U43" s="1752"/>
      <c r="V43" s="1752"/>
      <c r="W43" s="242"/>
      <c r="X43" s="1868"/>
      <c r="Y43" s="1178"/>
      <c r="Z43" s="1178"/>
      <c r="AA43" s="1178"/>
      <c r="AB43" s="1178"/>
      <c r="AC43" s="1178"/>
      <c r="AD43" s="1178"/>
      <c r="AE43" s="1178"/>
      <c r="AF43" s="1178"/>
      <c r="AG43" s="1178"/>
      <c r="AH43" s="1178"/>
      <c r="AI43" s="1178"/>
      <c r="AJ43" s="1178"/>
      <c r="AK43" s="1178"/>
      <c r="AL43" s="1868"/>
      <c r="AM43" s="1868"/>
      <c r="AN43" s="1868"/>
      <c r="AO43" s="1868"/>
      <c r="AP43" s="1868"/>
      <c r="AQ43" s="1868"/>
      <c r="AR43" s="1868"/>
    </row>
    <row r="44" spans="1:44" ht="17.25" customHeight="1">
      <c r="A44" s="1746"/>
      <c r="B44" s="1868"/>
      <c r="C44" s="1748"/>
      <c r="D44" s="5220"/>
      <c r="E44" s="5221"/>
      <c r="F44" s="5199"/>
      <c r="G44" s="5212"/>
      <c r="H44" s="5234" t="s">
        <v>99</v>
      </c>
      <c r="I44" s="5234" t="s">
        <v>116</v>
      </c>
      <c r="J44" s="5237" t="s">
        <v>205</v>
      </c>
      <c r="K44" s="5240" t="s">
        <v>62</v>
      </c>
      <c r="L44" s="5162"/>
      <c r="M44" s="5162" t="s">
        <v>114</v>
      </c>
      <c r="N44" s="5235" t="str">
        <f>IF(Z44="","",INDEX(TERRITORY_MR_LIST,MATCH(Z44,TERRITORY_LIST_ID,0)))</f>
        <v>Территория 1</v>
      </c>
      <c r="O44" s="5240" t="s">
        <v>62</v>
      </c>
      <c r="P44" s="5162"/>
      <c r="Q44" s="5162" t="s">
        <v>114</v>
      </c>
      <c r="R44" s="5242" t="s">
        <v>160</v>
      </c>
      <c r="S44" s="5161" t="s">
        <v>62</v>
      </c>
      <c r="T44" s="1719"/>
      <c r="U44" s="1719" t="s">
        <v>114</v>
      </c>
      <c r="V44" s="1749" t="s">
        <v>161</v>
      </c>
      <c r="W44" s="1709"/>
      <c r="X44" s="1868"/>
      <c r="Y44" s="1185"/>
      <c r="Z44" s="1185" t="s">
        <v>93</v>
      </c>
      <c r="AA44" s="1185"/>
      <c r="AB44" s="1185"/>
      <c r="AC44" s="1869" t="s">
        <v>163</v>
      </c>
      <c r="AD44" s="1185" t="s">
        <v>206</v>
      </c>
      <c r="AE44" s="1185" t="s">
        <v>207</v>
      </c>
      <c r="AF44" s="1185" t="s">
        <v>208</v>
      </c>
      <c r="AG44" s="1185" t="s">
        <v>209</v>
      </c>
      <c r="AH44"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44"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4" s="1185" t="str">
        <f>IF($J$44=0,"",$J$44)</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AK44" s="1185" t="str">
        <f>IF($K$44="нет","без дифференциации",IF($N$44=0,"",$N$44))</f>
        <v>Территория 1</v>
      </c>
      <c r="AL44" s="1750" t="str">
        <f>IF($O$44="нет","без дифференциации",IF($R$44=0,"",$R$44))</f>
        <v xml:space="preserve">открытая система теплоснабжения г. Апатиты
</v>
      </c>
      <c r="AM44" s="1750" t="str">
        <f>IF($S$44="нет","без дифференциации",IF($V$44=0,"",$V$44))</f>
        <v>Апатитская ТЭЦ</v>
      </c>
      <c r="AN44" s="1185" t="str">
        <f>$I$44</f>
        <v>8</v>
      </c>
      <c r="AO44" s="1185" t="str">
        <f>$I$44&amp;"."&amp;$M$44</f>
        <v>8.1</v>
      </c>
      <c r="AP44" s="1185" t="str">
        <f>$I$44&amp;"."&amp;$M$44&amp;"."&amp;$Q$44</f>
        <v>8.1.1</v>
      </c>
      <c r="AQ44" s="1185" t="str">
        <f>$I$44&amp;"."&amp;$M$44&amp;"."&amp;$Q$44&amp;"."&amp;$U$44</f>
        <v>8.1.1.1</v>
      </c>
      <c r="AR44" s="1868"/>
    </row>
    <row r="45" spans="1:44" ht="17.25" customHeight="1">
      <c r="A45" s="1746"/>
      <c r="B45" s="1868"/>
      <c r="C45" s="1751"/>
      <c r="D45" s="5220"/>
      <c r="E45" s="5221"/>
      <c r="F45" s="5199"/>
      <c r="G45" s="5212"/>
      <c r="H45" s="5234"/>
      <c r="I45" s="5234"/>
      <c r="J45" s="5237"/>
      <c r="K45" s="5241"/>
      <c r="L45" s="5162"/>
      <c r="M45" s="5162"/>
      <c r="N45" s="5235"/>
      <c r="O45" s="5241"/>
      <c r="P45" s="5162"/>
      <c r="Q45" s="5162"/>
      <c r="R45" s="5242" t="s">
        <v>24</v>
      </c>
      <c r="S45" s="5161"/>
      <c r="T45" s="240"/>
      <c r="U45" s="241"/>
      <c r="V45" s="241" t="s">
        <v>168</v>
      </c>
      <c r="W45" s="242"/>
      <c r="X45" s="1868"/>
      <c r="Y45" s="1178"/>
      <c r="Z45" s="1178"/>
      <c r="AA45" s="1178"/>
      <c r="AB45" s="1178"/>
      <c r="AC45" s="1178"/>
      <c r="AD45" s="1178"/>
      <c r="AE45" s="1178"/>
      <c r="AF45" s="1178"/>
      <c r="AG45" s="1178"/>
      <c r="AH45" s="1178"/>
      <c r="AI45" s="1178"/>
      <c r="AJ45" s="1178"/>
      <c r="AK45" s="1178"/>
      <c r="AL45" s="1868"/>
      <c r="AM45" s="1868"/>
      <c r="AN45" s="1868"/>
      <c r="AO45" s="1868"/>
      <c r="AP45" s="1868"/>
      <c r="AQ45" s="1868"/>
      <c r="AR45" s="1868"/>
    </row>
    <row r="46" spans="1:44" ht="17.25" customHeight="1">
      <c r="A46" s="1746"/>
      <c r="B46" s="1868"/>
      <c r="C46" s="1751"/>
      <c r="D46" s="5220"/>
      <c r="E46" s="5221"/>
      <c r="F46" s="5199"/>
      <c r="G46" s="5212"/>
      <c r="H46" s="5195"/>
      <c r="I46" s="5195"/>
      <c r="J46" s="5238"/>
      <c r="K46" s="5241"/>
      <c r="L46" s="5195"/>
      <c r="M46" s="5195"/>
      <c r="N46" s="5236"/>
      <c r="O46" s="5166"/>
      <c r="P46" s="240"/>
      <c r="Q46" s="241"/>
      <c r="R46" s="241" t="s">
        <v>169</v>
      </c>
      <c r="S46" s="1752"/>
      <c r="T46" s="1752"/>
      <c r="U46" s="1752"/>
      <c r="V46" s="1752"/>
      <c r="W46" s="242"/>
      <c r="X46" s="1868"/>
      <c r="Y46" s="1178"/>
      <c r="Z46" s="1178"/>
      <c r="AA46" s="1178"/>
      <c r="AB46" s="1178"/>
      <c r="AC46" s="1178"/>
      <c r="AD46" s="1178"/>
      <c r="AE46" s="1178"/>
      <c r="AF46" s="1178"/>
      <c r="AG46" s="1178"/>
      <c r="AH46" s="1178"/>
      <c r="AI46" s="1178"/>
      <c r="AJ46" s="1178"/>
      <c r="AK46" s="1178"/>
      <c r="AL46" s="1868"/>
      <c r="AM46" s="1868"/>
      <c r="AN46" s="1868"/>
      <c r="AO46" s="1868"/>
      <c r="AP46" s="1868"/>
      <c r="AQ46" s="1868"/>
      <c r="AR46" s="1868"/>
    </row>
    <row r="47" spans="1:44" ht="17.25" customHeight="1">
      <c r="A47" s="1746"/>
      <c r="B47" s="1868"/>
      <c r="C47" s="1751"/>
      <c r="D47" s="5220"/>
      <c r="E47" s="5221"/>
      <c r="F47" s="5199"/>
      <c r="G47" s="5212"/>
      <c r="H47" s="5195"/>
      <c r="I47" s="5195"/>
      <c r="J47" s="5238"/>
      <c r="K47" s="5166"/>
      <c r="L47" s="240"/>
      <c r="M47" s="241"/>
      <c r="N47" s="241" t="s">
        <v>174</v>
      </c>
      <c r="O47" s="241"/>
      <c r="P47" s="241"/>
      <c r="Q47" s="241"/>
      <c r="R47" s="241"/>
      <c r="S47" s="1752"/>
      <c r="T47" s="1752"/>
      <c r="U47" s="1752"/>
      <c r="V47" s="1752"/>
      <c r="W47" s="242"/>
      <c r="X47" s="1868"/>
      <c r="Y47" s="1178"/>
      <c r="Z47" s="1178"/>
      <c r="AA47" s="1178"/>
      <c r="AB47" s="1178"/>
      <c r="AC47" s="1178"/>
      <c r="AD47" s="1178"/>
      <c r="AE47" s="1178"/>
      <c r="AF47" s="1178"/>
      <c r="AG47" s="1178"/>
      <c r="AH47" s="1178"/>
      <c r="AI47" s="1178"/>
      <c r="AJ47" s="1178"/>
      <c r="AK47" s="1178"/>
      <c r="AL47" s="1868"/>
      <c r="AM47" s="1868"/>
      <c r="AN47" s="1868"/>
      <c r="AO47" s="1868"/>
      <c r="AP47" s="1868"/>
      <c r="AQ47" s="1868"/>
      <c r="AR47" s="1868"/>
    </row>
    <row r="48" spans="1:44" ht="17.25" customHeight="1">
      <c r="A48" s="1746"/>
      <c r="B48" s="1868"/>
      <c r="C48" s="1748"/>
      <c r="D48" s="5220"/>
      <c r="E48" s="5221"/>
      <c r="F48" s="5199"/>
      <c r="G48" s="5212"/>
      <c r="H48" s="5234" t="s">
        <v>99</v>
      </c>
      <c r="I48" s="5234" t="s">
        <v>152</v>
      </c>
      <c r="J48" s="5237" t="s">
        <v>210</v>
      </c>
      <c r="K48" s="5240" t="s">
        <v>62</v>
      </c>
      <c r="L48" s="5162"/>
      <c r="M48" s="5162" t="s">
        <v>114</v>
      </c>
      <c r="N48" s="5235" t="str">
        <f>IF(Z48="","",INDEX(TERRITORY_MR_LIST,MATCH(Z48,TERRITORY_LIST_ID,0)))</f>
        <v>Территория 2</v>
      </c>
      <c r="O48" s="5240" t="s">
        <v>62</v>
      </c>
      <c r="P48" s="5162"/>
      <c r="Q48" s="5162" t="s">
        <v>114</v>
      </c>
      <c r="R48" s="5242" t="s">
        <v>170</v>
      </c>
      <c r="S48" s="5161" t="s">
        <v>62</v>
      </c>
      <c r="T48" s="1719"/>
      <c r="U48" s="1719" t="s">
        <v>114</v>
      </c>
      <c r="V48" s="1749" t="s">
        <v>161</v>
      </c>
      <c r="W48" s="1709"/>
      <c r="X48" s="1868"/>
      <c r="Y48" s="1185"/>
      <c r="Z48" s="1185" t="s">
        <v>100</v>
      </c>
      <c r="AA48" s="1185"/>
      <c r="AB48" s="1185"/>
      <c r="AC48" s="1869" t="s">
        <v>163</v>
      </c>
      <c r="AD48" s="1185" t="s">
        <v>211</v>
      </c>
      <c r="AE48" s="1185" t="s">
        <v>212</v>
      </c>
      <c r="AF48" s="1185" t="s">
        <v>213</v>
      </c>
      <c r="AG48" s="1185" t="s">
        <v>214</v>
      </c>
      <c r="AH48"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48" s="1185" t="str">
        <f>IF($G$13=0,"",$G$13)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8" s="1185" t="str">
        <f>IF($J$48=0,"",$J$48)</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K48" s="1185" t="str">
        <f>IF($K$48="нет","без дифференциации",IF($N$48=0,"",$N$48))</f>
        <v>Территория 2</v>
      </c>
      <c r="AL48" s="1750" t="str">
        <f>IF($O$48="нет","без дифференциации",IF($R$48=0,"",$R$48))</f>
        <v>открытая система теплоснабжения г. Кировск</v>
      </c>
      <c r="AM48" s="1750" t="str">
        <f>IF($S$48="нет","без дифференциации",IF($V$48=0,"",$V$48))</f>
        <v>Апатитская ТЭЦ</v>
      </c>
      <c r="AN48" s="1185" t="str">
        <f>$I$48</f>
        <v>9</v>
      </c>
      <c r="AO48" s="1185" t="str">
        <f>$I$48&amp;"."&amp;$M$48</f>
        <v>9.1</v>
      </c>
      <c r="AP48" s="1185" t="str">
        <f>$I$48&amp;"."&amp;$M$48&amp;"."&amp;$Q$48</f>
        <v>9.1.1</v>
      </c>
      <c r="AQ48" s="1185" t="str">
        <f>$I$48&amp;"."&amp;$M$48&amp;"."&amp;$Q$48&amp;"."&amp;$U$48</f>
        <v>9.1.1.1</v>
      </c>
      <c r="AR48" s="1868"/>
    </row>
    <row r="49" spans="1:44" ht="17.25" customHeight="1">
      <c r="A49" s="1746"/>
      <c r="B49" s="1868"/>
      <c r="C49" s="1751"/>
      <c r="D49" s="5220"/>
      <c r="E49" s="5221"/>
      <c r="F49" s="5199"/>
      <c r="G49" s="5212"/>
      <c r="H49" s="5234"/>
      <c r="I49" s="5234"/>
      <c r="J49" s="5237"/>
      <c r="K49" s="5241"/>
      <c r="L49" s="5162"/>
      <c r="M49" s="5162"/>
      <c r="N49" s="5235"/>
      <c r="O49" s="5241"/>
      <c r="P49" s="5162"/>
      <c r="Q49" s="5162"/>
      <c r="R49" s="5242" t="s">
        <v>24</v>
      </c>
      <c r="S49" s="5161"/>
      <c r="T49" s="240"/>
      <c r="U49" s="241"/>
      <c r="V49" s="241" t="s">
        <v>168</v>
      </c>
      <c r="W49" s="242"/>
      <c r="X49" s="1868"/>
      <c r="Y49" s="1178"/>
      <c r="Z49" s="1178"/>
      <c r="AA49" s="1178"/>
      <c r="AB49" s="1178"/>
      <c r="AC49" s="1178"/>
      <c r="AD49" s="1178"/>
      <c r="AE49" s="1178"/>
      <c r="AF49" s="1178"/>
      <c r="AG49" s="1178"/>
      <c r="AH49" s="1178"/>
      <c r="AI49" s="1178"/>
      <c r="AJ49" s="1178"/>
      <c r="AK49" s="1178"/>
      <c r="AL49" s="1868"/>
      <c r="AM49" s="1868"/>
      <c r="AN49" s="1868"/>
      <c r="AO49" s="1868"/>
      <c r="AP49" s="1868"/>
      <c r="AQ49" s="1868"/>
      <c r="AR49" s="1868"/>
    </row>
    <row r="50" spans="1:44" ht="17.25" customHeight="1">
      <c r="A50" s="1746"/>
      <c r="B50" s="1868"/>
      <c r="C50" s="1751"/>
      <c r="D50" s="5220"/>
      <c r="E50" s="5221"/>
      <c r="F50" s="5199"/>
      <c r="G50" s="5212"/>
      <c r="H50" s="5195"/>
      <c r="I50" s="5195"/>
      <c r="J50" s="5238"/>
      <c r="K50" s="5241"/>
      <c r="L50" s="5195"/>
      <c r="M50" s="5195"/>
      <c r="N50" s="5236"/>
      <c r="O50" s="5166"/>
      <c r="P50" s="240"/>
      <c r="Q50" s="241"/>
      <c r="R50" s="241" t="s">
        <v>169</v>
      </c>
      <c r="S50" s="1752"/>
      <c r="T50" s="1752"/>
      <c r="U50" s="1752"/>
      <c r="V50" s="1752"/>
      <c r="W50" s="242"/>
      <c r="X50" s="1868"/>
      <c r="Y50" s="1178"/>
      <c r="Z50" s="1178"/>
      <c r="AA50" s="1178"/>
      <c r="AB50" s="1178"/>
      <c r="AC50" s="1178"/>
      <c r="AD50" s="1178"/>
      <c r="AE50" s="1178"/>
      <c r="AF50" s="1178"/>
      <c r="AG50" s="1178"/>
      <c r="AH50" s="1178"/>
      <c r="AI50" s="1178"/>
      <c r="AJ50" s="1178"/>
      <c r="AK50" s="1178"/>
      <c r="AL50" s="1868"/>
      <c r="AM50" s="1868"/>
      <c r="AN50" s="1868"/>
      <c r="AO50" s="1868"/>
      <c r="AP50" s="1868"/>
      <c r="AQ50" s="1868"/>
      <c r="AR50" s="1868"/>
    </row>
    <row r="51" spans="1:44" ht="17.25" customHeight="1">
      <c r="A51" s="1746"/>
      <c r="B51" s="1868"/>
      <c r="C51" s="1751"/>
      <c r="D51" s="5220"/>
      <c r="E51" s="5221"/>
      <c r="F51" s="5199"/>
      <c r="G51" s="5212"/>
      <c r="H51" s="5195"/>
      <c r="I51" s="5195"/>
      <c r="J51" s="5238"/>
      <c r="K51" s="5166"/>
      <c r="L51" s="240"/>
      <c r="M51" s="241"/>
      <c r="N51" s="241" t="s">
        <v>174</v>
      </c>
      <c r="O51" s="241"/>
      <c r="P51" s="241"/>
      <c r="Q51" s="241"/>
      <c r="R51" s="241"/>
      <c r="S51" s="1752"/>
      <c r="T51" s="1752"/>
      <c r="U51" s="1752"/>
      <c r="V51" s="1752"/>
      <c r="W51" s="242"/>
      <c r="X51" s="1868"/>
      <c r="Y51" s="1178"/>
      <c r="Z51" s="1178"/>
      <c r="AA51" s="1178"/>
      <c r="AB51" s="1178"/>
      <c r="AC51" s="1178"/>
      <c r="AD51" s="1178"/>
      <c r="AE51" s="1178"/>
      <c r="AF51" s="1178"/>
      <c r="AG51" s="1178"/>
      <c r="AH51" s="1178"/>
      <c r="AI51" s="1178"/>
      <c r="AJ51" s="1178"/>
      <c r="AK51" s="1178"/>
      <c r="AL51" s="1868"/>
      <c r="AM51" s="1868"/>
      <c r="AN51" s="1868"/>
      <c r="AO51" s="1868"/>
      <c r="AP51" s="1868"/>
      <c r="AQ51" s="1868"/>
      <c r="AR51" s="1868"/>
    </row>
    <row r="52" spans="1:44" s="1851" customFormat="1" ht="17.25" customHeight="1">
      <c r="A52" s="244"/>
      <c r="C52" s="243"/>
      <c r="D52" s="5195"/>
      <c r="E52" s="5197"/>
      <c r="F52" s="5200"/>
      <c r="G52" s="5211"/>
      <c r="H52" s="1882"/>
      <c r="I52" s="1883"/>
      <c r="J52" s="1884" t="s">
        <v>215</v>
      </c>
      <c r="K52" s="1885"/>
      <c r="L52" s="1886"/>
      <c r="M52" s="1887"/>
      <c r="N52" s="1888"/>
      <c r="O52" s="1889"/>
      <c r="P52" s="1890"/>
      <c r="Q52" s="1891"/>
      <c r="R52" s="1892"/>
      <c r="S52" s="1893"/>
      <c r="T52" s="1894"/>
      <c r="U52" s="1895"/>
      <c r="V52" s="1896"/>
      <c r="W52" s="1897"/>
      <c r="Y52" s="1178"/>
      <c r="Z52" s="1178"/>
      <c r="AA52" s="1178"/>
      <c r="AB52" s="1178"/>
      <c r="AC52" s="1178"/>
      <c r="AD52" s="1178"/>
      <c r="AE52" s="1178"/>
      <c r="AF52" s="1178"/>
      <c r="AG52" s="1178"/>
      <c r="AH52" s="1178"/>
      <c r="AI52" s="1178"/>
      <c r="AJ52" s="1178"/>
      <c r="AK52" s="1178"/>
      <c r="AL52" s="1178"/>
      <c r="AM52" s="1178"/>
      <c r="AN52" s="1178"/>
      <c r="AO52" s="1178"/>
      <c r="AP52" s="1178"/>
      <c r="AQ52" s="1178"/>
    </row>
    <row r="53" spans="1:44" s="1898" customFormat="1" ht="17.25" customHeight="1">
      <c r="A53" s="244"/>
      <c r="C53" s="130"/>
      <c r="D53" s="5194">
        <v>2</v>
      </c>
      <c r="E53" s="5196" t="s">
        <v>216</v>
      </c>
      <c r="F53" s="5198" t="s">
        <v>62</v>
      </c>
      <c r="G53" s="5210" t="str">
        <f>"Производство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H53" s="5234"/>
      <c r="I53" s="5234">
        <v>1</v>
      </c>
      <c r="J53" s="5237" t="s">
        <v>217</v>
      </c>
      <c r="K53" s="5240" t="s">
        <v>62</v>
      </c>
      <c r="L53" s="5162"/>
      <c r="M53" s="5162" t="s">
        <v>114</v>
      </c>
      <c r="N53" s="5235" t="str">
        <f>IF(Z53="","",INDEX(TERRITORY_MR_LIST,MATCH(Z53,TERRITORY_LIST_ID,0)))</f>
        <v>Территория 2</v>
      </c>
      <c r="O53" s="5240" t="s">
        <v>62</v>
      </c>
      <c r="P53" s="5162"/>
      <c r="Q53" s="5162" t="s">
        <v>114</v>
      </c>
      <c r="R53" s="5242" t="s">
        <v>170</v>
      </c>
      <c r="S53" s="5161" t="s">
        <v>62</v>
      </c>
      <c r="T53" s="1853"/>
      <c r="U53" s="1853" t="s">
        <v>114</v>
      </c>
      <c r="V53" s="1854" t="s">
        <v>161</v>
      </c>
      <c r="W53" s="1852"/>
      <c r="X53" s="1185"/>
      <c r="Y53" s="1185"/>
      <c r="Z53" s="1185" t="s">
        <v>100</v>
      </c>
      <c r="AA53" s="1185"/>
      <c r="AB53" s="1185" t="s">
        <v>218</v>
      </c>
      <c r="AC53" s="1185" t="s">
        <v>219</v>
      </c>
      <c r="AD53" s="1185" t="s">
        <v>220</v>
      </c>
      <c r="AE53" s="1185" t="s">
        <v>221</v>
      </c>
      <c r="AF53" s="1185" t="s">
        <v>222</v>
      </c>
      <c r="AG53" s="1185" t="s">
        <v>223</v>
      </c>
      <c r="AH53" s="1185" t="str">
        <f>IF($E$53=0,"",$E$53)</f>
        <v>Тарифы на тепловую энергию (мощность), поставляемую теплоснабжающими организациями потребителям, другим теплоснабжающим организациям</v>
      </c>
      <c r="AI53" s="1185" t="str">
        <f>IF($G$53=0,"",$G$53)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AJ53" s="1185" t="str">
        <f>IF($J$53=0,"",$J$53)</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AK53" s="1185" t="str">
        <f>IF($K$53="нет","без дифференциации",IF($N$53=0,"",$N$53))</f>
        <v>Территория 2</v>
      </c>
      <c r="AL53" s="1185" t="str">
        <f>IF($O$53="нет","без дифференциации",IF($R$53=0,"",$R$53))</f>
        <v>открытая система теплоснабжения г. Кировск</v>
      </c>
      <c r="AM53" s="1185" t="str">
        <f>IF($S$53="нет","без дифференциации",IF($V$53=0,"",$V$53))</f>
        <v>Апатитская ТЭЦ</v>
      </c>
      <c r="AN53" s="1680">
        <f>$I$53</f>
        <v>1</v>
      </c>
      <c r="AO53" s="1185" t="str">
        <f>$I$53&amp;"."&amp;$M$53</f>
        <v>1.1</v>
      </c>
      <c r="AP53" s="1178" t="str">
        <f>$I$53&amp;"."&amp;$M$53&amp;"."&amp;$Q$53</f>
        <v>1.1.1</v>
      </c>
      <c r="AQ53" s="1178" t="str">
        <f>$I$53&amp;"."&amp;$M$53&amp;"."&amp;$Q$53&amp;"."&amp;$U$53</f>
        <v>1.1.1.1</v>
      </c>
    </row>
    <row r="54" spans="1:44" s="1898" customFormat="1" ht="17.25" customHeight="1">
      <c r="A54" s="244"/>
      <c r="C54" s="243"/>
      <c r="D54" s="5194"/>
      <c r="E54" s="5196"/>
      <c r="F54" s="5199"/>
      <c r="G54" s="5210"/>
      <c r="H54" s="5234"/>
      <c r="I54" s="5234"/>
      <c r="J54" s="5237"/>
      <c r="K54" s="5241"/>
      <c r="L54" s="5162"/>
      <c r="M54" s="5162"/>
      <c r="N54" s="5235"/>
      <c r="O54" s="5241"/>
      <c r="P54" s="5162"/>
      <c r="Q54" s="5162"/>
      <c r="R54" s="5242" t="s">
        <v>24</v>
      </c>
      <c r="S54" s="5161"/>
      <c r="T54" s="1899"/>
      <c r="U54" s="1900"/>
      <c r="V54" s="1901" t="s">
        <v>168</v>
      </c>
      <c r="W54" s="1902"/>
      <c r="X54" s="1178"/>
      <c r="Y54" s="1178"/>
      <c r="Z54" s="1178"/>
      <c r="AA54" s="1178"/>
      <c r="AB54" s="1178"/>
      <c r="AC54" s="1178"/>
      <c r="AD54" s="1178"/>
      <c r="AE54" s="1178"/>
      <c r="AF54" s="1178"/>
      <c r="AG54" s="1178"/>
      <c r="AH54" s="1178"/>
      <c r="AI54" s="1178"/>
      <c r="AJ54" s="1178"/>
      <c r="AK54" s="1178"/>
      <c r="AL54" s="1178"/>
      <c r="AM54" s="1178"/>
      <c r="AN54" s="1178"/>
      <c r="AO54" s="1178"/>
      <c r="AP54" s="1178"/>
      <c r="AQ54" s="1178"/>
    </row>
    <row r="55" spans="1:44" s="1898" customFormat="1" ht="17.25" customHeight="1">
      <c r="A55" s="244"/>
      <c r="C55" s="243"/>
      <c r="D55" s="5195"/>
      <c r="E55" s="5197"/>
      <c r="F55" s="5199"/>
      <c r="G55" s="5211"/>
      <c r="H55" s="5195"/>
      <c r="I55" s="5195"/>
      <c r="J55" s="5238"/>
      <c r="K55" s="5241"/>
      <c r="L55" s="5195"/>
      <c r="M55" s="5195"/>
      <c r="N55" s="5236"/>
      <c r="O55" s="5166"/>
      <c r="P55" s="1903"/>
      <c r="Q55" s="1904"/>
      <c r="R55" s="1905" t="s">
        <v>169</v>
      </c>
      <c r="S55" s="1906"/>
      <c r="T55" s="1907"/>
      <c r="U55" s="1908"/>
      <c r="V55" s="1909"/>
      <c r="W55" s="1910"/>
      <c r="X55" s="1178"/>
      <c r="Y55" s="1178"/>
      <c r="Z55" s="1178"/>
      <c r="AA55" s="1178"/>
      <c r="AB55" s="1178"/>
      <c r="AC55" s="1178"/>
      <c r="AD55" s="1178"/>
      <c r="AE55" s="1178"/>
      <c r="AF55" s="1178"/>
      <c r="AG55" s="1178"/>
      <c r="AH55" s="1178"/>
      <c r="AI55" s="1178"/>
      <c r="AJ55" s="1178"/>
      <c r="AK55" s="1178"/>
      <c r="AL55" s="1178"/>
      <c r="AM55" s="1178"/>
      <c r="AN55" s="1178"/>
      <c r="AO55" s="1178"/>
      <c r="AP55" s="1178"/>
      <c r="AQ55" s="1178"/>
    </row>
    <row r="56" spans="1:44" s="1898" customFormat="1" ht="17.25" customHeight="1">
      <c r="A56" s="244"/>
      <c r="C56" s="243"/>
      <c r="D56" s="5195"/>
      <c r="E56" s="5197"/>
      <c r="F56" s="5199"/>
      <c r="G56" s="5211"/>
      <c r="H56" s="5195"/>
      <c r="I56" s="5195"/>
      <c r="J56" s="5238"/>
      <c r="K56" s="5166"/>
      <c r="L56" s="1911"/>
      <c r="M56" s="1912"/>
      <c r="N56" s="1913" t="s">
        <v>174</v>
      </c>
      <c r="O56" s="1914"/>
      <c r="P56" s="1915"/>
      <c r="Q56" s="1916"/>
      <c r="R56" s="1917"/>
      <c r="S56" s="1918"/>
      <c r="T56" s="1919"/>
      <c r="U56" s="1920"/>
      <c r="V56" s="1921"/>
      <c r="W56" s="1922"/>
      <c r="X56" s="1178"/>
      <c r="Y56" s="1178"/>
      <c r="Z56" s="1178"/>
      <c r="AA56" s="1178"/>
      <c r="AB56" s="1178"/>
      <c r="AC56" s="1178"/>
      <c r="AD56" s="1178"/>
      <c r="AE56" s="1178"/>
      <c r="AF56" s="1178"/>
      <c r="AG56" s="1178"/>
      <c r="AH56" s="1178"/>
      <c r="AI56" s="1178"/>
      <c r="AJ56" s="1178"/>
      <c r="AK56" s="1178"/>
      <c r="AL56" s="1178"/>
      <c r="AM56" s="1178"/>
      <c r="AN56" s="1178"/>
      <c r="AO56" s="1178"/>
      <c r="AP56" s="1178"/>
      <c r="AQ56" s="1178"/>
    </row>
    <row r="57" spans="1:44" ht="17.25" customHeight="1">
      <c r="A57" s="1746"/>
      <c r="B57" s="1868"/>
      <c r="C57" s="1748"/>
      <c r="D57" s="5220"/>
      <c r="E57" s="5221"/>
      <c r="F57" s="5199"/>
      <c r="G57" s="5212"/>
      <c r="H57" s="5234" t="s">
        <v>99</v>
      </c>
      <c r="I57" s="5234" t="s">
        <v>98</v>
      </c>
      <c r="J57" s="5237" t="s">
        <v>224</v>
      </c>
      <c r="K57" s="5240" t="s">
        <v>62</v>
      </c>
      <c r="L57" s="5162"/>
      <c r="M57" s="5162" t="s">
        <v>114</v>
      </c>
      <c r="N57" s="5235" t="str">
        <f>IF(Z57="","",INDEX(TERRITORY_MR_LIST,MATCH(Z57,TERRITORY_LIST_ID,0)))</f>
        <v>Территория 1</v>
      </c>
      <c r="O57" s="5240" t="s">
        <v>62</v>
      </c>
      <c r="P57" s="5162"/>
      <c r="Q57" s="5162" t="s">
        <v>114</v>
      </c>
      <c r="R57" s="5242" t="s">
        <v>160</v>
      </c>
      <c r="S57" s="5161" t="s">
        <v>62</v>
      </c>
      <c r="T57" s="1719"/>
      <c r="U57" s="1719" t="s">
        <v>114</v>
      </c>
      <c r="V57" s="1749" t="s">
        <v>161</v>
      </c>
      <c r="W57" s="1709"/>
      <c r="X57" s="1868"/>
      <c r="Y57" s="1185"/>
      <c r="Z57" s="1185" t="s">
        <v>93</v>
      </c>
      <c r="AA57" s="1185"/>
      <c r="AB57" s="1185"/>
      <c r="AC57" s="1869" t="s">
        <v>219</v>
      </c>
      <c r="AD57" s="1185" t="s">
        <v>225</v>
      </c>
      <c r="AE57" s="1185" t="s">
        <v>226</v>
      </c>
      <c r="AF57" s="1185" t="s">
        <v>227</v>
      </c>
      <c r="AG57" s="1185" t="s">
        <v>228</v>
      </c>
      <c r="AH57" s="1185" t="str">
        <f>IF($E$53=0,"",$E$53)</f>
        <v>Тарифы на тепловую энергию (мощность), поставляемую теплоснабжающими организациями потребителям, другим теплоснабжающим организациям</v>
      </c>
      <c r="AI57" s="1185" t="str">
        <f>IF($G$53=0,"",$G$53)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AJ57" s="1185" t="str">
        <f>IF($J$57=0,"",$J$57)</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AK57" s="1185" t="str">
        <f>IF($K$57="нет","без дифференциации",IF($N$57=0,"",$N$57))</f>
        <v>Территория 1</v>
      </c>
      <c r="AL57" s="1750" t="str">
        <f>IF($O$57="нет","без дифференциации",IF($R$57=0,"",$R$57))</f>
        <v xml:space="preserve">открытая система теплоснабжения г. Апатиты
</v>
      </c>
      <c r="AM57" s="1750" t="str">
        <f>IF($S$57="нет","без дифференциации",IF($V$57=0,"",$V$57))</f>
        <v>Апатитская ТЭЦ</v>
      </c>
      <c r="AN57" s="1185" t="str">
        <f>$I$57</f>
        <v>2</v>
      </c>
      <c r="AO57" s="1185" t="str">
        <f>$I$57&amp;"."&amp;$M$57</f>
        <v>2.1</v>
      </c>
      <c r="AP57" s="1185" t="str">
        <f>$I$57&amp;"."&amp;$M$57&amp;"."&amp;$Q$57</f>
        <v>2.1.1</v>
      </c>
      <c r="AQ57" s="1185" t="str">
        <f>$I$57&amp;"."&amp;$M$57&amp;"."&amp;$Q$57&amp;"."&amp;$U$57</f>
        <v>2.1.1.1</v>
      </c>
      <c r="AR57" s="1868"/>
    </row>
    <row r="58" spans="1:44" ht="17.25" customHeight="1">
      <c r="A58" s="1746"/>
      <c r="B58" s="1868"/>
      <c r="C58" s="1751"/>
      <c r="D58" s="5220"/>
      <c r="E58" s="5221"/>
      <c r="F58" s="5199"/>
      <c r="G58" s="5212"/>
      <c r="H58" s="5234"/>
      <c r="I58" s="5234"/>
      <c r="J58" s="5237"/>
      <c r="K58" s="5241"/>
      <c r="L58" s="5162"/>
      <c r="M58" s="5162"/>
      <c r="N58" s="5235"/>
      <c r="O58" s="5241"/>
      <c r="P58" s="5162"/>
      <c r="Q58" s="5162"/>
      <c r="R58" s="5242" t="s">
        <v>24</v>
      </c>
      <c r="S58" s="5161"/>
      <c r="T58" s="240"/>
      <c r="U58" s="241"/>
      <c r="V58" s="241" t="s">
        <v>168</v>
      </c>
      <c r="W58" s="242"/>
      <c r="X58" s="1868"/>
      <c r="Y58" s="1178"/>
      <c r="Z58" s="1178"/>
      <c r="AA58" s="1178"/>
      <c r="AB58" s="1178"/>
      <c r="AC58" s="1178"/>
      <c r="AD58" s="1178"/>
      <c r="AE58" s="1178"/>
      <c r="AF58" s="1178"/>
      <c r="AG58" s="1178"/>
      <c r="AH58" s="1178"/>
      <c r="AI58" s="1178"/>
      <c r="AJ58" s="1178"/>
      <c r="AK58" s="1178"/>
      <c r="AL58" s="1868"/>
      <c r="AM58" s="1868"/>
      <c r="AN58" s="1868"/>
      <c r="AO58" s="1868"/>
      <c r="AP58" s="1868"/>
      <c r="AQ58" s="1868"/>
      <c r="AR58" s="1868"/>
    </row>
    <row r="59" spans="1:44" ht="17.25" customHeight="1">
      <c r="A59" s="1746"/>
      <c r="B59" s="1868"/>
      <c r="C59" s="1751"/>
      <c r="D59" s="5220"/>
      <c r="E59" s="5221"/>
      <c r="F59" s="5199"/>
      <c r="G59" s="5212"/>
      <c r="H59" s="5195"/>
      <c r="I59" s="5195"/>
      <c r="J59" s="5238"/>
      <c r="K59" s="5241"/>
      <c r="L59" s="5195"/>
      <c r="M59" s="5195"/>
      <c r="N59" s="5236"/>
      <c r="O59" s="5166"/>
      <c r="P59" s="240"/>
      <c r="Q59" s="241"/>
      <c r="R59" s="241" t="s">
        <v>169</v>
      </c>
      <c r="S59" s="1752"/>
      <c r="T59" s="1752"/>
      <c r="U59" s="1752"/>
      <c r="V59" s="1752"/>
      <c r="W59" s="242"/>
      <c r="X59" s="1868"/>
      <c r="Y59" s="1178"/>
      <c r="Z59" s="1178"/>
      <c r="AA59" s="1178"/>
      <c r="AB59" s="1178"/>
      <c r="AC59" s="1178"/>
      <c r="AD59" s="1178"/>
      <c r="AE59" s="1178"/>
      <c r="AF59" s="1178"/>
      <c r="AG59" s="1178"/>
      <c r="AH59" s="1178"/>
      <c r="AI59" s="1178"/>
      <c r="AJ59" s="1178"/>
      <c r="AK59" s="1178"/>
      <c r="AL59" s="1868"/>
      <c r="AM59" s="1868"/>
      <c r="AN59" s="1868"/>
      <c r="AO59" s="1868"/>
      <c r="AP59" s="1868"/>
      <c r="AQ59" s="1868"/>
      <c r="AR59" s="1868"/>
    </row>
    <row r="60" spans="1:44" ht="17.25" customHeight="1">
      <c r="A60" s="1746"/>
      <c r="B60" s="1868"/>
      <c r="C60" s="1751"/>
      <c r="D60" s="5220"/>
      <c r="E60" s="5221"/>
      <c r="F60" s="5199"/>
      <c r="G60" s="5212"/>
      <c r="H60" s="5195"/>
      <c r="I60" s="5195"/>
      <c r="J60" s="5238"/>
      <c r="K60" s="5166"/>
      <c r="L60" s="240"/>
      <c r="M60" s="241"/>
      <c r="N60" s="241" t="s">
        <v>174</v>
      </c>
      <c r="O60" s="241"/>
      <c r="P60" s="241"/>
      <c r="Q60" s="241"/>
      <c r="R60" s="241"/>
      <c r="S60" s="1752"/>
      <c r="T60" s="1752"/>
      <c r="U60" s="1752"/>
      <c r="V60" s="1752"/>
      <c r="W60" s="242"/>
      <c r="X60" s="1868"/>
      <c r="Y60" s="1178"/>
      <c r="Z60" s="1178"/>
      <c r="AA60" s="1178"/>
      <c r="AB60" s="1178"/>
      <c r="AC60" s="1178"/>
      <c r="AD60" s="1178"/>
      <c r="AE60" s="1178"/>
      <c r="AF60" s="1178"/>
      <c r="AG60" s="1178"/>
      <c r="AH60" s="1178"/>
      <c r="AI60" s="1178"/>
      <c r="AJ60" s="1178"/>
      <c r="AK60" s="1178"/>
      <c r="AL60" s="1868"/>
      <c r="AM60" s="1868"/>
      <c r="AN60" s="1868"/>
      <c r="AO60" s="1868"/>
      <c r="AP60" s="1868"/>
      <c r="AQ60" s="1868"/>
      <c r="AR60" s="1868"/>
    </row>
    <row r="61" spans="1:44" ht="17.25" customHeight="1">
      <c r="A61" s="1746"/>
      <c r="B61" s="1868"/>
      <c r="C61" s="1748"/>
      <c r="D61" s="5220"/>
      <c r="E61" s="5221"/>
      <c r="F61" s="5199"/>
      <c r="G61" s="5212"/>
      <c r="H61" s="5234" t="s">
        <v>99</v>
      </c>
      <c r="I61" s="5234" t="s">
        <v>85</v>
      </c>
      <c r="J61" s="5237" t="s">
        <v>229</v>
      </c>
      <c r="K61" s="5240" t="s">
        <v>62</v>
      </c>
      <c r="L61" s="5162"/>
      <c r="M61" s="5162" t="s">
        <v>114</v>
      </c>
      <c r="N61" s="5235" t="str">
        <f>IF(Z61="","",INDEX(TERRITORY_MR_LIST,MATCH(Z61,TERRITORY_LIST_ID,0)))</f>
        <v>Территория 3</v>
      </c>
      <c r="O61" s="5240" t="s">
        <v>62</v>
      </c>
      <c r="P61" s="5162"/>
      <c r="Q61" s="5162" t="s">
        <v>114</v>
      </c>
      <c r="R61" s="5242" t="s">
        <v>230</v>
      </c>
      <c r="S61" s="5161" t="s">
        <v>62</v>
      </c>
      <c r="T61" s="1719"/>
      <c r="U61" s="1719" t="s">
        <v>114</v>
      </c>
      <c r="V61" s="1749" t="s">
        <v>231</v>
      </c>
      <c r="W61" s="1709"/>
      <c r="X61" s="1868"/>
      <c r="Y61" s="1185"/>
      <c r="Z61" s="1185" t="s">
        <v>104</v>
      </c>
      <c r="AA61" s="1185"/>
      <c r="AB61" s="1185"/>
      <c r="AC61" s="1869" t="s">
        <v>219</v>
      </c>
      <c r="AD61" s="1185" t="s">
        <v>232</v>
      </c>
      <c r="AE61" s="1185" t="s">
        <v>233</v>
      </c>
      <c r="AF61" s="1185" t="s">
        <v>234</v>
      </c>
      <c r="AG61" s="1185" t="s">
        <v>235</v>
      </c>
      <c r="AH61" s="1185" t="str">
        <f>IF($E$53=0,"",$E$53)</f>
        <v>Тарифы на тепловую энергию (мощность), поставляемую теплоснабжающими организациями потребителям, другим теплоснабжающим организациям</v>
      </c>
      <c r="AI61" s="1185" t="str">
        <f>IF($G$53=0,"",$G$53)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AJ61" s="1185" t="str">
        <f>IF($J$61=0,"",$J$61)</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K61" s="1185" t="str">
        <f>IF($K$61="нет","без дифференциации",IF($N$61=0,"",$N$61))</f>
        <v>Территория 3</v>
      </c>
      <c r="AL61" s="1750" t="str">
        <f>IF($O$61="нет","без дифференциации",IF($R$61=0,"",$R$61))</f>
        <v>закрытая система теплоснабжения нп Раякоски</v>
      </c>
      <c r="AM61" s="1750" t="str">
        <f>IF($S$61="нет","без дифференциации",IF($V$61=0,"",$V$61))</f>
        <v>Электрокотельные нп Раякоски</v>
      </c>
      <c r="AN61" s="1185" t="str">
        <f>$I$61</f>
        <v>3</v>
      </c>
      <c r="AO61" s="1185" t="str">
        <f>$I$61&amp;"."&amp;$M$61</f>
        <v>3.1</v>
      </c>
      <c r="AP61" s="1185" t="str">
        <f>$I$61&amp;"."&amp;$M$61&amp;"."&amp;$Q$61</f>
        <v>3.1.1</v>
      </c>
      <c r="AQ61" s="1185" t="str">
        <f>$I$61&amp;"."&amp;$M$61&amp;"."&amp;$Q$61&amp;"."&amp;$U$61</f>
        <v>3.1.1.1</v>
      </c>
      <c r="AR61" s="1868"/>
    </row>
    <row r="62" spans="1:44" ht="17.25" customHeight="1">
      <c r="A62" s="1746"/>
      <c r="B62" s="1868"/>
      <c r="C62" s="1751"/>
      <c r="D62" s="5220"/>
      <c r="E62" s="5221"/>
      <c r="F62" s="5199"/>
      <c r="G62" s="5212"/>
      <c r="H62" s="5234"/>
      <c r="I62" s="5234"/>
      <c r="J62" s="5237"/>
      <c r="K62" s="5241"/>
      <c r="L62" s="5162"/>
      <c r="M62" s="5162"/>
      <c r="N62" s="5235"/>
      <c r="O62" s="5241"/>
      <c r="P62" s="5162"/>
      <c r="Q62" s="5162"/>
      <c r="R62" s="5242" t="s">
        <v>24</v>
      </c>
      <c r="S62" s="5161"/>
      <c r="T62" s="240"/>
      <c r="U62" s="241"/>
      <c r="V62" s="241" t="s">
        <v>168</v>
      </c>
      <c r="W62" s="242"/>
      <c r="X62" s="1868"/>
      <c r="Y62" s="1178"/>
      <c r="Z62" s="1178"/>
      <c r="AA62" s="1178"/>
      <c r="AB62" s="1178"/>
      <c r="AC62" s="1178"/>
      <c r="AD62" s="1178"/>
      <c r="AE62" s="1178"/>
      <c r="AF62" s="1178"/>
      <c r="AG62" s="1178"/>
      <c r="AH62" s="1178"/>
      <c r="AI62" s="1178"/>
      <c r="AJ62" s="1178"/>
      <c r="AK62" s="1178"/>
      <c r="AL62" s="1868"/>
      <c r="AM62" s="1868"/>
      <c r="AN62" s="1868"/>
      <c r="AO62" s="1868"/>
      <c r="AP62" s="1868"/>
      <c r="AQ62" s="1868"/>
      <c r="AR62" s="1868"/>
    </row>
    <row r="63" spans="1:44" ht="17.25" customHeight="1">
      <c r="A63" s="1746"/>
      <c r="B63" s="1868"/>
      <c r="C63" s="1751"/>
      <c r="D63" s="5220"/>
      <c r="E63" s="5221"/>
      <c r="F63" s="5199"/>
      <c r="G63" s="5212"/>
      <c r="H63" s="5195"/>
      <c r="I63" s="5195"/>
      <c r="J63" s="5238"/>
      <c r="K63" s="5241"/>
      <c r="L63" s="5195"/>
      <c r="M63" s="5195"/>
      <c r="N63" s="5236"/>
      <c r="O63" s="5166"/>
      <c r="P63" s="240"/>
      <c r="Q63" s="241"/>
      <c r="R63" s="241" t="s">
        <v>169</v>
      </c>
      <c r="S63" s="1752"/>
      <c r="T63" s="1752"/>
      <c r="U63" s="1752"/>
      <c r="V63" s="1752"/>
      <c r="W63" s="242"/>
      <c r="X63" s="1868"/>
      <c r="Y63" s="1178"/>
      <c r="Z63" s="1178"/>
      <c r="AA63" s="1178"/>
      <c r="AB63" s="1178"/>
      <c r="AC63" s="1178"/>
      <c r="AD63" s="1178"/>
      <c r="AE63" s="1178"/>
      <c r="AF63" s="1178"/>
      <c r="AG63" s="1178"/>
      <c r="AH63" s="1178"/>
      <c r="AI63" s="1178"/>
      <c r="AJ63" s="1178"/>
      <c r="AK63" s="1178"/>
      <c r="AL63" s="1868"/>
      <c r="AM63" s="1868"/>
      <c r="AN63" s="1868"/>
      <c r="AO63" s="1868"/>
      <c r="AP63" s="1868"/>
      <c r="AQ63" s="1868"/>
      <c r="AR63" s="1868"/>
    </row>
    <row r="64" spans="1:44" ht="17.25" customHeight="1">
      <c r="A64" s="1746"/>
      <c r="B64" s="1868"/>
      <c r="C64" s="1751"/>
      <c r="D64" s="5220"/>
      <c r="E64" s="5221"/>
      <c r="F64" s="5199"/>
      <c r="G64" s="5212"/>
      <c r="H64" s="5195"/>
      <c r="I64" s="5195"/>
      <c r="J64" s="5238"/>
      <c r="K64" s="5166"/>
      <c r="L64" s="240"/>
      <c r="M64" s="241"/>
      <c r="N64" s="241" t="s">
        <v>174</v>
      </c>
      <c r="O64" s="241"/>
      <c r="P64" s="241"/>
      <c r="Q64" s="241"/>
      <c r="R64" s="241"/>
      <c r="S64" s="1752"/>
      <c r="T64" s="1752"/>
      <c r="U64" s="1752"/>
      <c r="V64" s="1752"/>
      <c r="W64" s="242"/>
      <c r="X64" s="1868"/>
      <c r="Y64" s="1178"/>
      <c r="Z64" s="1178"/>
      <c r="AA64" s="1178"/>
      <c r="AB64" s="1178"/>
      <c r="AC64" s="1178"/>
      <c r="AD64" s="1178"/>
      <c r="AE64" s="1178"/>
      <c r="AF64" s="1178"/>
      <c r="AG64" s="1178"/>
      <c r="AH64" s="1178"/>
      <c r="AI64" s="1178"/>
      <c r="AJ64" s="1178"/>
      <c r="AK64" s="1178"/>
      <c r="AL64" s="1868"/>
      <c r="AM64" s="1868"/>
      <c r="AN64" s="1868"/>
      <c r="AO64" s="1868"/>
      <c r="AP64" s="1868"/>
      <c r="AQ64" s="1868"/>
      <c r="AR64" s="1868"/>
    </row>
    <row r="65" spans="1:44" ht="17.25" customHeight="1">
      <c r="A65" s="1746"/>
      <c r="B65" s="1868"/>
      <c r="C65" s="1748"/>
      <c r="D65" s="5220"/>
      <c r="E65" s="5221"/>
      <c r="F65" s="5199"/>
      <c r="G65" s="5212"/>
      <c r="H65" s="5234" t="s">
        <v>99</v>
      </c>
      <c r="I65" s="5234" t="s">
        <v>86</v>
      </c>
      <c r="J65" s="5237" t="s">
        <v>236</v>
      </c>
      <c r="K65" s="5240" t="s">
        <v>62</v>
      </c>
      <c r="L65" s="5162"/>
      <c r="M65" s="5162" t="s">
        <v>114</v>
      </c>
      <c r="N65" s="5235" t="str">
        <f>IF(Z65="","",INDEX(TERRITORY_MR_LIST,MATCH(Z65,TERRITORY_LIST_ID,0)))</f>
        <v>Территория 3</v>
      </c>
      <c r="O65" s="5240" t="s">
        <v>62</v>
      </c>
      <c r="P65" s="5162"/>
      <c r="Q65" s="5162" t="s">
        <v>114</v>
      </c>
      <c r="R65" s="5242" t="s">
        <v>230</v>
      </c>
      <c r="S65" s="5161" t="s">
        <v>62</v>
      </c>
      <c r="T65" s="1719"/>
      <c r="U65" s="1719" t="s">
        <v>114</v>
      </c>
      <c r="V65" s="1749" t="s">
        <v>231</v>
      </c>
      <c r="W65" s="1709"/>
      <c r="X65" s="1868"/>
      <c r="Y65" s="1185"/>
      <c r="Z65" s="1185" t="s">
        <v>104</v>
      </c>
      <c r="AA65" s="1185"/>
      <c r="AB65" s="1185"/>
      <c r="AC65" s="1869" t="s">
        <v>219</v>
      </c>
      <c r="AD65" s="1185" t="s">
        <v>237</v>
      </c>
      <c r="AE65" s="1185" t="s">
        <v>238</v>
      </c>
      <c r="AF65" s="1185" t="s">
        <v>239</v>
      </c>
      <c r="AG65" s="1185" t="s">
        <v>240</v>
      </c>
      <c r="AH65" s="1185" t="str">
        <f>IF($E$53=0,"",$E$53)</f>
        <v>Тарифы на тепловую энергию (мощность), поставляемую теплоснабжающими организациями потребителям, другим теплоснабжающим организациям</v>
      </c>
      <c r="AI65" s="1185" t="str">
        <f>IF($G$53=0,"",$G$53)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AJ65" s="1185" t="str">
        <f>IF($J$65=0,"",$J$65)</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K65" s="1185" t="str">
        <f>IF($K$65="нет","без дифференциации",IF($N$65=0,"",$N$65))</f>
        <v>Территория 3</v>
      </c>
      <c r="AL65" s="1750" t="str">
        <f>IF($O$65="нет","без дифференциации",IF($R$65=0,"",$R$65))</f>
        <v>закрытая система теплоснабжения нп Раякоски</v>
      </c>
      <c r="AM65" s="1750" t="str">
        <f>IF($S$65="нет","без дифференциации",IF($V$65=0,"",$V$65))</f>
        <v>Электрокотельные нп Раякоски</v>
      </c>
      <c r="AN65" s="1185" t="str">
        <f>$I$65</f>
        <v>4</v>
      </c>
      <c r="AO65" s="1185" t="str">
        <f>$I$65&amp;"."&amp;$M$65</f>
        <v>4.1</v>
      </c>
      <c r="AP65" s="1185" t="str">
        <f>$I$65&amp;"."&amp;$M$65&amp;"."&amp;$Q$65</f>
        <v>4.1.1</v>
      </c>
      <c r="AQ65" s="1185" t="str">
        <f>$I$65&amp;"."&amp;$M$65&amp;"."&amp;$Q$65&amp;"."&amp;$U$65</f>
        <v>4.1.1.1</v>
      </c>
      <c r="AR65" s="1868"/>
    </row>
    <row r="66" spans="1:44" ht="17.25" customHeight="1">
      <c r="A66" s="1746"/>
      <c r="B66" s="1868"/>
      <c r="C66" s="1751"/>
      <c r="D66" s="5220"/>
      <c r="E66" s="5221"/>
      <c r="F66" s="5199"/>
      <c r="G66" s="5212"/>
      <c r="H66" s="5234"/>
      <c r="I66" s="5234"/>
      <c r="J66" s="5237"/>
      <c r="K66" s="5241"/>
      <c r="L66" s="5162"/>
      <c r="M66" s="5162"/>
      <c r="N66" s="5235"/>
      <c r="O66" s="5241"/>
      <c r="P66" s="5162"/>
      <c r="Q66" s="5162"/>
      <c r="R66" s="5242" t="s">
        <v>24</v>
      </c>
      <c r="S66" s="5161"/>
      <c r="T66" s="240"/>
      <c r="U66" s="241"/>
      <c r="V66" s="241" t="s">
        <v>168</v>
      </c>
      <c r="W66" s="242"/>
      <c r="X66" s="1868"/>
      <c r="Y66" s="1178"/>
      <c r="Z66" s="1178"/>
      <c r="AA66" s="1178"/>
      <c r="AB66" s="1178"/>
      <c r="AC66" s="1178"/>
      <c r="AD66" s="1178"/>
      <c r="AE66" s="1178"/>
      <c r="AF66" s="1178"/>
      <c r="AG66" s="1178"/>
      <c r="AH66" s="1178"/>
      <c r="AI66" s="1178"/>
      <c r="AJ66" s="1178"/>
      <c r="AK66" s="1178"/>
      <c r="AL66" s="1868"/>
      <c r="AM66" s="1868"/>
      <c r="AN66" s="1868"/>
      <c r="AO66" s="1868"/>
      <c r="AP66" s="1868"/>
      <c r="AQ66" s="1868"/>
      <c r="AR66" s="1868"/>
    </row>
    <row r="67" spans="1:44" ht="17.25" customHeight="1">
      <c r="A67" s="1746"/>
      <c r="B67" s="1868"/>
      <c r="C67" s="1751"/>
      <c r="D67" s="5220"/>
      <c r="E67" s="5221"/>
      <c r="F67" s="5199"/>
      <c r="G67" s="5212"/>
      <c r="H67" s="5195"/>
      <c r="I67" s="5195"/>
      <c r="J67" s="5238"/>
      <c r="K67" s="5241"/>
      <c r="L67" s="5195"/>
      <c r="M67" s="5195"/>
      <c r="N67" s="5236"/>
      <c r="O67" s="5166"/>
      <c r="P67" s="240"/>
      <c r="Q67" s="241"/>
      <c r="R67" s="241" t="s">
        <v>169</v>
      </c>
      <c r="S67" s="1752"/>
      <c r="T67" s="1752"/>
      <c r="U67" s="1752"/>
      <c r="V67" s="1752"/>
      <c r="W67" s="242"/>
      <c r="X67" s="1868"/>
      <c r="Y67" s="1178"/>
      <c r="Z67" s="1178"/>
      <c r="AA67" s="1178"/>
      <c r="AB67" s="1178"/>
      <c r="AC67" s="1178"/>
      <c r="AD67" s="1178"/>
      <c r="AE67" s="1178"/>
      <c r="AF67" s="1178"/>
      <c r="AG67" s="1178"/>
      <c r="AH67" s="1178"/>
      <c r="AI67" s="1178"/>
      <c r="AJ67" s="1178"/>
      <c r="AK67" s="1178"/>
      <c r="AL67" s="1868"/>
      <c r="AM67" s="1868"/>
      <c r="AN67" s="1868"/>
      <c r="AO67" s="1868"/>
      <c r="AP67" s="1868"/>
      <c r="AQ67" s="1868"/>
      <c r="AR67" s="1868"/>
    </row>
    <row r="68" spans="1:44" ht="17.25" customHeight="1">
      <c r="A68" s="1746"/>
      <c r="B68" s="1868"/>
      <c r="C68" s="1751"/>
      <c r="D68" s="5220"/>
      <c r="E68" s="5221"/>
      <c r="F68" s="5199"/>
      <c r="G68" s="5212"/>
      <c r="H68" s="5195"/>
      <c r="I68" s="5195"/>
      <c r="J68" s="5238"/>
      <c r="K68" s="5166"/>
      <c r="L68" s="240"/>
      <c r="M68" s="241"/>
      <c r="N68" s="241" t="s">
        <v>174</v>
      </c>
      <c r="O68" s="241"/>
      <c r="P68" s="241"/>
      <c r="Q68" s="241"/>
      <c r="R68" s="241"/>
      <c r="S68" s="1752"/>
      <c r="T68" s="1752"/>
      <c r="U68" s="1752"/>
      <c r="V68" s="1752"/>
      <c r="W68" s="242"/>
      <c r="X68" s="1868"/>
      <c r="Y68" s="1178"/>
      <c r="Z68" s="1178"/>
      <c r="AA68" s="1178"/>
      <c r="AB68" s="1178"/>
      <c r="AC68" s="1178"/>
      <c r="AD68" s="1178"/>
      <c r="AE68" s="1178"/>
      <c r="AF68" s="1178"/>
      <c r="AG68" s="1178"/>
      <c r="AH68" s="1178"/>
      <c r="AI68" s="1178"/>
      <c r="AJ68" s="1178"/>
      <c r="AK68" s="1178"/>
      <c r="AL68" s="1868"/>
      <c r="AM68" s="1868"/>
      <c r="AN68" s="1868"/>
      <c r="AO68" s="1868"/>
      <c r="AP68" s="1868"/>
      <c r="AQ68" s="1868"/>
      <c r="AR68" s="1868"/>
    </row>
    <row r="69" spans="1:44" ht="17.25" customHeight="1">
      <c r="A69" s="1746"/>
      <c r="B69" s="1868"/>
      <c r="C69" s="1748"/>
      <c r="D69" s="5220"/>
      <c r="E69" s="5221"/>
      <c r="F69" s="5199"/>
      <c r="G69" s="5212"/>
      <c r="H69" s="5234" t="s">
        <v>99</v>
      </c>
      <c r="I69" s="5234" t="s">
        <v>115</v>
      </c>
      <c r="J69" s="5237" t="s">
        <v>241</v>
      </c>
      <c r="K69" s="5240" t="s">
        <v>62</v>
      </c>
      <c r="L69" s="5162"/>
      <c r="M69" s="5162" t="s">
        <v>114</v>
      </c>
      <c r="N69" s="5235" t="str">
        <f>IF(Z69="","",INDEX(TERRITORY_MR_LIST,MATCH(Z69,TERRITORY_LIST_ID,0)))</f>
        <v>Территория 3</v>
      </c>
      <c r="O69" s="5240" t="s">
        <v>62</v>
      </c>
      <c r="P69" s="5162"/>
      <c r="Q69" s="5162" t="s">
        <v>114</v>
      </c>
      <c r="R69" s="5242" t="s">
        <v>230</v>
      </c>
      <c r="S69" s="5161" t="s">
        <v>62</v>
      </c>
      <c r="T69" s="1719"/>
      <c r="U69" s="1719" t="s">
        <v>114</v>
      </c>
      <c r="V69" s="1749" t="s">
        <v>231</v>
      </c>
      <c r="W69" s="1709"/>
      <c r="X69" s="1868"/>
      <c r="Y69" s="1185"/>
      <c r="Z69" s="1185" t="s">
        <v>104</v>
      </c>
      <c r="AA69" s="1185"/>
      <c r="AB69" s="1185"/>
      <c r="AC69" s="1869" t="s">
        <v>219</v>
      </c>
      <c r="AD69" s="1185" t="s">
        <v>242</v>
      </c>
      <c r="AE69" s="1185" t="s">
        <v>243</v>
      </c>
      <c r="AF69" s="1185" t="s">
        <v>244</v>
      </c>
      <c r="AG69" s="1185" t="s">
        <v>245</v>
      </c>
      <c r="AH69" s="1185" t="str">
        <f>IF($E$53=0,"",$E$53)</f>
        <v>Тарифы на тепловую энергию (мощность), поставляемую теплоснабжающими организациями потребителям, другим теплоснабжающим организациям</v>
      </c>
      <c r="AI69" s="1185" t="str">
        <f>IF($G$53=0,"",$G$53)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Сбыт. Тепловая энергия</v>
      </c>
      <c r="AJ69" s="1185" t="str">
        <f>IF($J$69=0,"",$J$69)</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K69" s="1185" t="str">
        <f>IF($K$69="нет","без дифференциации",IF($N$69=0,"",$N$69))</f>
        <v>Территория 3</v>
      </c>
      <c r="AL69" s="1750" t="str">
        <f>IF($O$69="нет","без дифференциации",IF($R$69=0,"",$R$69))</f>
        <v>закрытая система теплоснабжения нп Раякоски</v>
      </c>
      <c r="AM69" s="1750" t="str">
        <f>IF($S$69="нет","без дифференциации",IF($V$69=0,"",$V$69))</f>
        <v>Электрокотельные нп Раякоски</v>
      </c>
      <c r="AN69" s="1185" t="str">
        <f>$I$69</f>
        <v>5</v>
      </c>
      <c r="AO69" s="1185" t="str">
        <f>$I$69&amp;"."&amp;$M$69</f>
        <v>5.1</v>
      </c>
      <c r="AP69" s="1185" t="str">
        <f>$I$69&amp;"."&amp;$M$69&amp;"."&amp;$Q$69</f>
        <v>5.1.1</v>
      </c>
      <c r="AQ69" s="1185" t="str">
        <f>$I$69&amp;"."&amp;$M$69&amp;"."&amp;$Q$69&amp;"."&amp;$U$69</f>
        <v>5.1.1.1</v>
      </c>
      <c r="AR69" s="1868"/>
    </row>
    <row r="70" spans="1:44" ht="17.25" customHeight="1">
      <c r="A70" s="1746"/>
      <c r="B70" s="1868"/>
      <c r="C70" s="1751"/>
      <c r="D70" s="5220"/>
      <c r="E70" s="5221"/>
      <c r="F70" s="5199"/>
      <c r="G70" s="5212"/>
      <c r="H70" s="5234"/>
      <c r="I70" s="5234"/>
      <c r="J70" s="5237"/>
      <c r="K70" s="5241"/>
      <c r="L70" s="5162"/>
      <c r="M70" s="5162"/>
      <c r="N70" s="5235"/>
      <c r="O70" s="5241"/>
      <c r="P70" s="5162"/>
      <c r="Q70" s="5162"/>
      <c r="R70" s="5242" t="s">
        <v>24</v>
      </c>
      <c r="S70" s="5161"/>
      <c r="T70" s="240"/>
      <c r="U70" s="241"/>
      <c r="V70" s="241" t="s">
        <v>168</v>
      </c>
      <c r="W70" s="242"/>
      <c r="X70" s="1868"/>
      <c r="Y70" s="1178"/>
      <c r="Z70" s="1178"/>
      <c r="AA70" s="1178"/>
      <c r="AB70" s="1178"/>
      <c r="AC70" s="1178"/>
      <c r="AD70" s="1178"/>
      <c r="AE70" s="1178"/>
      <c r="AF70" s="1178"/>
      <c r="AG70" s="1178"/>
      <c r="AH70" s="1178"/>
      <c r="AI70" s="1178"/>
      <c r="AJ70" s="1178"/>
      <c r="AK70" s="1178"/>
      <c r="AL70" s="1868"/>
      <c r="AM70" s="1868"/>
      <c r="AN70" s="1868"/>
      <c r="AO70" s="1868"/>
      <c r="AP70" s="1868"/>
      <c r="AQ70" s="1868"/>
      <c r="AR70" s="1868"/>
    </row>
    <row r="71" spans="1:44" ht="17.25" customHeight="1">
      <c r="A71" s="1746"/>
      <c r="B71" s="1868"/>
      <c r="C71" s="1751"/>
      <c r="D71" s="5220"/>
      <c r="E71" s="5221"/>
      <c r="F71" s="5199"/>
      <c r="G71" s="5212"/>
      <c r="H71" s="5195"/>
      <c r="I71" s="5195"/>
      <c r="J71" s="5238"/>
      <c r="K71" s="5241"/>
      <c r="L71" s="5195"/>
      <c r="M71" s="5195"/>
      <c r="N71" s="5236"/>
      <c r="O71" s="5166"/>
      <c r="P71" s="240"/>
      <c r="Q71" s="241"/>
      <c r="R71" s="241" t="s">
        <v>169</v>
      </c>
      <c r="S71" s="1752"/>
      <c r="T71" s="1752"/>
      <c r="U71" s="1752"/>
      <c r="V71" s="1752"/>
      <c r="W71" s="242"/>
      <c r="X71" s="1868"/>
      <c r="Y71" s="1178"/>
      <c r="Z71" s="1178"/>
      <c r="AA71" s="1178"/>
      <c r="AB71" s="1178"/>
      <c r="AC71" s="1178"/>
      <c r="AD71" s="1178"/>
      <c r="AE71" s="1178"/>
      <c r="AF71" s="1178"/>
      <c r="AG71" s="1178"/>
      <c r="AH71" s="1178"/>
      <c r="AI71" s="1178"/>
      <c r="AJ71" s="1178"/>
      <c r="AK71" s="1178"/>
      <c r="AL71" s="1868"/>
      <c r="AM71" s="1868"/>
      <c r="AN71" s="1868"/>
      <c r="AO71" s="1868"/>
      <c r="AP71" s="1868"/>
      <c r="AQ71" s="1868"/>
      <c r="AR71" s="1868"/>
    </row>
    <row r="72" spans="1:44" ht="17.25" customHeight="1">
      <c r="A72" s="1746"/>
      <c r="B72" s="1868"/>
      <c r="C72" s="1751"/>
      <c r="D72" s="5220"/>
      <c r="E72" s="5221"/>
      <c r="F72" s="5199"/>
      <c r="G72" s="5212"/>
      <c r="H72" s="5195"/>
      <c r="I72" s="5195"/>
      <c r="J72" s="5238"/>
      <c r="K72" s="5166"/>
      <c r="L72" s="240"/>
      <c r="M72" s="241"/>
      <c r="N72" s="241" t="s">
        <v>174</v>
      </c>
      <c r="O72" s="241"/>
      <c r="P72" s="241"/>
      <c r="Q72" s="241"/>
      <c r="R72" s="241"/>
      <c r="S72" s="1752"/>
      <c r="T72" s="1752"/>
      <c r="U72" s="1752"/>
      <c r="V72" s="1752"/>
      <c r="W72" s="242"/>
      <c r="X72" s="1868"/>
      <c r="Y72" s="1178"/>
      <c r="Z72" s="1178"/>
      <c r="AA72" s="1178"/>
      <c r="AB72" s="1178"/>
      <c r="AC72" s="1178"/>
      <c r="AD72" s="1178"/>
      <c r="AE72" s="1178"/>
      <c r="AF72" s="1178"/>
      <c r="AG72" s="1178"/>
      <c r="AH72" s="1178"/>
      <c r="AI72" s="1178"/>
      <c r="AJ72" s="1178"/>
      <c r="AK72" s="1178"/>
      <c r="AL72" s="1868"/>
      <c r="AM72" s="1868"/>
      <c r="AN72" s="1868"/>
      <c r="AO72" s="1868"/>
      <c r="AP72" s="1868"/>
      <c r="AQ72" s="1868"/>
      <c r="AR72" s="1868"/>
    </row>
    <row r="73" spans="1:44" s="1898" customFormat="1" ht="17.25" customHeight="1">
      <c r="A73" s="244"/>
      <c r="C73" s="243"/>
      <c r="D73" s="5195"/>
      <c r="E73" s="5197"/>
      <c r="F73" s="5200"/>
      <c r="G73" s="5211"/>
      <c r="H73" s="1923"/>
      <c r="I73" s="1924"/>
      <c r="J73" s="1925" t="s">
        <v>215</v>
      </c>
      <c r="K73" s="1926"/>
      <c r="L73" s="1927"/>
      <c r="M73" s="1928"/>
      <c r="N73" s="1929"/>
      <c r="O73" s="1930"/>
      <c r="P73" s="1931"/>
      <c r="Q73" s="1932"/>
      <c r="R73" s="1933"/>
      <c r="S73" s="1934"/>
      <c r="T73" s="1935"/>
      <c r="U73" s="1936"/>
      <c r="V73" s="1937"/>
      <c r="W73" s="1938"/>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4" s="1898" customFormat="1" ht="17.25" customHeight="1">
      <c r="A74" s="244"/>
      <c r="C74" s="130"/>
      <c r="D74" s="5194">
        <v>3</v>
      </c>
      <c r="E74" s="5196" t="s">
        <v>246</v>
      </c>
      <c r="F74" s="5198" t="s">
        <v>62</v>
      </c>
      <c r="G74" s="5210" t="str">
        <f>"Производство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Теплоноситель"&amp;", "&amp;INDEX(HEAT_PT_VED_NAME,MATCH(4190071,HEAT_PT_VED_ID,0))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H74" s="5234"/>
      <c r="I74" s="5234">
        <v>1</v>
      </c>
      <c r="J74" s="5237" t="s">
        <v>247</v>
      </c>
      <c r="K74" s="5240" t="s">
        <v>62</v>
      </c>
      <c r="L74" s="5162"/>
      <c r="M74" s="5162" t="s">
        <v>114</v>
      </c>
      <c r="N74" s="5235" t="str">
        <f>IF(Z74="","",INDEX(TERRITORY_MR_LIST,MATCH(Z74,TERRITORY_LIST_ID,0)))</f>
        <v>Территория 1</v>
      </c>
      <c r="O74" s="5240" t="s">
        <v>62</v>
      </c>
      <c r="P74" s="5162"/>
      <c r="Q74" s="5162" t="s">
        <v>114</v>
      </c>
      <c r="R74" s="5242" t="s">
        <v>160</v>
      </c>
      <c r="S74" s="5161" t="s">
        <v>62</v>
      </c>
      <c r="T74" s="1853"/>
      <c r="U74" s="1853" t="s">
        <v>114</v>
      </c>
      <c r="V74" s="1854" t="s">
        <v>161</v>
      </c>
      <c r="W74" s="1852"/>
      <c r="X74" s="1185"/>
      <c r="Y74" s="1185"/>
      <c r="Z74" s="1185" t="s">
        <v>93</v>
      </c>
      <c r="AA74" s="1185"/>
      <c r="AB74" s="1185" t="s">
        <v>248</v>
      </c>
      <c r="AC74" s="1185" t="s">
        <v>249</v>
      </c>
      <c r="AD74" s="1185" t="s">
        <v>250</v>
      </c>
      <c r="AE74" s="1185" t="s">
        <v>251</v>
      </c>
      <c r="AF74" s="1185" t="s">
        <v>252</v>
      </c>
      <c r="AG74" s="1185" t="s">
        <v>253</v>
      </c>
      <c r="AH74" s="1185" t="str">
        <f>IF($E$74=0,"",$E$74)</f>
        <v>Тарифы на теплоноситель, поставляемый теплоснабжающими организациями потребителям, другим теплоснабжающим организациям</v>
      </c>
      <c r="AI74" s="1185" t="str">
        <f>IF($G$74=0,"",$G$74)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74" s="1185" t="str">
        <f>IF($J$74=0,"",$J$74)</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74" s="1185" t="str">
        <f>IF($K$74="нет","без дифференциации",IF($N$74=0,"",$N$74))</f>
        <v>Территория 1</v>
      </c>
      <c r="AL74" s="1185" t="str">
        <f>IF($O$74="нет","без дифференциации",IF($R$74=0,"",$R$74))</f>
        <v xml:space="preserve">открытая система теплоснабжения г. Апатиты
</v>
      </c>
      <c r="AM74" s="1185" t="str">
        <f>IF($S$74="нет","без дифференциации",IF($V$74=0,"",$V$74))</f>
        <v>Апатитская ТЭЦ</v>
      </c>
      <c r="AN74" s="1680">
        <f>$I$74</f>
        <v>1</v>
      </c>
      <c r="AO74" s="1185" t="str">
        <f>$I$74&amp;"."&amp;$M$74</f>
        <v>1.1</v>
      </c>
      <c r="AP74" s="1178" t="str">
        <f>$I$74&amp;"."&amp;$M$74&amp;"."&amp;$Q$74</f>
        <v>1.1.1</v>
      </c>
      <c r="AQ74" s="1178" t="str">
        <f>$I$74&amp;"."&amp;$M$74&amp;"."&amp;$Q$74&amp;"."&amp;$U$74</f>
        <v>1.1.1.1</v>
      </c>
    </row>
    <row r="75" spans="1:44" s="1898" customFormat="1" ht="17.25" customHeight="1">
      <c r="A75" s="244"/>
      <c r="C75" s="243"/>
      <c r="D75" s="5194"/>
      <c r="E75" s="5196"/>
      <c r="F75" s="5199"/>
      <c r="G75" s="5210"/>
      <c r="H75" s="5234"/>
      <c r="I75" s="5234"/>
      <c r="J75" s="5237"/>
      <c r="K75" s="5241"/>
      <c r="L75" s="5162"/>
      <c r="M75" s="5162"/>
      <c r="N75" s="5235"/>
      <c r="O75" s="5241"/>
      <c r="P75" s="5162"/>
      <c r="Q75" s="5162"/>
      <c r="R75" s="5242" t="s">
        <v>24</v>
      </c>
      <c r="S75" s="5161"/>
      <c r="T75" s="1939"/>
      <c r="U75" s="1940"/>
      <c r="V75" s="1941" t="s">
        <v>168</v>
      </c>
      <c r="W75" s="1942"/>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4" s="1898" customFormat="1" ht="17.25" customHeight="1">
      <c r="A76" s="244"/>
      <c r="C76" s="243"/>
      <c r="D76" s="5195"/>
      <c r="E76" s="5197"/>
      <c r="F76" s="5199"/>
      <c r="G76" s="5211"/>
      <c r="H76" s="5195"/>
      <c r="I76" s="5195"/>
      <c r="J76" s="5238"/>
      <c r="K76" s="5241"/>
      <c r="L76" s="5195"/>
      <c r="M76" s="5195"/>
      <c r="N76" s="5236"/>
      <c r="O76" s="5166"/>
      <c r="P76" s="1943"/>
      <c r="Q76" s="1944"/>
      <c r="R76" s="1945" t="s">
        <v>169</v>
      </c>
      <c r="S76" s="1946"/>
      <c r="T76" s="1947"/>
      <c r="U76" s="1948"/>
      <c r="V76" s="1949"/>
      <c r="W76" s="1950"/>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4" ht="17.25" customHeight="1">
      <c r="A77" s="1746"/>
      <c r="B77" s="1868"/>
      <c r="C77" s="1748"/>
      <c r="D77" s="5220"/>
      <c r="E77" s="5221"/>
      <c r="F77" s="5199"/>
      <c r="G77" s="5212"/>
      <c r="H77" s="5220"/>
      <c r="I77" s="5220"/>
      <c r="J77" s="5239"/>
      <c r="K77" s="5243"/>
      <c r="L77" s="5162" t="s">
        <v>99</v>
      </c>
      <c r="M77" s="5162" t="s">
        <v>98</v>
      </c>
      <c r="N77" s="5235" t="str">
        <f>IF(Z77="","",INDEX(TERRITORY_MR_LIST,MATCH(Z77,TERRITORY_LIST_ID,0)))</f>
        <v>Территория 2</v>
      </c>
      <c r="O77" s="5240" t="s">
        <v>62</v>
      </c>
      <c r="P77" s="5162"/>
      <c r="Q77" s="5162" t="s">
        <v>114</v>
      </c>
      <c r="R77" s="5242" t="s">
        <v>170</v>
      </c>
      <c r="S77" s="5161" t="s">
        <v>62</v>
      </c>
      <c r="T77" s="1719"/>
      <c r="U77" s="1719" t="s">
        <v>114</v>
      </c>
      <c r="V77" s="1749" t="s">
        <v>161</v>
      </c>
      <c r="W77" s="1709"/>
      <c r="X77" s="1868"/>
      <c r="Y77" s="1185"/>
      <c r="Z77" s="1185" t="s">
        <v>100</v>
      </c>
      <c r="AA77" s="1185"/>
      <c r="AB77" s="1185"/>
      <c r="AC77" s="1869" t="s">
        <v>249</v>
      </c>
      <c r="AD77" s="1869" t="s">
        <v>250</v>
      </c>
      <c r="AE77" s="1185" t="s">
        <v>254</v>
      </c>
      <c r="AF77" s="1185" t="s">
        <v>255</v>
      </c>
      <c r="AG77" s="1185" t="s">
        <v>256</v>
      </c>
      <c r="AH77" s="1185" t="str">
        <f>IF($E$74=0,"",$E$74)</f>
        <v>Тарифы на теплоноситель, поставляемый теплоснабжающими организациями потребителям, другим теплоснабжающим организациям</v>
      </c>
      <c r="AI77" s="1185" t="str">
        <f>IF($G$74=0,"",$G$74)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77" s="1185" t="str">
        <f>IF($J$74=0,"",$J$74)</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77" s="1185" t="str">
        <f>IF($K$77="нет","без дифференциации",IF($N$77=0,"",$N$77))</f>
        <v>Территория 2</v>
      </c>
      <c r="AL77" s="1750" t="str">
        <f>IF($O$77="нет","без дифференциации",IF($R$77=0,"",$R$77))</f>
        <v>открытая система теплоснабжения г. Кировск</v>
      </c>
      <c r="AM77" s="1750" t="str">
        <f>IF($S$77="нет","без дифференциации",IF($V$77=0,"",$V$77))</f>
        <v>Апатитская ТЭЦ</v>
      </c>
      <c r="AN77" s="1185">
        <f>$I$74</f>
        <v>1</v>
      </c>
      <c r="AO77" s="1185" t="str">
        <f>$I$74&amp;"."&amp;$M$77</f>
        <v>1.2</v>
      </c>
      <c r="AP77" s="1185" t="str">
        <f>$I$74&amp;"."&amp;$M$77&amp;"."&amp;$Q$77</f>
        <v>1.2.1</v>
      </c>
      <c r="AQ77" s="1185" t="str">
        <f>$I$74&amp;"."&amp;$M$77&amp;"."&amp;$Q$77&amp;"."&amp;$U$77</f>
        <v>1.2.1.1</v>
      </c>
      <c r="AR77" s="1868"/>
    </row>
    <row r="78" spans="1:44" ht="17.25" customHeight="1">
      <c r="A78" s="1746"/>
      <c r="B78" s="1868"/>
      <c r="C78" s="1751"/>
      <c r="D78" s="5220"/>
      <c r="E78" s="5221"/>
      <c r="F78" s="5199"/>
      <c r="G78" s="5212"/>
      <c r="H78" s="5220"/>
      <c r="I78" s="5220"/>
      <c r="J78" s="5239"/>
      <c r="K78" s="5243"/>
      <c r="L78" s="5162"/>
      <c r="M78" s="5162"/>
      <c r="N78" s="5235"/>
      <c r="O78" s="5241"/>
      <c r="P78" s="5162"/>
      <c r="Q78" s="5162"/>
      <c r="R78" s="5242" t="s">
        <v>24</v>
      </c>
      <c r="S78" s="5161"/>
      <c r="T78" s="240"/>
      <c r="U78" s="241"/>
      <c r="V78" s="241" t="s">
        <v>168</v>
      </c>
      <c r="W78" s="242"/>
      <c r="X78" s="1868"/>
      <c r="Y78" s="1178"/>
      <c r="Z78" s="1178"/>
      <c r="AA78" s="1178"/>
      <c r="AB78" s="1178"/>
      <c r="AC78" s="1178"/>
      <c r="AD78" s="1178"/>
      <c r="AE78" s="1178"/>
      <c r="AF78" s="1178"/>
      <c r="AG78" s="1178"/>
      <c r="AH78" s="1178"/>
      <c r="AI78" s="1178"/>
      <c r="AJ78" s="1178"/>
      <c r="AK78" s="1178"/>
      <c r="AL78" s="1868"/>
      <c r="AM78" s="1868"/>
      <c r="AN78" s="1868"/>
      <c r="AO78" s="1868"/>
      <c r="AP78" s="1868"/>
      <c r="AQ78" s="1868"/>
      <c r="AR78" s="1868"/>
    </row>
    <row r="79" spans="1:44" ht="17.25" customHeight="1">
      <c r="A79" s="1746"/>
      <c r="B79" s="1868"/>
      <c r="C79" s="1751"/>
      <c r="D79" s="5220"/>
      <c r="E79" s="5221"/>
      <c r="F79" s="5199"/>
      <c r="G79" s="5212"/>
      <c r="H79" s="5220"/>
      <c r="I79" s="5220"/>
      <c r="J79" s="5239"/>
      <c r="K79" s="5243"/>
      <c r="L79" s="5195"/>
      <c r="M79" s="5195"/>
      <c r="N79" s="5236"/>
      <c r="O79" s="5166"/>
      <c r="P79" s="240"/>
      <c r="Q79" s="241"/>
      <c r="R79" s="241" t="s">
        <v>169</v>
      </c>
      <c r="S79" s="1752"/>
      <c r="T79" s="1752"/>
      <c r="U79" s="1752"/>
      <c r="V79" s="1752"/>
      <c r="W79" s="242"/>
      <c r="X79" s="1868"/>
      <c r="Y79" s="1178"/>
      <c r="Z79" s="1178"/>
      <c r="AA79" s="1178"/>
      <c r="AB79" s="1178"/>
      <c r="AC79" s="1178"/>
      <c r="AD79" s="1178"/>
      <c r="AE79" s="1178"/>
      <c r="AF79" s="1178"/>
      <c r="AG79" s="1178"/>
      <c r="AH79" s="1178"/>
      <c r="AI79" s="1178"/>
      <c r="AJ79" s="1178"/>
      <c r="AK79" s="1178"/>
      <c r="AL79" s="1868"/>
      <c r="AM79" s="1868"/>
      <c r="AN79" s="1868"/>
      <c r="AO79" s="1868"/>
      <c r="AP79" s="1868"/>
      <c r="AQ79" s="1868"/>
      <c r="AR79" s="1868"/>
    </row>
    <row r="80" spans="1:44" s="1898" customFormat="1" ht="17.25" customHeight="1">
      <c r="A80" s="244"/>
      <c r="C80" s="243"/>
      <c r="D80" s="5195"/>
      <c r="E80" s="5197"/>
      <c r="F80" s="5199"/>
      <c r="G80" s="5211"/>
      <c r="H80" s="5195"/>
      <c r="I80" s="5195"/>
      <c r="J80" s="5238"/>
      <c r="K80" s="5166"/>
      <c r="L80" s="1951"/>
      <c r="M80" s="1952"/>
      <c r="N80" s="1953" t="s">
        <v>174</v>
      </c>
      <c r="O80" s="1954"/>
      <c r="P80" s="1955"/>
      <c r="Q80" s="1956"/>
      <c r="R80" s="1957"/>
      <c r="S80" s="1958"/>
      <c r="T80" s="1959"/>
      <c r="U80" s="1960"/>
      <c r="V80" s="1961"/>
      <c r="W80" s="1962"/>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4" ht="17.25" customHeight="1">
      <c r="A81" s="1746"/>
      <c r="B81" s="1868"/>
      <c r="C81" s="1748"/>
      <c r="D81" s="5220"/>
      <c r="E81" s="5221"/>
      <c r="F81" s="5199"/>
      <c r="G81" s="5212"/>
      <c r="H81" s="5234" t="s">
        <v>99</v>
      </c>
      <c r="I81" s="5234" t="s">
        <v>98</v>
      </c>
      <c r="J81" s="5237" t="s">
        <v>257</v>
      </c>
      <c r="K81" s="5240" t="s">
        <v>62</v>
      </c>
      <c r="L81" s="5162"/>
      <c r="M81" s="5162" t="s">
        <v>114</v>
      </c>
      <c r="N81" s="5235" t="s">
        <v>258</v>
      </c>
      <c r="O81" s="5240" t="s">
        <v>62</v>
      </c>
      <c r="P81" s="5162"/>
      <c r="Q81" s="5162" t="s">
        <v>114</v>
      </c>
      <c r="R81" s="5242" t="s">
        <v>160</v>
      </c>
      <c r="S81" s="5161" t="s">
        <v>62</v>
      </c>
      <c r="T81" s="1719"/>
      <c r="U81" s="1719" t="s">
        <v>114</v>
      </c>
      <c r="V81" s="1749" t="s">
        <v>161</v>
      </c>
      <c r="W81" s="1709"/>
      <c r="X81" s="1868"/>
      <c r="Y81" s="1185"/>
      <c r="Z81" s="1185" t="s">
        <v>93</v>
      </c>
      <c r="AA81" s="1185"/>
      <c r="AB81" s="1185"/>
      <c r="AC81" s="1869" t="s">
        <v>249</v>
      </c>
      <c r="AD81" s="1185" t="s">
        <v>259</v>
      </c>
      <c r="AE81" s="1185" t="s">
        <v>260</v>
      </c>
      <c r="AF81" s="1185" t="s">
        <v>261</v>
      </c>
      <c r="AG81" s="1185" t="s">
        <v>262</v>
      </c>
      <c r="AH81" s="1185" t="str">
        <f>IF($E$74=0,"",$E$74)</f>
        <v>Тарифы на теплоноситель, поставляемый теплоснабжающими организациями потребителям, другим теплоснабжающим организациям</v>
      </c>
      <c r="AI81" s="1185" t="str">
        <f>IF($G$74=0,"",$G$74)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81" s="1185" t="str">
        <f>IF($J$81=0,"",$J$81)</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81" s="1185" t="str">
        <f>IF($K$81="нет","без дифференциации",IF($N$81=0,"",$N$81))</f>
        <v>Территория 1</v>
      </c>
      <c r="AL81" s="1750" t="str">
        <f>IF($O$81="нет","без дифференциации",IF($R$81=0,"",$R$81))</f>
        <v xml:space="preserve">открытая система теплоснабжения г. Апатиты
</v>
      </c>
      <c r="AM81" s="1750" t="str">
        <f>IF($S$81="нет","без дифференциации",IF($V$81=0,"",$V$81))</f>
        <v>Апатитская ТЭЦ</v>
      </c>
      <c r="AN81" s="1185" t="str">
        <f>$I$81</f>
        <v>2</v>
      </c>
      <c r="AO81" s="1185" t="str">
        <f>$I$81&amp;"."&amp;$M$81</f>
        <v>2.1</v>
      </c>
      <c r="AP81" s="1185" t="str">
        <f>$I$81&amp;"."&amp;$M$81&amp;"."&amp;$Q$81</f>
        <v>2.1.1</v>
      </c>
      <c r="AQ81" s="1185" t="str">
        <f>$I$81&amp;"."&amp;$M$81&amp;"."&amp;$Q$81&amp;"."&amp;$U$81</f>
        <v>2.1.1.1</v>
      </c>
      <c r="AR81" s="1868"/>
    </row>
    <row r="82" spans="1:44" ht="17.25" customHeight="1">
      <c r="A82" s="1746"/>
      <c r="B82" s="1868"/>
      <c r="C82" s="1751"/>
      <c r="D82" s="5220"/>
      <c r="E82" s="5221"/>
      <c r="F82" s="5199"/>
      <c r="G82" s="5212"/>
      <c r="H82" s="5234"/>
      <c r="I82" s="5234"/>
      <c r="J82" s="5237"/>
      <c r="K82" s="5241"/>
      <c r="L82" s="5162"/>
      <c r="M82" s="5162"/>
      <c r="N82" s="5235"/>
      <c r="O82" s="5241"/>
      <c r="P82" s="5162"/>
      <c r="Q82" s="5162"/>
      <c r="R82" s="5242" t="s">
        <v>24</v>
      </c>
      <c r="S82" s="5161"/>
      <c r="T82" s="240"/>
      <c r="U82" s="241"/>
      <c r="V82" s="241" t="s">
        <v>168</v>
      </c>
      <c r="W82" s="242"/>
      <c r="X82" s="1868"/>
      <c r="Y82" s="1178"/>
      <c r="Z82" s="1178"/>
      <c r="AA82" s="1178"/>
      <c r="AB82" s="1178"/>
      <c r="AC82" s="1178"/>
      <c r="AD82" s="1178"/>
      <c r="AE82" s="1178"/>
      <c r="AF82" s="1178"/>
      <c r="AG82" s="1178"/>
      <c r="AH82" s="1178"/>
      <c r="AI82" s="1178"/>
      <c r="AJ82" s="1178"/>
      <c r="AK82" s="1178"/>
      <c r="AL82" s="1868"/>
      <c r="AM82" s="1868"/>
      <c r="AN82" s="1868"/>
      <c r="AO82" s="1868"/>
      <c r="AP82" s="1868"/>
      <c r="AQ82" s="1868"/>
      <c r="AR82" s="1868"/>
    </row>
    <row r="83" spans="1:44" ht="17.25" customHeight="1">
      <c r="A83" s="1746"/>
      <c r="B83" s="1868"/>
      <c r="C83" s="1751"/>
      <c r="D83" s="5220"/>
      <c r="E83" s="5221"/>
      <c r="F83" s="5199"/>
      <c r="G83" s="5212"/>
      <c r="H83" s="5195"/>
      <c r="I83" s="5195"/>
      <c r="J83" s="5238"/>
      <c r="K83" s="5241"/>
      <c r="L83" s="5195"/>
      <c r="M83" s="5195"/>
      <c r="N83" s="5236"/>
      <c r="O83" s="5166"/>
      <c r="P83" s="240"/>
      <c r="Q83" s="241"/>
      <c r="R83" s="241" t="s">
        <v>169</v>
      </c>
      <c r="S83" s="1752"/>
      <c r="T83" s="1752"/>
      <c r="U83" s="1752"/>
      <c r="V83" s="1752"/>
      <c r="W83" s="242"/>
      <c r="X83" s="1868"/>
      <c r="Y83" s="1178"/>
      <c r="Z83" s="1178"/>
      <c r="AA83" s="1178"/>
      <c r="AB83" s="1178"/>
      <c r="AC83" s="1178"/>
      <c r="AD83" s="1178"/>
      <c r="AE83" s="1178"/>
      <c r="AF83" s="1178"/>
      <c r="AG83" s="1178"/>
      <c r="AH83" s="1178"/>
      <c r="AI83" s="1178"/>
      <c r="AJ83" s="1178"/>
      <c r="AK83" s="1178"/>
      <c r="AL83" s="1868"/>
      <c r="AM83" s="1868"/>
      <c r="AN83" s="1868"/>
      <c r="AO83" s="1868"/>
      <c r="AP83" s="1868"/>
      <c r="AQ83" s="1868"/>
      <c r="AR83" s="1868"/>
    </row>
    <row r="84" spans="1:44" ht="17.25" customHeight="1">
      <c r="A84" s="1746"/>
      <c r="B84" s="1868"/>
      <c r="C84" s="1748"/>
      <c r="D84" s="5220"/>
      <c r="E84" s="5221"/>
      <c r="F84" s="5199"/>
      <c r="G84" s="5212"/>
      <c r="H84" s="5220"/>
      <c r="I84" s="5220"/>
      <c r="J84" s="5239"/>
      <c r="K84" s="5243"/>
      <c r="L84" s="5162" t="s">
        <v>99</v>
      </c>
      <c r="M84" s="5162" t="s">
        <v>98</v>
      </c>
      <c r="N84" s="5235" t="str">
        <f>IF(Z84="","",INDEX(TERRITORY_MR_LIST,MATCH(Z84,TERRITORY_LIST_ID,0)))</f>
        <v>Территория 2</v>
      </c>
      <c r="O84" s="5240" t="s">
        <v>62</v>
      </c>
      <c r="P84" s="5162"/>
      <c r="Q84" s="5162" t="s">
        <v>114</v>
      </c>
      <c r="R84" s="5242" t="s">
        <v>170</v>
      </c>
      <c r="S84" s="5161" t="s">
        <v>62</v>
      </c>
      <c r="T84" s="1719"/>
      <c r="U84" s="1719" t="s">
        <v>114</v>
      </c>
      <c r="V84" s="1749" t="s">
        <v>161</v>
      </c>
      <c r="W84" s="1709"/>
      <c r="X84" s="1868"/>
      <c r="Y84" s="1185"/>
      <c r="Z84" s="1185" t="s">
        <v>100</v>
      </c>
      <c r="AA84" s="1185"/>
      <c r="AB84" s="1185"/>
      <c r="AC84" s="1869" t="s">
        <v>249</v>
      </c>
      <c r="AD84" s="1869" t="s">
        <v>259</v>
      </c>
      <c r="AE84" s="1185" t="s">
        <v>263</v>
      </c>
      <c r="AF84" s="1185" t="s">
        <v>264</v>
      </c>
      <c r="AG84" s="1185" t="s">
        <v>265</v>
      </c>
      <c r="AH84" s="1185" t="str">
        <f>IF($E$74=0,"",$E$74)</f>
        <v>Тарифы на теплоноситель, поставляемый теплоснабжающими организациями потребителям, другим теплоснабжающим организациям</v>
      </c>
      <c r="AI84" s="1185" t="str">
        <f>IF($G$74=0,"",$G$74)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84" s="1185" t="str">
        <f>IF($J$81=0,"",$J$81)</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K84" s="1185" t="str">
        <f>IF($K$84="нет","без дифференциации",IF($N$84=0,"",$N$84))</f>
        <v>Территория 2</v>
      </c>
      <c r="AL84" s="1750" t="str">
        <f>IF($O$84="нет","без дифференциации",IF($R$84=0,"",$R$84))</f>
        <v>открытая система теплоснабжения г. Кировск</v>
      </c>
      <c r="AM84" s="1750" t="str">
        <f>IF($S$84="нет","без дифференциации",IF($V$84=0,"",$V$84))</f>
        <v>Апатитская ТЭЦ</v>
      </c>
      <c r="AN84" s="1185" t="str">
        <f>$I$81</f>
        <v>2</v>
      </c>
      <c r="AO84" s="1185" t="str">
        <f>$I$81&amp;"."&amp;$M$84</f>
        <v>2.2</v>
      </c>
      <c r="AP84" s="1185" t="str">
        <f>$I$81&amp;"."&amp;$M$84&amp;"."&amp;$Q$84</f>
        <v>2.2.1</v>
      </c>
      <c r="AQ84" s="1185" t="str">
        <f>$I$81&amp;"."&amp;$M$84&amp;"."&amp;$Q$84&amp;"."&amp;$U$84</f>
        <v>2.2.1.1</v>
      </c>
      <c r="AR84" s="1868"/>
    </row>
    <row r="85" spans="1:44" ht="17.25" customHeight="1">
      <c r="A85" s="1746"/>
      <c r="B85" s="1868"/>
      <c r="C85" s="1751"/>
      <c r="D85" s="5220"/>
      <c r="E85" s="5221"/>
      <c r="F85" s="5199"/>
      <c r="G85" s="5212"/>
      <c r="H85" s="5220"/>
      <c r="I85" s="5220"/>
      <c r="J85" s="5239"/>
      <c r="K85" s="5243"/>
      <c r="L85" s="5162"/>
      <c r="M85" s="5162"/>
      <c r="N85" s="5235"/>
      <c r="O85" s="5241"/>
      <c r="P85" s="5162"/>
      <c r="Q85" s="5162"/>
      <c r="R85" s="5242" t="s">
        <v>24</v>
      </c>
      <c r="S85" s="5161"/>
      <c r="T85" s="240"/>
      <c r="U85" s="241"/>
      <c r="V85" s="241" t="s">
        <v>168</v>
      </c>
      <c r="W85" s="242"/>
      <c r="X85" s="1868"/>
      <c r="Y85" s="1178"/>
      <c r="Z85" s="1178"/>
      <c r="AA85" s="1178"/>
      <c r="AB85" s="1178"/>
      <c r="AC85" s="1178"/>
      <c r="AD85" s="1178"/>
      <c r="AE85" s="1178"/>
      <c r="AF85" s="1178"/>
      <c r="AG85" s="1178"/>
      <c r="AH85" s="1178"/>
      <c r="AI85" s="1178"/>
      <c r="AJ85" s="1178"/>
      <c r="AK85" s="1178"/>
      <c r="AL85" s="1868"/>
      <c r="AM85" s="1868"/>
      <c r="AN85" s="1868"/>
      <c r="AO85" s="1868"/>
      <c r="AP85" s="1868"/>
      <c r="AQ85" s="1868"/>
      <c r="AR85" s="1868"/>
    </row>
    <row r="86" spans="1:44" ht="17.25" customHeight="1">
      <c r="A86" s="1746"/>
      <c r="B86" s="1868"/>
      <c r="C86" s="1751"/>
      <c r="D86" s="5220"/>
      <c r="E86" s="5221"/>
      <c r="F86" s="5199"/>
      <c r="G86" s="5212"/>
      <c r="H86" s="5220"/>
      <c r="I86" s="5220"/>
      <c r="J86" s="5239"/>
      <c r="K86" s="5243"/>
      <c r="L86" s="5195"/>
      <c r="M86" s="5195"/>
      <c r="N86" s="5236"/>
      <c r="O86" s="5166"/>
      <c r="P86" s="240"/>
      <c r="Q86" s="241"/>
      <c r="R86" s="241" t="s">
        <v>169</v>
      </c>
      <c r="S86" s="1752"/>
      <c r="T86" s="1752"/>
      <c r="U86" s="1752"/>
      <c r="V86" s="1752"/>
      <c r="W86" s="242"/>
      <c r="X86" s="1868"/>
      <c r="Y86" s="1178"/>
      <c r="Z86" s="1178"/>
      <c r="AA86" s="1178"/>
      <c r="AB86" s="1178"/>
      <c r="AC86" s="1178"/>
      <c r="AD86" s="1178"/>
      <c r="AE86" s="1178"/>
      <c r="AF86" s="1178"/>
      <c r="AG86" s="1178"/>
      <c r="AH86" s="1178"/>
      <c r="AI86" s="1178"/>
      <c r="AJ86" s="1178"/>
      <c r="AK86" s="1178"/>
      <c r="AL86" s="1868"/>
      <c r="AM86" s="1868"/>
      <c r="AN86" s="1868"/>
      <c r="AO86" s="1868"/>
      <c r="AP86" s="1868"/>
      <c r="AQ86" s="1868"/>
      <c r="AR86" s="1868"/>
    </row>
    <row r="87" spans="1:44" ht="17.25" customHeight="1">
      <c r="A87" s="1746"/>
      <c r="B87" s="1868"/>
      <c r="C87" s="1751"/>
      <c r="D87" s="5220"/>
      <c r="E87" s="5221"/>
      <c r="F87" s="5199"/>
      <c r="G87" s="5212"/>
      <c r="H87" s="5195"/>
      <c r="I87" s="5195"/>
      <c r="J87" s="5238"/>
      <c r="K87" s="5166"/>
      <c r="L87" s="240"/>
      <c r="M87" s="241"/>
      <c r="N87" s="241" t="s">
        <v>174</v>
      </c>
      <c r="O87" s="241"/>
      <c r="P87" s="241"/>
      <c r="Q87" s="241"/>
      <c r="R87" s="241"/>
      <c r="S87" s="1752"/>
      <c r="T87" s="1752"/>
      <c r="U87" s="1752"/>
      <c r="V87" s="1752"/>
      <c r="W87" s="242"/>
      <c r="X87" s="1868"/>
      <c r="Y87" s="1178"/>
      <c r="Z87" s="1178"/>
      <c r="AA87" s="1178"/>
      <c r="AB87" s="1178"/>
      <c r="AC87" s="1178"/>
      <c r="AD87" s="1178"/>
      <c r="AE87" s="1178"/>
      <c r="AF87" s="1178"/>
      <c r="AG87" s="1178"/>
      <c r="AH87" s="1178"/>
      <c r="AI87" s="1178"/>
      <c r="AJ87" s="1178"/>
      <c r="AK87" s="1178"/>
      <c r="AL87" s="1868"/>
      <c r="AM87" s="1868"/>
      <c r="AN87" s="1868"/>
      <c r="AO87" s="1868"/>
      <c r="AP87" s="1868"/>
      <c r="AQ87" s="1868"/>
      <c r="AR87" s="1868"/>
    </row>
    <row r="88" spans="1:44" s="1898" customFormat="1" ht="17.25" customHeight="1">
      <c r="A88" s="244"/>
      <c r="C88" s="243"/>
      <c r="D88" s="5195"/>
      <c r="E88" s="5197"/>
      <c r="F88" s="5200"/>
      <c r="G88" s="5211"/>
      <c r="H88" s="1963"/>
      <c r="I88" s="1964"/>
      <c r="J88" s="1965" t="s">
        <v>215</v>
      </c>
      <c r="K88" s="1966"/>
      <c r="L88" s="1967"/>
      <c r="M88" s="1968"/>
      <c r="N88" s="1969"/>
      <c r="O88" s="1970"/>
      <c r="P88" s="1971"/>
      <c r="Q88" s="1972"/>
      <c r="R88" s="1973"/>
      <c r="S88" s="1974"/>
      <c r="T88" s="1975"/>
      <c r="U88" s="1976"/>
      <c r="V88" s="1977"/>
      <c r="W88" s="1978"/>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4" s="1898" customFormat="1" ht="17.25" customHeight="1">
      <c r="A89" s="244"/>
      <c r="C89" s="130"/>
      <c r="D89" s="5194">
        <v>4</v>
      </c>
      <c r="E89" s="5196" t="s">
        <v>266</v>
      </c>
      <c r="F89" s="5198" t="s">
        <v>62</v>
      </c>
      <c r="G89" s="5210" t="str">
        <f>"Производство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89" s="5234"/>
      <c r="I89" s="5234"/>
      <c r="J89" s="5237" t="s">
        <v>267</v>
      </c>
      <c r="K89" s="5240" t="s">
        <v>62</v>
      </c>
      <c r="L89" s="5162"/>
      <c r="M89" s="5162" t="s">
        <v>114</v>
      </c>
      <c r="N89" s="5235" t="str">
        <f>IF(Z89="","",INDEX(TERRITORY_MR_LIST,MATCH(Z89,TERRITORY_LIST_ID,0)))</f>
        <v>Территория 1</v>
      </c>
      <c r="O89" s="5240" t="s">
        <v>62</v>
      </c>
      <c r="P89" s="5162"/>
      <c r="Q89" s="5162" t="s">
        <v>114</v>
      </c>
      <c r="R89" s="5242" t="s">
        <v>160</v>
      </c>
      <c r="S89" s="5161" t="s">
        <v>62</v>
      </c>
      <c r="T89" s="1853"/>
      <c r="U89" s="1853" t="s">
        <v>114</v>
      </c>
      <c r="V89" s="1854" t="s">
        <v>161</v>
      </c>
      <c r="W89" s="1852"/>
      <c r="X89" s="1185"/>
      <c r="Y89" s="1185"/>
      <c r="Z89" s="1185" t="s">
        <v>93</v>
      </c>
      <c r="AA89" s="1185"/>
      <c r="AB89" s="1185" t="s">
        <v>268</v>
      </c>
      <c r="AC89" s="1185" t="s">
        <v>269</v>
      </c>
      <c r="AD89" s="1185" t="s">
        <v>270</v>
      </c>
      <c r="AE89" s="1185" t="s">
        <v>271</v>
      </c>
      <c r="AF89" s="1185" t="s">
        <v>272</v>
      </c>
      <c r="AG89" s="1185" t="s">
        <v>273</v>
      </c>
      <c r="AH89"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89"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89" s="1185" t="str">
        <f>IF($J$89=0,"",$J$89)</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AK89" s="1185" t="str">
        <f>IF($K$89="нет","без дифференциации",IF($N$89=0,"",$N$89))</f>
        <v>Территория 1</v>
      </c>
      <c r="AL89" s="1185" t="str">
        <f>IF($O$89="нет","без дифференциации",IF($R$89=0,"",$R$89))</f>
        <v xml:space="preserve">открытая система теплоснабжения г. Апатиты
</v>
      </c>
      <c r="AM89" s="1185" t="str">
        <f>IF($S$89="нет","без дифференциации",IF($V$89=0,"",$V$89))</f>
        <v>Апатитская ТЭЦ</v>
      </c>
      <c r="AN89" s="1680">
        <f>$I$89</f>
        <v>0</v>
      </c>
      <c r="AO89" s="1185" t="str">
        <f>$I$89&amp;"."&amp;$M$89</f>
        <v>.1</v>
      </c>
      <c r="AP89" s="1178" t="str">
        <f>$I$89&amp;"."&amp;$M$89&amp;"."&amp;$Q$89</f>
        <v>.1.1</v>
      </c>
      <c r="AQ89" s="1178" t="str">
        <f>$I$89&amp;"."&amp;$M$89&amp;"."&amp;$Q$89&amp;"."&amp;$U$89</f>
        <v>.1.1.1</v>
      </c>
    </row>
    <row r="90" spans="1:44" s="1898" customFormat="1" ht="17.25" customHeight="1">
      <c r="A90" s="244"/>
      <c r="C90" s="243"/>
      <c r="D90" s="5194"/>
      <c r="E90" s="5196"/>
      <c r="F90" s="5199"/>
      <c r="G90" s="5210"/>
      <c r="H90" s="5234"/>
      <c r="I90" s="5234"/>
      <c r="J90" s="5237"/>
      <c r="K90" s="5241"/>
      <c r="L90" s="5162"/>
      <c r="M90" s="5162"/>
      <c r="N90" s="5235"/>
      <c r="O90" s="5241"/>
      <c r="P90" s="5162"/>
      <c r="Q90" s="5162"/>
      <c r="R90" s="5242" t="s">
        <v>24</v>
      </c>
      <c r="S90" s="5161"/>
      <c r="T90" s="1979"/>
      <c r="U90" s="1980"/>
      <c r="V90" s="1981" t="s">
        <v>168</v>
      </c>
      <c r="W90" s="1982"/>
      <c r="X90" s="1178"/>
      <c r="Y90" s="1178"/>
      <c r="Z90" s="1178"/>
      <c r="AA90" s="1178"/>
      <c r="AB90" s="1178"/>
      <c r="AC90" s="1178"/>
      <c r="AD90" s="1178"/>
      <c r="AE90" s="1178"/>
      <c r="AF90" s="1178"/>
      <c r="AG90" s="1178"/>
      <c r="AH90" s="1178"/>
      <c r="AI90" s="1178"/>
      <c r="AJ90" s="1178"/>
      <c r="AK90" s="1178"/>
      <c r="AL90" s="1178"/>
      <c r="AM90" s="1178"/>
      <c r="AN90" s="1178"/>
      <c r="AO90" s="1178"/>
      <c r="AP90" s="1178"/>
      <c r="AQ90" s="1178"/>
    </row>
    <row r="91" spans="1:44" s="1898" customFormat="1" ht="17.25" customHeight="1">
      <c r="A91" s="244"/>
      <c r="C91" s="243"/>
      <c r="D91" s="5195"/>
      <c r="E91" s="5197"/>
      <c r="F91" s="5199"/>
      <c r="G91" s="5211"/>
      <c r="H91" s="5195"/>
      <c r="I91" s="5195"/>
      <c r="J91" s="5238"/>
      <c r="K91" s="5241"/>
      <c r="L91" s="5195"/>
      <c r="M91" s="5195"/>
      <c r="N91" s="5236"/>
      <c r="O91" s="5166"/>
      <c r="P91" s="1983"/>
      <c r="Q91" s="1984"/>
      <c r="R91" s="1985" t="s">
        <v>169</v>
      </c>
      <c r="S91" s="1986"/>
      <c r="T91" s="1987"/>
      <c r="U91" s="1988"/>
      <c r="V91" s="1989"/>
      <c r="W91" s="1990"/>
      <c r="X91" s="1178"/>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4" s="1898" customFormat="1" ht="17.25" customHeight="1">
      <c r="A92" s="244"/>
      <c r="C92" s="243"/>
      <c r="D92" s="5195"/>
      <c r="E92" s="5197"/>
      <c r="F92" s="5199"/>
      <c r="G92" s="5211"/>
      <c r="H92" s="5195"/>
      <c r="I92" s="5195"/>
      <c r="J92" s="5238"/>
      <c r="K92" s="5166"/>
      <c r="L92" s="1991"/>
      <c r="M92" s="1992"/>
      <c r="N92" s="1993" t="s">
        <v>174</v>
      </c>
      <c r="O92" s="1994"/>
      <c r="P92" s="1995"/>
      <c r="Q92" s="1996"/>
      <c r="R92" s="1997"/>
      <c r="S92" s="1998"/>
      <c r="T92" s="1999"/>
      <c r="U92" s="2000"/>
      <c r="V92" s="2001"/>
      <c r="W92" s="2002"/>
      <c r="X92" s="1178"/>
      <c r="Y92" s="1178"/>
      <c r="Z92" s="1178"/>
      <c r="AA92" s="1178"/>
      <c r="AB92" s="1178"/>
      <c r="AC92" s="1178"/>
      <c r="AD92" s="1178"/>
      <c r="AE92" s="1178"/>
      <c r="AF92" s="1178"/>
      <c r="AG92" s="1178"/>
      <c r="AH92" s="1178"/>
      <c r="AI92" s="1178"/>
      <c r="AJ92" s="1178"/>
      <c r="AK92" s="1178"/>
      <c r="AL92" s="1178"/>
      <c r="AM92" s="1178"/>
      <c r="AN92" s="1178"/>
      <c r="AO92" s="1178"/>
      <c r="AP92" s="1178"/>
      <c r="AQ92" s="1178"/>
    </row>
    <row r="93" spans="1:44" ht="17.25" customHeight="1">
      <c r="A93" s="1746"/>
      <c r="B93" s="1868"/>
      <c r="C93" s="1748"/>
      <c r="D93" s="5220"/>
      <c r="E93" s="5221"/>
      <c r="F93" s="5199"/>
      <c r="G93" s="5212"/>
      <c r="H93" s="5234" t="s">
        <v>99</v>
      </c>
      <c r="I93" s="5234" t="s">
        <v>98</v>
      </c>
      <c r="J93" s="5237" t="s">
        <v>274</v>
      </c>
      <c r="K93" s="5240" t="s">
        <v>62</v>
      </c>
      <c r="L93" s="5162"/>
      <c r="M93" s="5162" t="s">
        <v>114</v>
      </c>
      <c r="N93" s="5235" t="str">
        <f>IF(Z93="","",INDEX(TERRITORY_MR_LIST,MATCH(Z93,TERRITORY_LIST_ID,0)))</f>
        <v>Территория 1</v>
      </c>
      <c r="O93" s="5240" t="s">
        <v>62</v>
      </c>
      <c r="P93" s="5162"/>
      <c r="Q93" s="5162" t="s">
        <v>114</v>
      </c>
      <c r="R93" s="5242" t="s">
        <v>160</v>
      </c>
      <c r="S93" s="5161" t="s">
        <v>62</v>
      </c>
      <c r="T93" s="1719"/>
      <c r="U93" s="1719" t="s">
        <v>114</v>
      </c>
      <c r="V93" s="1749" t="s">
        <v>161</v>
      </c>
      <c r="W93" s="1709"/>
      <c r="X93" s="1868"/>
      <c r="Y93" s="1185"/>
      <c r="Z93" s="1185" t="s">
        <v>93</v>
      </c>
      <c r="AA93" s="1185"/>
      <c r="AB93" s="1185"/>
      <c r="AC93" s="1869" t="s">
        <v>269</v>
      </c>
      <c r="AD93" s="1185" t="s">
        <v>275</v>
      </c>
      <c r="AE93" s="1185" t="s">
        <v>276</v>
      </c>
      <c r="AF93" s="1185" t="s">
        <v>277</v>
      </c>
      <c r="AG93" s="1185" t="s">
        <v>278</v>
      </c>
      <c r="AH93"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93"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93" s="1185" t="str">
        <f>IF($J$93=0,"",$J$93)</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AK93" s="1185" t="str">
        <f>IF($K$93="нет","без дифференциации",IF($N$93=0,"",$N$93))</f>
        <v>Территория 1</v>
      </c>
      <c r="AL93" s="1750" t="str">
        <f>IF($O$93="нет","без дифференциации",IF($R$93=0,"",$R$93))</f>
        <v xml:space="preserve">открытая система теплоснабжения г. Апатиты
</v>
      </c>
      <c r="AM93" s="1750" t="str">
        <f>IF($S$93="нет","без дифференциации",IF($V$93=0,"",$V$93))</f>
        <v>Апатитская ТЭЦ</v>
      </c>
      <c r="AN93" s="1185" t="str">
        <f>$I$93</f>
        <v>2</v>
      </c>
      <c r="AO93" s="1185" t="str">
        <f>$I$93&amp;"."&amp;$M$93</f>
        <v>2.1</v>
      </c>
      <c r="AP93" s="1185" t="str">
        <f>$I$93&amp;"."&amp;$M$93&amp;"."&amp;$Q$93</f>
        <v>2.1.1</v>
      </c>
      <c r="AQ93" s="1185" t="str">
        <f>$I$93&amp;"."&amp;$M$93&amp;"."&amp;$Q$93&amp;"."&amp;$U$93</f>
        <v>2.1.1.1</v>
      </c>
      <c r="AR93" s="1868"/>
    </row>
    <row r="94" spans="1:44" ht="17.25" customHeight="1">
      <c r="A94" s="1746"/>
      <c r="B94" s="1868"/>
      <c r="C94" s="1751"/>
      <c r="D94" s="5220"/>
      <c r="E94" s="5221"/>
      <c r="F94" s="5199"/>
      <c r="G94" s="5212"/>
      <c r="H94" s="5234"/>
      <c r="I94" s="5234"/>
      <c r="J94" s="5237"/>
      <c r="K94" s="5241"/>
      <c r="L94" s="5162"/>
      <c r="M94" s="5162"/>
      <c r="N94" s="5235"/>
      <c r="O94" s="5241"/>
      <c r="P94" s="5162"/>
      <c r="Q94" s="5162"/>
      <c r="R94" s="5242" t="s">
        <v>24</v>
      </c>
      <c r="S94" s="5161"/>
      <c r="T94" s="240"/>
      <c r="U94" s="241"/>
      <c r="V94" s="241" t="s">
        <v>168</v>
      </c>
      <c r="W94" s="242"/>
      <c r="X94" s="1868"/>
      <c r="Y94" s="1178"/>
      <c r="Z94" s="1178"/>
      <c r="AA94" s="1178"/>
      <c r="AB94" s="1178"/>
      <c r="AC94" s="1178"/>
      <c r="AD94" s="1178"/>
      <c r="AE94" s="1178"/>
      <c r="AF94" s="1178"/>
      <c r="AG94" s="1178"/>
      <c r="AH94" s="1178"/>
      <c r="AI94" s="1178"/>
      <c r="AJ94" s="1178"/>
      <c r="AK94" s="1178"/>
      <c r="AL94" s="1868"/>
      <c r="AM94" s="1868"/>
      <c r="AN94" s="1868"/>
      <c r="AO94" s="1868"/>
      <c r="AP94" s="1868"/>
      <c r="AQ94" s="1868"/>
      <c r="AR94" s="1868"/>
    </row>
    <row r="95" spans="1:44" ht="17.25" customHeight="1">
      <c r="A95" s="1746"/>
      <c r="B95" s="1868"/>
      <c r="C95" s="1751"/>
      <c r="D95" s="5220"/>
      <c r="E95" s="5221"/>
      <c r="F95" s="5199"/>
      <c r="G95" s="5212"/>
      <c r="H95" s="5195"/>
      <c r="I95" s="5195"/>
      <c r="J95" s="5238"/>
      <c r="K95" s="5241"/>
      <c r="L95" s="5195"/>
      <c r="M95" s="5195"/>
      <c r="N95" s="5236"/>
      <c r="O95" s="5166"/>
      <c r="P95" s="240"/>
      <c r="Q95" s="241"/>
      <c r="R95" s="241" t="s">
        <v>169</v>
      </c>
      <c r="S95" s="1752"/>
      <c r="T95" s="1752"/>
      <c r="U95" s="1752"/>
      <c r="V95" s="1752"/>
      <c r="W95" s="242"/>
      <c r="X95" s="1868"/>
      <c r="Y95" s="1178"/>
      <c r="Z95" s="1178"/>
      <c r="AA95" s="1178"/>
      <c r="AB95" s="1178"/>
      <c r="AC95" s="1178"/>
      <c r="AD95" s="1178"/>
      <c r="AE95" s="1178"/>
      <c r="AF95" s="1178"/>
      <c r="AG95" s="1178"/>
      <c r="AH95" s="1178"/>
      <c r="AI95" s="1178"/>
      <c r="AJ95" s="1178"/>
      <c r="AK95" s="1178"/>
      <c r="AL95" s="1868"/>
      <c r="AM95" s="1868"/>
      <c r="AN95" s="1868"/>
      <c r="AO95" s="1868"/>
      <c r="AP95" s="1868"/>
      <c r="AQ95" s="1868"/>
      <c r="AR95" s="1868"/>
    </row>
    <row r="96" spans="1:44" ht="17.25" customHeight="1">
      <c r="A96" s="1746"/>
      <c r="B96" s="1868"/>
      <c r="C96" s="1751"/>
      <c r="D96" s="5220"/>
      <c r="E96" s="5221"/>
      <c r="F96" s="5199"/>
      <c r="G96" s="5212"/>
      <c r="H96" s="5195"/>
      <c r="I96" s="5195"/>
      <c r="J96" s="5238"/>
      <c r="K96" s="5166"/>
      <c r="L96" s="240"/>
      <c r="M96" s="241"/>
      <c r="N96" s="241" t="s">
        <v>174</v>
      </c>
      <c r="O96" s="241"/>
      <c r="P96" s="241"/>
      <c r="Q96" s="241"/>
      <c r="R96" s="241"/>
      <c r="S96" s="1752"/>
      <c r="T96" s="1752"/>
      <c r="U96" s="1752"/>
      <c r="V96" s="1752"/>
      <c r="W96" s="242"/>
      <c r="X96" s="1868"/>
      <c r="Y96" s="1178"/>
      <c r="Z96" s="1178"/>
      <c r="AA96" s="1178"/>
      <c r="AB96" s="1178"/>
      <c r="AC96" s="1178"/>
      <c r="AD96" s="1178"/>
      <c r="AE96" s="1178"/>
      <c r="AF96" s="1178"/>
      <c r="AG96" s="1178"/>
      <c r="AH96" s="1178"/>
      <c r="AI96" s="1178"/>
      <c r="AJ96" s="1178"/>
      <c r="AK96" s="1178"/>
      <c r="AL96" s="1868"/>
      <c r="AM96" s="1868"/>
      <c r="AN96" s="1868"/>
      <c r="AO96" s="1868"/>
      <c r="AP96" s="1868"/>
      <c r="AQ96" s="1868"/>
      <c r="AR96" s="1868"/>
    </row>
    <row r="97" spans="1:44" ht="17.25" customHeight="1">
      <c r="A97" s="1746"/>
      <c r="B97" s="1868"/>
      <c r="C97" s="1748"/>
      <c r="D97" s="5220"/>
      <c r="E97" s="5221"/>
      <c r="F97" s="5199"/>
      <c r="G97" s="5212"/>
      <c r="H97" s="5234" t="s">
        <v>99</v>
      </c>
      <c r="I97" s="5234" t="s">
        <v>85</v>
      </c>
      <c r="J97" s="5237" t="s">
        <v>279</v>
      </c>
      <c r="K97" s="5240" t="s">
        <v>62</v>
      </c>
      <c r="L97" s="5162"/>
      <c r="M97" s="5162" t="s">
        <v>114</v>
      </c>
      <c r="N97" s="5235" t="str">
        <f>IF(Z97="","",INDEX(TERRITORY_MR_LIST,MATCH(Z97,TERRITORY_LIST_ID,0)))</f>
        <v>Территория 1</v>
      </c>
      <c r="O97" s="5240" t="s">
        <v>62</v>
      </c>
      <c r="P97" s="5162"/>
      <c r="Q97" s="5162" t="s">
        <v>114</v>
      </c>
      <c r="R97" s="5242" t="s">
        <v>160</v>
      </c>
      <c r="S97" s="5161" t="s">
        <v>62</v>
      </c>
      <c r="T97" s="1719"/>
      <c r="U97" s="1719" t="s">
        <v>114</v>
      </c>
      <c r="V97" s="1749" t="s">
        <v>161</v>
      </c>
      <c r="W97" s="1709"/>
      <c r="X97" s="1868"/>
      <c r="Y97" s="1185"/>
      <c r="Z97" s="1185" t="s">
        <v>93</v>
      </c>
      <c r="AA97" s="1185"/>
      <c r="AB97" s="1185"/>
      <c r="AC97" s="1869" t="s">
        <v>269</v>
      </c>
      <c r="AD97" s="1185" t="s">
        <v>280</v>
      </c>
      <c r="AE97" s="1185" t="s">
        <v>281</v>
      </c>
      <c r="AF97" s="1185" t="s">
        <v>282</v>
      </c>
      <c r="AG97" s="1185" t="s">
        <v>283</v>
      </c>
      <c r="AH97"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97"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97" s="1185" t="str">
        <f>IF($J$97=0,"",$J$97)</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AK97" s="1185" t="str">
        <f>IF($K$97="нет","без дифференциации",IF($N$97=0,"",$N$97))</f>
        <v>Территория 1</v>
      </c>
      <c r="AL97" s="1750" t="str">
        <f>IF($O$97="нет","без дифференциации",IF($R$97=0,"",$R$97))</f>
        <v xml:space="preserve">открытая система теплоснабжения г. Апатиты
</v>
      </c>
      <c r="AM97" s="1750" t="str">
        <f>IF($S$97="нет","без дифференциации",IF($V$97=0,"",$V$97))</f>
        <v>Апатитская ТЭЦ</v>
      </c>
      <c r="AN97" s="1185" t="str">
        <f>$I$97</f>
        <v>3</v>
      </c>
      <c r="AO97" s="1185" t="str">
        <f>$I$97&amp;"."&amp;$M$97</f>
        <v>3.1</v>
      </c>
      <c r="AP97" s="1185" t="str">
        <f>$I$97&amp;"."&amp;$M$97&amp;"."&amp;$Q$97</f>
        <v>3.1.1</v>
      </c>
      <c r="AQ97" s="1185" t="str">
        <f>$I$97&amp;"."&amp;$M$97&amp;"."&amp;$Q$97&amp;"."&amp;$U$97</f>
        <v>3.1.1.1</v>
      </c>
      <c r="AR97" s="1868"/>
    </row>
    <row r="98" spans="1:44" ht="17.25" customHeight="1">
      <c r="A98" s="1746"/>
      <c r="B98" s="1868"/>
      <c r="C98" s="1751"/>
      <c r="D98" s="5220"/>
      <c r="E98" s="5221"/>
      <c r="F98" s="5199"/>
      <c r="G98" s="5212"/>
      <c r="H98" s="5234"/>
      <c r="I98" s="5234"/>
      <c r="J98" s="5237"/>
      <c r="K98" s="5241"/>
      <c r="L98" s="5162"/>
      <c r="M98" s="5162"/>
      <c r="N98" s="5235"/>
      <c r="O98" s="5241"/>
      <c r="P98" s="5162"/>
      <c r="Q98" s="5162"/>
      <c r="R98" s="5242" t="s">
        <v>24</v>
      </c>
      <c r="S98" s="5161"/>
      <c r="T98" s="240"/>
      <c r="U98" s="241"/>
      <c r="V98" s="241" t="s">
        <v>168</v>
      </c>
      <c r="W98" s="242"/>
      <c r="X98" s="1868"/>
      <c r="Y98" s="1178"/>
      <c r="Z98" s="1178"/>
      <c r="AA98" s="1178"/>
      <c r="AB98" s="1178"/>
      <c r="AC98" s="1178"/>
      <c r="AD98" s="1178"/>
      <c r="AE98" s="1178"/>
      <c r="AF98" s="1178"/>
      <c r="AG98" s="1178"/>
      <c r="AH98" s="1178"/>
      <c r="AI98" s="1178"/>
      <c r="AJ98" s="1178"/>
      <c r="AK98" s="1178"/>
      <c r="AL98" s="1868"/>
      <c r="AM98" s="1868"/>
      <c r="AN98" s="1868"/>
      <c r="AO98" s="1868"/>
      <c r="AP98" s="1868"/>
      <c r="AQ98" s="1868"/>
      <c r="AR98" s="1868"/>
    </row>
    <row r="99" spans="1:44" ht="17.25" customHeight="1">
      <c r="A99" s="1746"/>
      <c r="B99" s="1868"/>
      <c r="C99" s="1751"/>
      <c r="D99" s="5220"/>
      <c r="E99" s="5221"/>
      <c r="F99" s="5199"/>
      <c r="G99" s="5212"/>
      <c r="H99" s="5195"/>
      <c r="I99" s="5195"/>
      <c r="J99" s="5238"/>
      <c r="K99" s="5241"/>
      <c r="L99" s="5195"/>
      <c r="M99" s="5195"/>
      <c r="N99" s="5236"/>
      <c r="O99" s="5166"/>
      <c r="P99" s="240"/>
      <c r="Q99" s="241"/>
      <c r="R99" s="241" t="s">
        <v>169</v>
      </c>
      <c r="S99" s="1752"/>
      <c r="T99" s="1752"/>
      <c r="U99" s="1752"/>
      <c r="V99" s="1752"/>
      <c r="W99" s="242"/>
      <c r="X99" s="1868"/>
      <c r="Y99" s="1178"/>
      <c r="Z99" s="1178"/>
      <c r="AA99" s="1178"/>
      <c r="AB99" s="1178"/>
      <c r="AC99" s="1178"/>
      <c r="AD99" s="1178"/>
      <c r="AE99" s="1178"/>
      <c r="AF99" s="1178"/>
      <c r="AG99" s="1178"/>
      <c r="AH99" s="1178"/>
      <c r="AI99" s="1178"/>
      <c r="AJ99" s="1178"/>
      <c r="AK99" s="1178"/>
      <c r="AL99" s="1868"/>
      <c r="AM99" s="1868"/>
      <c r="AN99" s="1868"/>
      <c r="AO99" s="1868"/>
      <c r="AP99" s="1868"/>
      <c r="AQ99" s="1868"/>
      <c r="AR99" s="1868"/>
    </row>
    <row r="100" spans="1:44" ht="17.25" customHeight="1">
      <c r="A100" s="1746"/>
      <c r="B100" s="1868"/>
      <c r="C100" s="1751"/>
      <c r="D100" s="5220"/>
      <c r="E100" s="5221"/>
      <c r="F100" s="5199"/>
      <c r="G100" s="5212"/>
      <c r="H100" s="5195"/>
      <c r="I100" s="5195"/>
      <c r="J100" s="5238"/>
      <c r="K100" s="5166"/>
      <c r="L100" s="240"/>
      <c r="M100" s="241"/>
      <c r="N100" s="241" t="s">
        <v>174</v>
      </c>
      <c r="O100" s="241"/>
      <c r="P100" s="241"/>
      <c r="Q100" s="241"/>
      <c r="R100" s="241"/>
      <c r="S100" s="1752"/>
      <c r="T100" s="1752"/>
      <c r="U100" s="1752"/>
      <c r="V100" s="1752"/>
      <c r="W100" s="242"/>
      <c r="X100" s="1868"/>
      <c r="Y100" s="1178"/>
      <c r="Z100" s="1178"/>
      <c r="AA100" s="1178"/>
      <c r="AB100" s="1178"/>
      <c r="AC100" s="1178"/>
      <c r="AD100" s="1178"/>
      <c r="AE100" s="1178"/>
      <c r="AF100" s="1178"/>
      <c r="AG100" s="1178"/>
      <c r="AH100" s="1178"/>
      <c r="AI100" s="1178"/>
      <c r="AJ100" s="1178"/>
      <c r="AK100" s="1178"/>
      <c r="AL100" s="1868"/>
      <c r="AM100" s="1868"/>
      <c r="AN100" s="1868"/>
      <c r="AO100" s="1868"/>
      <c r="AP100" s="1868"/>
      <c r="AQ100" s="1868"/>
      <c r="AR100" s="1868"/>
    </row>
    <row r="101" spans="1:44" ht="17.25" customHeight="1">
      <c r="A101" s="1746"/>
      <c r="B101" s="1868"/>
      <c r="C101" s="1748"/>
      <c r="D101" s="5220"/>
      <c r="E101" s="5221"/>
      <c r="F101" s="5199"/>
      <c r="G101" s="5212"/>
      <c r="H101" s="5234" t="s">
        <v>99</v>
      </c>
      <c r="I101" s="5234" t="s">
        <v>86</v>
      </c>
      <c r="J101" s="5237" t="s">
        <v>284</v>
      </c>
      <c r="K101" s="5240" t="s">
        <v>62</v>
      </c>
      <c r="L101" s="5162"/>
      <c r="M101" s="5162" t="s">
        <v>114</v>
      </c>
      <c r="N101" s="5235" t="str">
        <f>IF(Z101="","",INDEX(TERRITORY_MR_LIST,MATCH(Z101,TERRITORY_LIST_ID,0)))</f>
        <v>Территория 2</v>
      </c>
      <c r="O101" s="5240" t="s">
        <v>62</v>
      </c>
      <c r="P101" s="5162"/>
      <c r="Q101" s="5162" t="s">
        <v>114</v>
      </c>
      <c r="R101" s="5242" t="s">
        <v>170</v>
      </c>
      <c r="S101" s="5161" t="s">
        <v>62</v>
      </c>
      <c r="T101" s="1719"/>
      <c r="U101" s="1719" t="s">
        <v>114</v>
      </c>
      <c r="V101" s="1749" t="s">
        <v>161</v>
      </c>
      <c r="W101" s="1709"/>
      <c r="X101" s="1868"/>
      <c r="Y101" s="1185"/>
      <c r="Z101" s="1185" t="s">
        <v>100</v>
      </c>
      <c r="AA101" s="1185"/>
      <c r="AB101" s="1185"/>
      <c r="AC101" s="1869" t="s">
        <v>269</v>
      </c>
      <c r="AD101" s="1185" t="s">
        <v>285</v>
      </c>
      <c r="AE101" s="1185" t="s">
        <v>286</v>
      </c>
      <c r="AF101" s="1185" t="s">
        <v>287</v>
      </c>
      <c r="AG101" s="1185" t="s">
        <v>288</v>
      </c>
      <c r="AH101"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101"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101" s="1185" t="str">
        <f>IF($J$101=0,"",$J$101)</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AK101" s="1185" t="str">
        <f>IF($K$101="нет","без дифференциации",IF($N$101=0,"",$N$101))</f>
        <v>Территория 2</v>
      </c>
      <c r="AL101" s="1750" t="str">
        <f>IF($O$101="нет","без дифференциации",IF($R$101=0,"",$R$101))</f>
        <v>открытая система теплоснабжения г. Кировск</v>
      </c>
      <c r="AM101" s="1750" t="str">
        <f>IF($S$101="нет","без дифференциации",IF($V$101=0,"",$V$101))</f>
        <v>Апатитская ТЭЦ</v>
      </c>
      <c r="AN101" s="1185" t="str">
        <f>$I$101</f>
        <v>4</v>
      </c>
      <c r="AO101" s="1185" t="str">
        <f>$I$101&amp;"."&amp;$M$101</f>
        <v>4.1</v>
      </c>
      <c r="AP101" s="1185" t="str">
        <f>$I$101&amp;"."&amp;$M$101&amp;"."&amp;$Q$101</f>
        <v>4.1.1</v>
      </c>
      <c r="AQ101" s="1185" t="str">
        <f>$I$101&amp;"."&amp;$M$101&amp;"."&amp;$Q$101&amp;"."&amp;$U$101</f>
        <v>4.1.1.1</v>
      </c>
      <c r="AR101" s="1868"/>
    </row>
    <row r="102" spans="1:44" ht="17.25" customHeight="1">
      <c r="A102" s="1746"/>
      <c r="B102" s="1868"/>
      <c r="C102" s="1751"/>
      <c r="D102" s="5220"/>
      <c r="E102" s="5221"/>
      <c r="F102" s="5199"/>
      <c r="G102" s="5212"/>
      <c r="H102" s="5234"/>
      <c r="I102" s="5234"/>
      <c r="J102" s="5237"/>
      <c r="K102" s="5241"/>
      <c r="L102" s="5162"/>
      <c r="M102" s="5162"/>
      <c r="N102" s="5235"/>
      <c r="O102" s="5241"/>
      <c r="P102" s="5162"/>
      <c r="Q102" s="5162"/>
      <c r="R102" s="5242" t="s">
        <v>24</v>
      </c>
      <c r="S102" s="5161"/>
      <c r="T102" s="240"/>
      <c r="U102" s="241"/>
      <c r="V102" s="241" t="s">
        <v>168</v>
      </c>
      <c r="W102" s="242"/>
      <c r="X102" s="1868"/>
      <c r="Y102" s="1178"/>
      <c r="Z102" s="1178"/>
      <c r="AA102" s="1178"/>
      <c r="AB102" s="1178"/>
      <c r="AC102" s="1178"/>
      <c r="AD102" s="1178"/>
      <c r="AE102" s="1178"/>
      <c r="AF102" s="1178"/>
      <c r="AG102" s="1178"/>
      <c r="AH102" s="1178"/>
      <c r="AI102" s="1178"/>
      <c r="AJ102" s="1178"/>
      <c r="AK102" s="1178"/>
      <c r="AL102" s="1868"/>
      <c r="AM102" s="1868"/>
      <c r="AN102" s="1868"/>
      <c r="AO102" s="1868"/>
      <c r="AP102" s="1868"/>
      <c r="AQ102" s="1868"/>
      <c r="AR102" s="1868"/>
    </row>
    <row r="103" spans="1:44" ht="17.25" customHeight="1">
      <c r="A103" s="1746"/>
      <c r="B103" s="1868"/>
      <c r="C103" s="1751"/>
      <c r="D103" s="5220"/>
      <c r="E103" s="5221"/>
      <c r="F103" s="5199"/>
      <c r="G103" s="5212"/>
      <c r="H103" s="5195"/>
      <c r="I103" s="5195"/>
      <c r="J103" s="5238"/>
      <c r="K103" s="5241"/>
      <c r="L103" s="5195"/>
      <c r="M103" s="5195"/>
      <c r="N103" s="5236"/>
      <c r="O103" s="5166"/>
      <c r="P103" s="240"/>
      <c r="Q103" s="241"/>
      <c r="R103" s="241" t="s">
        <v>169</v>
      </c>
      <c r="S103" s="1752"/>
      <c r="T103" s="1752"/>
      <c r="U103" s="1752"/>
      <c r="V103" s="1752"/>
      <c r="W103" s="242"/>
      <c r="X103" s="1868"/>
      <c r="Y103" s="1178"/>
      <c r="Z103" s="1178"/>
      <c r="AA103" s="1178"/>
      <c r="AB103" s="1178"/>
      <c r="AC103" s="1178"/>
      <c r="AD103" s="1178"/>
      <c r="AE103" s="1178"/>
      <c r="AF103" s="1178"/>
      <c r="AG103" s="1178"/>
      <c r="AH103" s="1178"/>
      <c r="AI103" s="1178"/>
      <c r="AJ103" s="1178"/>
      <c r="AK103" s="1178"/>
      <c r="AL103" s="1868"/>
      <c r="AM103" s="1868"/>
      <c r="AN103" s="1868"/>
      <c r="AO103" s="1868"/>
      <c r="AP103" s="1868"/>
      <c r="AQ103" s="1868"/>
      <c r="AR103" s="1868"/>
    </row>
    <row r="104" spans="1:44" ht="17.25" customHeight="1">
      <c r="A104" s="1746"/>
      <c r="B104" s="1868"/>
      <c r="C104" s="1751"/>
      <c r="D104" s="5220"/>
      <c r="E104" s="5221"/>
      <c r="F104" s="5199"/>
      <c r="G104" s="5212"/>
      <c r="H104" s="5195"/>
      <c r="I104" s="5195"/>
      <c r="J104" s="5238"/>
      <c r="K104" s="5166"/>
      <c r="L104" s="240"/>
      <c r="M104" s="241"/>
      <c r="N104" s="241" t="s">
        <v>174</v>
      </c>
      <c r="O104" s="241"/>
      <c r="P104" s="241"/>
      <c r="Q104" s="241"/>
      <c r="R104" s="241"/>
      <c r="S104" s="1752"/>
      <c r="T104" s="1752"/>
      <c r="U104" s="1752"/>
      <c r="V104" s="1752"/>
      <c r="W104" s="242"/>
      <c r="X104" s="1868"/>
      <c r="Y104" s="1178"/>
      <c r="Z104" s="1178"/>
      <c r="AA104" s="1178"/>
      <c r="AB104" s="1178"/>
      <c r="AC104" s="1178"/>
      <c r="AD104" s="1178"/>
      <c r="AE104" s="1178"/>
      <c r="AF104" s="1178"/>
      <c r="AG104" s="1178"/>
      <c r="AH104" s="1178"/>
      <c r="AI104" s="1178"/>
      <c r="AJ104" s="1178"/>
      <c r="AK104" s="1178"/>
      <c r="AL104" s="1868"/>
      <c r="AM104" s="1868"/>
      <c r="AN104" s="1868"/>
      <c r="AO104" s="1868"/>
      <c r="AP104" s="1868"/>
      <c r="AQ104" s="1868"/>
      <c r="AR104" s="1868"/>
    </row>
    <row r="105" spans="1:44" ht="17.25" customHeight="1">
      <c r="A105" s="1746"/>
      <c r="B105" s="1868"/>
      <c r="C105" s="1748"/>
      <c r="D105" s="5220"/>
      <c r="E105" s="5221"/>
      <c r="F105" s="5199"/>
      <c r="G105" s="5212"/>
      <c r="H105" s="5234" t="s">
        <v>99</v>
      </c>
      <c r="I105" s="5234" t="s">
        <v>115</v>
      </c>
      <c r="J105" s="5237" t="s">
        <v>289</v>
      </c>
      <c r="K105" s="5240" t="s">
        <v>62</v>
      </c>
      <c r="L105" s="5162"/>
      <c r="M105" s="5162" t="s">
        <v>114</v>
      </c>
      <c r="N105" s="5235" t="str">
        <f>IF(Z105="","",INDEX(TERRITORY_MR_LIST,MATCH(Z105,TERRITORY_LIST_ID,0)))</f>
        <v>Территория 1</v>
      </c>
      <c r="O105" s="5240" t="s">
        <v>62</v>
      </c>
      <c r="P105" s="5162"/>
      <c r="Q105" s="5162" t="s">
        <v>114</v>
      </c>
      <c r="R105" s="5242" t="s">
        <v>160</v>
      </c>
      <c r="S105" s="5161" t="s">
        <v>62</v>
      </c>
      <c r="T105" s="1719"/>
      <c r="U105" s="1719" t="s">
        <v>114</v>
      </c>
      <c r="V105" s="1749" t="s">
        <v>161</v>
      </c>
      <c r="W105" s="1709"/>
      <c r="X105" s="1868"/>
      <c r="Y105" s="1185"/>
      <c r="Z105" s="1185" t="s">
        <v>93</v>
      </c>
      <c r="AA105" s="1185"/>
      <c r="AB105" s="1185"/>
      <c r="AC105" s="1869" t="s">
        <v>269</v>
      </c>
      <c r="AD105" s="1185" t="s">
        <v>290</v>
      </c>
      <c r="AE105" s="1185" t="s">
        <v>291</v>
      </c>
      <c r="AF105" s="1185" t="s">
        <v>292</v>
      </c>
      <c r="AG105" s="1185" t="s">
        <v>293</v>
      </c>
      <c r="AH105"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105"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105" s="1185" t="str">
        <f>IF($J$105=0,"",$J$105)</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AK105" s="1185" t="str">
        <f>IF($K$105="нет","без дифференциации",IF($N$105=0,"",$N$105))</f>
        <v>Территория 1</v>
      </c>
      <c r="AL105" s="1750" t="str">
        <f>IF($O$105="нет","без дифференциации",IF($R$105=0,"",$R$105))</f>
        <v xml:space="preserve">открытая система теплоснабжения г. Апатиты
</v>
      </c>
      <c r="AM105" s="1750" t="str">
        <f>IF($S$105="нет","без дифференциации",IF($V$105=0,"",$V$105))</f>
        <v>Апатитская ТЭЦ</v>
      </c>
      <c r="AN105" s="1185" t="str">
        <f>$I$105</f>
        <v>5</v>
      </c>
      <c r="AO105" s="1185" t="str">
        <f>$I$105&amp;"."&amp;$M$105</f>
        <v>5.1</v>
      </c>
      <c r="AP105" s="1185" t="str">
        <f>$I$105&amp;"."&amp;$M$105&amp;"."&amp;$Q$105</f>
        <v>5.1.1</v>
      </c>
      <c r="AQ105" s="1185" t="str">
        <f>$I$105&amp;"."&amp;$M$105&amp;"."&amp;$Q$105&amp;"."&amp;$U$105</f>
        <v>5.1.1.1</v>
      </c>
      <c r="AR105" s="1868"/>
    </row>
    <row r="106" spans="1:44" ht="17.25" customHeight="1">
      <c r="A106" s="1746"/>
      <c r="B106" s="1868"/>
      <c r="C106" s="1751"/>
      <c r="D106" s="5220"/>
      <c r="E106" s="5221"/>
      <c r="F106" s="5199"/>
      <c r="G106" s="5212"/>
      <c r="H106" s="5234"/>
      <c r="I106" s="5234"/>
      <c r="J106" s="5237"/>
      <c r="K106" s="5241"/>
      <c r="L106" s="5162"/>
      <c r="M106" s="5162"/>
      <c r="N106" s="5235"/>
      <c r="O106" s="5241"/>
      <c r="P106" s="5162"/>
      <c r="Q106" s="5162"/>
      <c r="R106" s="5242" t="s">
        <v>24</v>
      </c>
      <c r="S106" s="5161"/>
      <c r="T106" s="240"/>
      <c r="U106" s="241"/>
      <c r="V106" s="241" t="s">
        <v>168</v>
      </c>
      <c r="W106" s="242"/>
      <c r="X106" s="1868"/>
      <c r="Y106" s="1178"/>
      <c r="Z106" s="1178"/>
      <c r="AA106" s="1178"/>
      <c r="AB106" s="1178"/>
      <c r="AC106" s="1178"/>
      <c r="AD106" s="1178"/>
      <c r="AE106" s="1178"/>
      <c r="AF106" s="1178"/>
      <c r="AG106" s="1178"/>
      <c r="AH106" s="1178"/>
      <c r="AI106" s="1178"/>
      <c r="AJ106" s="1178"/>
      <c r="AK106" s="1178"/>
      <c r="AL106" s="1868"/>
      <c r="AM106" s="1868"/>
      <c r="AN106" s="1868"/>
      <c r="AO106" s="1868"/>
      <c r="AP106" s="1868"/>
      <c r="AQ106" s="1868"/>
      <c r="AR106" s="1868"/>
    </row>
    <row r="107" spans="1:44" ht="17.25" customHeight="1">
      <c r="A107" s="1746"/>
      <c r="B107" s="1868"/>
      <c r="C107" s="1751"/>
      <c r="D107" s="5220"/>
      <c r="E107" s="5221"/>
      <c r="F107" s="5199"/>
      <c r="G107" s="5212"/>
      <c r="H107" s="5195"/>
      <c r="I107" s="5195"/>
      <c r="J107" s="5238"/>
      <c r="K107" s="5241"/>
      <c r="L107" s="5195"/>
      <c r="M107" s="5195"/>
      <c r="N107" s="5236"/>
      <c r="O107" s="5166"/>
      <c r="P107" s="240"/>
      <c r="Q107" s="241"/>
      <c r="R107" s="241" t="s">
        <v>169</v>
      </c>
      <c r="S107" s="1752"/>
      <c r="T107" s="1752"/>
      <c r="U107" s="1752"/>
      <c r="V107" s="1752"/>
      <c r="W107" s="242"/>
      <c r="X107" s="1868"/>
      <c r="Y107" s="1178"/>
      <c r="Z107" s="1178"/>
      <c r="AA107" s="1178"/>
      <c r="AB107" s="1178"/>
      <c r="AC107" s="1178"/>
      <c r="AD107" s="1178"/>
      <c r="AE107" s="1178"/>
      <c r="AF107" s="1178"/>
      <c r="AG107" s="1178"/>
      <c r="AH107" s="1178"/>
      <c r="AI107" s="1178"/>
      <c r="AJ107" s="1178"/>
      <c r="AK107" s="1178"/>
      <c r="AL107" s="1868"/>
      <c r="AM107" s="1868"/>
      <c r="AN107" s="1868"/>
      <c r="AO107" s="1868"/>
      <c r="AP107" s="1868"/>
      <c r="AQ107" s="1868"/>
      <c r="AR107" s="1868"/>
    </row>
    <row r="108" spans="1:44" ht="17.25" customHeight="1">
      <c r="A108" s="1746"/>
      <c r="B108" s="1868"/>
      <c r="C108" s="1751"/>
      <c r="D108" s="5220"/>
      <c r="E108" s="5221"/>
      <c r="F108" s="5199"/>
      <c r="G108" s="5212"/>
      <c r="H108" s="5195"/>
      <c r="I108" s="5195"/>
      <c r="J108" s="5238"/>
      <c r="K108" s="5166"/>
      <c r="L108" s="240"/>
      <c r="M108" s="241"/>
      <c r="N108" s="241" t="s">
        <v>174</v>
      </c>
      <c r="O108" s="241"/>
      <c r="P108" s="241"/>
      <c r="Q108" s="241"/>
      <c r="R108" s="241"/>
      <c r="S108" s="1752"/>
      <c r="T108" s="1752"/>
      <c r="U108" s="1752"/>
      <c r="V108" s="1752"/>
      <c r="W108" s="242"/>
      <c r="X108" s="1868"/>
      <c r="Y108" s="1178"/>
      <c r="Z108" s="1178"/>
      <c r="AA108" s="1178"/>
      <c r="AB108" s="1178"/>
      <c r="AC108" s="1178"/>
      <c r="AD108" s="1178"/>
      <c r="AE108" s="1178"/>
      <c r="AF108" s="1178"/>
      <c r="AG108" s="1178"/>
      <c r="AH108" s="1178"/>
      <c r="AI108" s="1178"/>
      <c r="AJ108" s="1178"/>
      <c r="AK108" s="1178"/>
      <c r="AL108" s="1868"/>
      <c r="AM108" s="1868"/>
      <c r="AN108" s="1868"/>
      <c r="AO108" s="1868"/>
      <c r="AP108" s="1868"/>
      <c r="AQ108" s="1868"/>
      <c r="AR108" s="1868"/>
    </row>
    <row r="109" spans="1:44" ht="17.25" customHeight="1">
      <c r="A109" s="1746"/>
      <c r="B109" s="1868"/>
      <c r="C109" s="1748"/>
      <c r="D109" s="5220"/>
      <c r="E109" s="5221"/>
      <c r="F109" s="5199"/>
      <c r="G109" s="5212"/>
      <c r="H109" s="5234" t="s">
        <v>99</v>
      </c>
      <c r="I109" s="5234" t="s">
        <v>87</v>
      </c>
      <c r="J109" s="5237" t="s">
        <v>294</v>
      </c>
      <c r="K109" s="5240" t="s">
        <v>62</v>
      </c>
      <c r="L109" s="5162"/>
      <c r="M109" s="5162" t="s">
        <v>114</v>
      </c>
      <c r="N109" s="5235" t="str">
        <f>IF(Z109="","",INDEX(TERRITORY_MR_LIST,MATCH(Z109,TERRITORY_LIST_ID,0)))</f>
        <v>Территория 2</v>
      </c>
      <c r="O109" s="5240" t="s">
        <v>62</v>
      </c>
      <c r="P109" s="5162"/>
      <c r="Q109" s="5162" t="s">
        <v>114</v>
      </c>
      <c r="R109" s="5242" t="s">
        <v>170</v>
      </c>
      <c r="S109" s="5161" t="s">
        <v>62</v>
      </c>
      <c r="T109" s="1719"/>
      <c r="U109" s="1719" t="s">
        <v>114</v>
      </c>
      <c r="V109" s="1749" t="s">
        <v>161</v>
      </c>
      <c r="W109" s="1709"/>
      <c r="X109" s="1868"/>
      <c r="Y109" s="1185"/>
      <c r="Z109" s="1185" t="s">
        <v>100</v>
      </c>
      <c r="AA109" s="1185"/>
      <c r="AB109" s="1185"/>
      <c r="AC109" s="1869" t="s">
        <v>269</v>
      </c>
      <c r="AD109" s="1185" t="s">
        <v>295</v>
      </c>
      <c r="AE109" s="1185" t="s">
        <v>296</v>
      </c>
      <c r="AF109" s="1185" t="s">
        <v>297</v>
      </c>
      <c r="AG109" s="1185" t="s">
        <v>298</v>
      </c>
      <c r="AH109" s="1185" t="str">
        <f>IF($E$89=0,"",$E$89)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109" s="1185" t="str">
        <f>IF($G$89=0,"",$G$89)</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109" s="1185" t="str">
        <f>IF($J$109=0,"",$J$109)</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AK109" s="1185" t="str">
        <f>IF($K$109="нет","без дифференциации",IF($N$109=0,"",$N$109))</f>
        <v>Территория 2</v>
      </c>
      <c r="AL109" s="1750" t="str">
        <f>IF($O$109="нет","без дифференциации",IF($R$109=0,"",$R$109))</f>
        <v>открытая система теплоснабжения г. Кировск</v>
      </c>
      <c r="AM109" s="1750" t="str">
        <f>IF($S$109="нет","без дифференциации",IF($V$109=0,"",$V$109))</f>
        <v>Апатитская ТЭЦ</v>
      </c>
      <c r="AN109" s="1185" t="str">
        <f>$I$109</f>
        <v>6</v>
      </c>
      <c r="AO109" s="1185" t="str">
        <f>$I$109&amp;"."&amp;$M$109</f>
        <v>6.1</v>
      </c>
      <c r="AP109" s="1185" t="str">
        <f>$I$109&amp;"."&amp;$M$109&amp;"."&amp;$Q$109</f>
        <v>6.1.1</v>
      </c>
      <c r="AQ109" s="1185" t="str">
        <f>$I$109&amp;"."&amp;$M$109&amp;"."&amp;$Q$109&amp;"."&amp;$U$109</f>
        <v>6.1.1.1</v>
      </c>
      <c r="AR109" s="1868"/>
    </row>
    <row r="110" spans="1:44" ht="17.25" customHeight="1">
      <c r="A110" s="1746"/>
      <c r="B110" s="1868"/>
      <c r="C110" s="1751"/>
      <c r="D110" s="5220"/>
      <c r="E110" s="5221"/>
      <c r="F110" s="5199"/>
      <c r="G110" s="5212"/>
      <c r="H110" s="5234"/>
      <c r="I110" s="5234"/>
      <c r="J110" s="5237"/>
      <c r="K110" s="5241"/>
      <c r="L110" s="5162"/>
      <c r="M110" s="5162"/>
      <c r="N110" s="5235"/>
      <c r="O110" s="5241"/>
      <c r="P110" s="5162"/>
      <c r="Q110" s="5162"/>
      <c r="R110" s="5242" t="s">
        <v>24</v>
      </c>
      <c r="S110" s="5161"/>
      <c r="T110" s="240"/>
      <c r="U110" s="241"/>
      <c r="V110" s="241" t="s">
        <v>168</v>
      </c>
      <c r="W110" s="242"/>
      <c r="X110" s="1868"/>
      <c r="Y110" s="1178"/>
      <c r="Z110" s="1178"/>
      <c r="AA110" s="1178"/>
      <c r="AB110" s="1178"/>
      <c r="AC110" s="1178"/>
      <c r="AD110" s="1178"/>
      <c r="AE110" s="1178"/>
      <c r="AF110" s="1178"/>
      <c r="AG110" s="1178"/>
      <c r="AH110" s="1178"/>
      <c r="AI110" s="1178"/>
      <c r="AJ110" s="1178"/>
      <c r="AK110" s="1178"/>
      <c r="AL110" s="1868"/>
      <c r="AM110" s="1868"/>
      <c r="AN110" s="1868"/>
      <c r="AO110" s="1868"/>
      <c r="AP110" s="1868"/>
      <c r="AQ110" s="1868"/>
      <c r="AR110" s="1868"/>
    </row>
    <row r="111" spans="1:44" ht="17.25" customHeight="1">
      <c r="A111" s="1746"/>
      <c r="B111" s="1868"/>
      <c r="C111" s="1751"/>
      <c r="D111" s="5220"/>
      <c r="E111" s="5221"/>
      <c r="F111" s="5199"/>
      <c r="G111" s="5212"/>
      <c r="H111" s="5195"/>
      <c r="I111" s="5195"/>
      <c r="J111" s="5238"/>
      <c r="K111" s="5241"/>
      <c r="L111" s="5195"/>
      <c r="M111" s="5195"/>
      <c r="N111" s="5236"/>
      <c r="O111" s="5166"/>
      <c r="P111" s="240"/>
      <c r="Q111" s="241"/>
      <c r="R111" s="241" t="s">
        <v>169</v>
      </c>
      <c r="S111" s="1752"/>
      <c r="T111" s="1752"/>
      <c r="U111" s="1752"/>
      <c r="V111" s="1752"/>
      <c r="W111" s="242"/>
      <c r="X111" s="1868"/>
      <c r="Y111" s="1178"/>
      <c r="Z111" s="1178"/>
      <c r="AA111" s="1178"/>
      <c r="AB111" s="1178"/>
      <c r="AC111" s="1178"/>
      <c r="AD111" s="1178"/>
      <c r="AE111" s="1178"/>
      <c r="AF111" s="1178"/>
      <c r="AG111" s="1178"/>
      <c r="AH111" s="1178"/>
      <c r="AI111" s="1178"/>
      <c r="AJ111" s="1178"/>
      <c r="AK111" s="1178"/>
      <c r="AL111" s="1868"/>
      <c r="AM111" s="1868"/>
      <c r="AN111" s="1868"/>
      <c r="AO111" s="1868"/>
      <c r="AP111" s="1868"/>
      <c r="AQ111" s="1868"/>
      <c r="AR111" s="1868"/>
    </row>
    <row r="112" spans="1:44" ht="17.25" customHeight="1">
      <c r="A112" s="1746"/>
      <c r="B112" s="1868"/>
      <c r="C112" s="1751"/>
      <c r="D112" s="5220"/>
      <c r="E112" s="5221"/>
      <c r="F112" s="5199"/>
      <c r="G112" s="5212"/>
      <c r="H112" s="5195"/>
      <c r="I112" s="5195"/>
      <c r="J112" s="5238"/>
      <c r="K112" s="5166"/>
      <c r="L112" s="240"/>
      <c r="M112" s="241"/>
      <c r="N112" s="241" t="s">
        <v>174</v>
      </c>
      <c r="O112" s="241"/>
      <c r="P112" s="241"/>
      <c r="Q112" s="241"/>
      <c r="R112" s="241"/>
      <c r="S112" s="1752"/>
      <c r="T112" s="1752"/>
      <c r="U112" s="1752"/>
      <c r="V112" s="1752"/>
      <c r="W112" s="242"/>
      <c r="X112" s="1868"/>
      <c r="Y112" s="1178"/>
      <c r="Z112" s="1178"/>
      <c r="AA112" s="1178"/>
      <c r="AB112" s="1178"/>
      <c r="AC112" s="1178"/>
      <c r="AD112" s="1178"/>
      <c r="AE112" s="1178"/>
      <c r="AF112" s="1178"/>
      <c r="AG112" s="1178"/>
      <c r="AH112" s="1178"/>
      <c r="AI112" s="1178"/>
      <c r="AJ112" s="1178"/>
      <c r="AK112" s="1178"/>
      <c r="AL112" s="1868"/>
      <c r="AM112" s="1868"/>
      <c r="AN112" s="1868"/>
      <c r="AO112" s="1868"/>
      <c r="AP112" s="1868"/>
      <c r="AQ112" s="1868"/>
      <c r="AR112" s="1868"/>
    </row>
    <row r="113" spans="1:44" s="1898" customFormat="1" ht="17.25" customHeight="1">
      <c r="A113" s="244"/>
      <c r="C113" s="243"/>
      <c r="D113" s="5195"/>
      <c r="E113" s="5197"/>
      <c r="F113" s="5200"/>
      <c r="G113" s="5211"/>
      <c r="H113" s="2003"/>
      <c r="I113" s="2004"/>
      <c r="J113" s="2005" t="s">
        <v>215</v>
      </c>
      <c r="K113" s="2006"/>
      <c r="L113" s="2007"/>
      <c r="M113" s="2008"/>
      <c r="N113" s="2009"/>
      <c r="O113" s="2010"/>
      <c r="P113" s="2011"/>
      <c r="Q113" s="2012"/>
      <c r="R113" s="2013"/>
      <c r="S113" s="2014"/>
      <c r="T113" s="2015"/>
      <c r="U113" s="2016"/>
      <c r="V113" s="2017"/>
      <c r="W113" s="2018"/>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4" s="1898" customFormat="1" ht="17.25" customHeight="1">
      <c r="A114" s="244"/>
      <c r="C114" s="130"/>
      <c r="D114" s="5194">
        <v>5</v>
      </c>
      <c r="E114" s="5196" t="s">
        <v>299</v>
      </c>
      <c r="F114" s="5198" t="s">
        <v>62</v>
      </c>
      <c r="G114" s="5210" t="str">
        <f>INDEX(HEAT_PT_VED_NAME,MATCH(4190068,HEAT_PT_VED_ID,0))</f>
        <v>Передача. Тепловая энергия</v>
      </c>
      <c r="H114" s="5234"/>
      <c r="I114" s="5234">
        <v>1</v>
      </c>
      <c r="J114" s="5237" t="s">
        <v>300</v>
      </c>
      <c r="K114" s="5240" t="s">
        <v>62</v>
      </c>
      <c r="L114" s="5162"/>
      <c r="M114" s="5162" t="s">
        <v>114</v>
      </c>
      <c r="N114" s="5235" t="str">
        <f>IF(Z114="","",INDEX(TERRITORY_MR_LIST,MATCH(Z114,TERRITORY_LIST_ID,0)))</f>
        <v>Территория 1</v>
      </c>
      <c r="O114" s="5240" t="s">
        <v>62</v>
      </c>
      <c r="P114" s="5162"/>
      <c r="Q114" s="5162" t="s">
        <v>114</v>
      </c>
      <c r="R114" s="5242" t="s">
        <v>160</v>
      </c>
      <c r="S114" s="5161" t="s">
        <v>62</v>
      </c>
      <c r="T114" s="1853"/>
      <c r="U114" s="1853" t="s">
        <v>114</v>
      </c>
      <c r="V114" s="1854" t="s">
        <v>161</v>
      </c>
      <c r="W114" s="1852"/>
      <c r="X114" s="1185"/>
      <c r="Y114" s="1185"/>
      <c r="Z114" s="1185" t="s">
        <v>93</v>
      </c>
      <c r="AA114" s="1185"/>
      <c r="AB114" s="1185" t="s">
        <v>301</v>
      </c>
      <c r="AC114" s="1185" t="s">
        <v>302</v>
      </c>
      <c r="AD114" s="1185" t="s">
        <v>303</v>
      </c>
      <c r="AE114" s="1185" t="s">
        <v>304</v>
      </c>
      <c r="AF114" s="1185" t="s">
        <v>305</v>
      </c>
      <c r="AG114" s="1185" t="s">
        <v>306</v>
      </c>
      <c r="AH114" s="1185" t="str">
        <f>IF($E$114=0,"",$E$114)</f>
        <v>Тарифы на услуги по передаче тепловой энергии</v>
      </c>
      <c r="AI114" s="1185" t="str">
        <f>IF($G$114=0,"",$G$114)</f>
        <v>Передача. Тепловая энергия</v>
      </c>
      <c r="AJ114" s="1185" t="str">
        <f>IF($J$114=0,"",$J$114)</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AK114" s="1185" t="str">
        <f>IF($K$114="нет","без дифференциации",IF($N$114=0,"",$N$114))</f>
        <v>Территория 1</v>
      </c>
      <c r="AL114" s="1185" t="str">
        <f>IF($O$114="нет","без дифференциации",IF($R$114=0,"",$R$114))</f>
        <v xml:space="preserve">открытая система теплоснабжения г. Апатиты
</v>
      </c>
      <c r="AM114" s="1185" t="str">
        <f>IF($S$114="нет","без дифференциации",IF($V$114=0,"",$V$114))</f>
        <v>Апатитская ТЭЦ</v>
      </c>
      <c r="AN114" s="1680">
        <f>$I$114</f>
        <v>1</v>
      </c>
      <c r="AO114" s="1185" t="str">
        <f>$I$114&amp;"."&amp;$M$114</f>
        <v>1.1</v>
      </c>
      <c r="AP114" s="1178" t="str">
        <f>$I$114&amp;"."&amp;$M$114&amp;"."&amp;$Q$114</f>
        <v>1.1.1</v>
      </c>
      <c r="AQ114" s="1178" t="str">
        <f>$I$114&amp;"."&amp;$M$114&amp;"."&amp;$Q$114&amp;"."&amp;$U$114</f>
        <v>1.1.1.1</v>
      </c>
    </row>
    <row r="115" spans="1:44" s="1898" customFormat="1" ht="17.25" customHeight="1">
      <c r="A115" s="244"/>
      <c r="C115" s="243"/>
      <c r="D115" s="5194"/>
      <c r="E115" s="5196"/>
      <c r="F115" s="5199"/>
      <c r="G115" s="5210"/>
      <c r="H115" s="5234"/>
      <c r="I115" s="5234"/>
      <c r="J115" s="5237"/>
      <c r="K115" s="5241"/>
      <c r="L115" s="5162"/>
      <c r="M115" s="5162"/>
      <c r="N115" s="5235"/>
      <c r="O115" s="5241"/>
      <c r="P115" s="5162"/>
      <c r="Q115" s="5162"/>
      <c r="R115" s="5242" t="s">
        <v>24</v>
      </c>
      <c r="S115" s="5161"/>
      <c r="T115" s="2019"/>
      <c r="U115" s="2020"/>
      <c r="V115" s="2021" t="s">
        <v>168</v>
      </c>
      <c r="W115" s="2022"/>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4" s="1898" customFormat="1" ht="17.25" customHeight="1">
      <c r="A116" s="244"/>
      <c r="C116" s="243"/>
      <c r="D116" s="5195"/>
      <c r="E116" s="5197"/>
      <c r="F116" s="5199"/>
      <c r="G116" s="5211"/>
      <c r="H116" s="5195"/>
      <c r="I116" s="5195"/>
      <c r="J116" s="5238"/>
      <c r="K116" s="5241"/>
      <c r="L116" s="5195"/>
      <c r="M116" s="5195"/>
      <c r="N116" s="5236"/>
      <c r="O116" s="5166"/>
      <c r="P116" s="2023"/>
      <c r="Q116" s="2024"/>
      <c r="R116" s="2025" t="s">
        <v>169</v>
      </c>
      <c r="S116" s="2026"/>
      <c r="T116" s="2027"/>
      <c r="U116" s="2028"/>
      <c r="V116" s="2029"/>
      <c r="W116" s="2030"/>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row>
    <row r="117" spans="1:44" s="1898" customFormat="1" ht="17.25" customHeight="1">
      <c r="A117" s="244"/>
      <c r="C117" s="243"/>
      <c r="D117" s="5195"/>
      <c r="E117" s="5197"/>
      <c r="F117" s="5199"/>
      <c r="G117" s="5211"/>
      <c r="H117" s="5195"/>
      <c r="I117" s="5195"/>
      <c r="J117" s="5238"/>
      <c r="K117" s="5166"/>
      <c r="L117" s="2031"/>
      <c r="M117" s="2032"/>
      <c r="N117" s="2033" t="s">
        <v>174</v>
      </c>
      <c r="O117" s="2034"/>
      <c r="P117" s="2035"/>
      <c r="Q117" s="2036"/>
      <c r="R117" s="2037"/>
      <c r="S117" s="2038"/>
      <c r="T117" s="2039"/>
      <c r="U117" s="2040"/>
      <c r="V117" s="2041"/>
      <c r="W117" s="2042"/>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4" s="1898" customFormat="1" ht="17.25" customHeight="1">
      <c r="A118" s="244"/>
      <c r="C118" s="243"/>
      <c r="D118" s="5195"/>
      <c r="E118" s="5197"/>
      <c r="F118" s="5200"/>
      <c r="G118" s="5211"/>
      <c r="H118" s="2043"/>
      <c r="I118" s="2044"/>
      <c r="J118" s="2045" t="s">
        <v>215</v>
      </c>
      <c r="K118" s="2046"/>
      <c r="L118" s="2047"/>
      <c r="M118" s="2048"/>
      <c r="N118" s="2049"/>
      <c r="O118" s="2050"/>
      <c r="P118" s="2051"/>
      <c r="Q118" s="2052"/>
      <c r="R118" s="2053"/>
      <c r="S118" s="2054"/>
      <c r="T118" s="2055"/>
      <c r="U118" s="2056"/>
      <c r="V118" s="2057"/>
      <c r="W118" s="2058"/>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4" s="1898" customFormat="1" ht="17.25" customHeight="1">
      <c r="A119" s="244"/>
      <c r="C119" s="130"/>
      <c r="D119" s="5194">
        <v>6</v>
      </c>
      <c r="E119" s="5196" t="s">
        <v>307</v>
      </c>
      <c r="F119" s="5198" t="s">
        <v>57</v>
      </c>
      <c r="G119" s="5196"/>
      <c r="H119" s="5201"/>
      <c r="I119" s="5203"/>
      <c r="J119" s="5205"/>
      <c r="K119" s="5188"/>
      <c r="L119" s="5188"/>
      <c r="M119" s="5188"/>
      <c r="N119" s="5190"/>
      <c r="O119" s="5188"/>
      <c r="P119" s="5188"/>
      <c r="Q119" s="5188"/>
      <c r="R119" s="5193"/>
      <c r="S119" s="5188"/>
      <c r="T119" s="1334"/>
      <c r="U119" s="1334"/>
      <c r="V119" s="1333"/>
      <c r="W119" s="1214"/>
      <c r="X119" s="1185"/>
      <c r="Y119" s="1185"/>
      <c r="Z119" s="1185"/>
      <c r="AA119" s="1185"/>
      <c r="AB119" s="1185"/>
      <c r="AC119" s="1185" t="s">
        <v>308</v>
      </c>
      <c r="AD119" s="1185" t="s">
        <v>309</v>
      </c>
      <c r="AE119" s="1185" t="s">
        <v>310</v>
      </c>
      <c r="AF119" s="1185" t="s">
        <v>311</v>
      </c>
      <c r="AG119" s="1185" t="s">
        <v>312</v>
      </c>
      <c r="AH119" s="1185" t="str">
        <f>IF($E$119=0,"",$E$119)</f>
        <v>Тарифы на услуги по передаче теплоносителя</v>
      </c>
      <c r="AI119" s="1185" t="str">
        <f>IF($G$119=0,"",$G$119)</f>
        <v/>
      </c>
      <c r="AJ119" s="1185" t="str">
        <f>IF($J$119=0,"",$J$119)</f>
        <v/>
      </c>
      <c r="AK119" s="1185" t="str">
        <f>IF($K$119="нет","без дифференциации",IF($N$119=0,"",$N$119))</f>
        <v/>
      </c>
      <c r="AL119" s="1185" t="str">
        <f>IF($O$119="нет","без дифференциации",IF($R$119=0,"",$R$119))</f>
        <v/>
      </c>
      <c r="AM119" s="1185" t="str">
        <f>IF($S$119="нет","без дифференциации",IF($V$119=0,"",$V$119))</f>
        <v/>
      </c>
      <c r="AN119" s="1680">
        <f>$I$119</f>
        <v>0</v>
      </c>
      <c r="AO119" s="1185" t="str">
        <f>$I$119&amp;"."&amp;$M$119</f>
        <v>.</v>
      </c>
      <c r="AP119" s="1178" t="str">
        <f>$I$119&amp;"."&amp;$M$119&amp;"."&amp;$Q$119</f>
        <v>..</v>
      </c>
      <c r="AQ119" s="1178" t="str">
        <f>$I$119&amp;"."&amp;$M$119&amp;"."&amp;$Q$119&amp;"."&amp;$U$119</f>
        <v>...</v>
      </c>
    </row>
    <row r="120" spans="1:44" s="1898" customFormat="1" ht="17.25" customHeight="1">
      <c r="A120" s="244"/>
      <c r="C120" s="243"/>
      <c r="D120" s="5194"/>
      <c r="E120" s="5196"/>
      <c r="F120" s="5199"/>
      <c r="G120" s="5196"/>
      <c r="H120" s="5202"/>
      <c r="I120" s="5204"/>
      <c r="J120" s="5206"/>
      <c r="K120" s="5189"/>
      <c r="L120" s="5189"/>
      <c r="M120" s="5189"/>
      <c r="N120" s="5191"/>
      <c r="O120" s="5189"/>
      <c r="P120" s="5189"/>
      <c r="Q120" s="5189"/>
      <c r="R120" s="5192"/>
      <c r="S120" s="5189"/>
      <c r="T120" s="1215"/>
      <c r="U120" s="1215"/>
      <c r="V120" s="1215"/>
      <c r="W120" s="1216"/>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1" spans="1:44" s="1898" customFormat="1" ht="17.25" customHeight="1">
      <c r="A121" s="244"/>
      <c r="C121" s="243"/>
      <c r="D121" s="5195"/>
      <c r="E121" s="5197"/>
      <c r="F121" s="5199"/>
      <c r="G121" s="5197"/>
      <c r="H121" s="5202"/>
      <c r="I121" s="5204"/>
      <c r="J121" s="5207"/>
      <c r="K121" s="5189"/>
      <c r="L121" s="5189"/>
      <c r="M121" s="5189"/>
      <c r="N121" s="5192"/>
      <c r="O121" s="5189"/>
      <c r="P121" s="1332"/>
      <c r="Q121" s="1215"/>
      <c r="R121" s="1215"/>
      <c r="S121" s="255"/>
      <c r="T121" s="255"/>
      <c r="U121" s="255"/>
      <c r="V121" s="255"/>
      <c r="W121" s="1216"/>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row>
    <row r="122" spans="1:44" s="2060" customFormat="1" ht="17.25" customHeight="1">
      <c r="A122" s="244"/>
      <c r="C122" s="130"/>
      <c r="D122" s="5195"/>
      <c r="E122" s="5197"/>
      <c r="F122" s="5199"/>
      <c r="G122" s="5197"/>
      <c r="H122" s="5202"/>
      <c r="I122" s="5204"/>
      <c r="J122" s="5207"/>
      <c r="K122" s="5189"/>
      <c r="L122" s="1215"/>
      <c r="M122" s="1215"/>
      <c r="N122" s="1215"/>
      <c r="O122" s="1215"/>
      <c r="P122" s="1215"/>
      <c r="Q122" s="1215"/>
      <c r="R122" s="1215"/>
      <c r="S122" s="255"/>
      <c r="T122" s="255"/>
      <c r="U122" s="255"/>
      <c r="V122" s="255"/>
      <c r="W122" s="1216"/>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row>
    <row r="123" spans="1:44" s="1898" customFormat="1" ht="17.25" customHeight="1">
      <c r="A123" s="244"/>
      <c r="C123" s="243"/>
      <c r="D123" s="5195"/>
      <c r="E123" s="5197"/>
      <c r="F123" s="5200"/>
      <c r="G123" s="5197"/>
      <c r="H123" s="1217"/>
      <c r="I123" s="1218"/>
      <c r="J123" s="1218"/>
      <c r="K123" s="1218"/>
      <c r="L123" s="1218"/>
      <c r="M123" s="1218"/>
      <c r="N123" s="1218"/>
      <c r="O123" s="1218"/>
      <c r="P123" s="1218"/>
      <c r="Q123" s="1218"/>
      <c r="R123" s="1218"/>
      <c r="S123" s="1219"/>
      <c r="T123" s="1219"/>
      <c r="U123" s="1219"/>
      <c r="V123" s="1219"/>
      <c r="W123" s="1220"/>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row>
    <row r="124" spans="1:44" s="2061" customFormat="1" ht="17.25" customHeight="1">
      <c r="A124" s="244"/>
      <c r="C124" s="130"/>
      <c r="D124" s="5222">
        <v>7</v>
      </c>
      <c r="E124" s="5225" t="s">
        <v>313</v>
      </c>
      <c r="F124" s="5198" t="s">
        <v>62</v>
      </c>
      <c r="G124" s="5228" t="str">
        <f>INDEX(HEAT_PT_VED_NAME,MATCH(4190073,HEAT_PT_VED_ID,0))</f>
        <v>Поддержание резервной тепловой мощности при отсутствии потребления тепловой энергии</v>
      </c>
      <c r="H124" s="5234"/>
      <c r="I124" s="5234">
        <v>1</v>
      </c>
      <c r="J124" s="5237" t="s">
        <v>314</v>
      </c>
      <c r="K124" s="5240" t="s">
        <v>62</v>
      </c>
      <c r="L124" s="5162"/>
      <c r="M124" s="5162" t="s">
        <v>114</v>
      </c>
      <c r="N124" s="5235" t="str">
        <f>IF(Z124="","",INDEX(TERRITORY_MR_LIST,MATCH(Z124,TERRITORY_LIST_ID,0)))</f>
        <v>Территория 1</v>
      </c>
      <c r="O124" s="5240" t="s">
        <v>62</v>
      </c>
      <c r="P124" s="5162"/>
      <c r="Q124" s="5162" t="s">
        <v>114</v>
      </c>
      <c r="R124" s="5242" t="s">
        <v>160</v>
      </c>
      <c r="S124" s="5161" t="s">
        <v>62</v>
      </c>
      <c r="T124" s="1853"/>
      <c r="U124" s="1853" t="s">
        <v>114</v>
      </c>
      <c r="V124" s="1854" t="s">
        <v>161</v>
      </c>
      <c r="W124" s="1852"/>
      <c r="X124" s="1185"/>
      <c r="Y124" s="1185"/>
      <c r="Z124" s="1185" t="s">
        <v>93</v>
      </c>
      <c r="AA124" s="1185"/>
      <c r="AB124" s="1185" t="s">
        <v>315</v>
      </c>
      <c r="AC124" s="1185" t="s">
        <v>316</v>
      </c>
      <c r="AD124" s="1185" t="s">
        <v>317</v>
      </c>
      <c r="AE124" s="1185" t="s">
        <v>318</v>
      </c>
      <c r="AF124" s="1185" t="s">
        <v>319</v>
      </c>
      <c r="AG124" s="1185" t="s">
        <v>320</v>
      </c>
      <c r="AH124" s="1185" t="str">
        <f>IF($E$124=0,"",$E$124)</f>
        <v>Плата за услуги по поддержанию резервной тепловой мощности при отсутствии потребления тепловой энергии</v>
      </c>
      <c r="AI124" s="1185" t="str">
        <f>IF($G$124=0,"",$G$124)</f>
        <v>Поддержание резервной тепловой мощности при отсутствии потребления тепловой энергии</v>
      </c>
      <c r="AJ124" s="1185" t="str">
        <f>IF($J$124=0,"",$J$124)</f>
        <v xml:space="preserve">Плата за услуги по поддержанию резервной тепловой мощности. </v>
      </c>
      <c r="AK124" s="1185" t="str">
        <f>IF($K$124="нет","без дифференциации",IF($N$124=0,"",$N$124))</f>
        <v>Территория 1</v>
      </c>
      <c r="AL124" s="1185" t="str">
        <f>IF($O$124="нет","без дифференциации",IF($R$124=0,"",$R$124))</f>
        <v xml:space="preserve">открытая система теплоснабжения г. Апатиты
</v>
      </c>
      <c r="AM124" s="1185" t="str">
        <f>IF($S$124="нет","без дифференциации",IF($V$124=0,"",$V$124))</f>
        <v>Апатитская ТЭЦ</v>
      </c>
      <c r="AN124" s="1680">
        <f>$I$124</f>
        <v>1</v>
      </c>
      <c r="AO124" s="1185" t="str">
        <f>$I$124&amp;"."&amp;$M$124</f>
        <v>1.1</v>
      </c>
      <c r="AP124" s="1178" t="str">
        <f>$I$124&amp;"."&amp;$M$124&amp;"."&amp;$Q$124</f>
        <v>1.1.1</v>
      </c>
      <c r="AQ124" s="1178" t="str">
        <f>$I$124&amp;"."&amp;$M$124&amp;"."&amp;$Q$124&amp;"."&amp;$U$124</f>
        <v>1.1.1.1</v>
      </c>
    </row>
    <row r="125" spans="1:44" s="2061" customFormat="1" ht="17.25" customHeight="1">
      <c r="A125" s="244"/>
      <c r="C125" s="243"/>
      <c r="D125" s="5223"/>
      <c r="E125" s="5226"/>
      <c r="F125" s="5199"/>
      <c r="G125" s="5229"/>
      <c r="H125" s="5234"/>
      <c r="I125" s="5234"/>
      <c r="J125" s="5237"/>
      <c r="K125" s="5241"/>
      <c r="L125" s="5162"/>
      <c r="M125" s="5162"/>
      <c r="N125" s="5235"/>
      <c r="O125" s="5241"/>
      <c r="P125" s="5162"/>
      <c r="Q125" s="5162"/>
      <c r="R125" s="5242" t="s">
        <v>24</v>
      </c>
      <c r="S125" s="5161"/>
      <c r="T125" s="2062"/>
      <c r="U125" s="2063"/>
      <c r="V125" s="2064" t="s">
        <v>168</v>
      </c>
      <c r="W125" s="2065"/>
      <c r="X125" s="1178"/>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row>
    <row r="126" spans="1:44" s="2061" customFormat="1" ht="17.25" customHeight="1">
      <c r="A126" s="244"/>
      <c r="C126" s="243"/>
      <c r="D126" s="5223"/>
      <c r="E126" s="5226"/>
      <c r="F126" s="5199"/>
      <c r="G126" s="5229"/>
      <c r="H126" s="5195"/>
      <c r="I126" s="5195"/>
      <c r="J126" s="5238"/>
      <c r="K126" s="5241"/>
      <c r="L126" s="5195"/>
      <c r="M126" s="5195"/>
      <c r="N126" s="5236"/>
      <c r="O126" s="5166"/>
      <c r="P126" s="2066"/>
      <c r="Q126" s="2067"/>
      <c r="R126" s="2068" t="s">
        <v>169</v>
      </c>
      <c r="S126" s="2069"/>
      <c r="T126" s="2070"/>
      <c r="U126" s="2071"/>
      <c r="V126" s="2072"/>
      <c r="W126" s="2073"/>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row>
    <row r="127" spans="1:44" ht="17.25" customHeight="1">
      <c r="A127" s="1746"/>
      <c r="B127" s="1868"/>
      <c r="C127" s="1748"/>
      <c r="D127" s="5220"/>
      <c r="E127" s="5221"/>
      <c r="F127" s="5199"/>
      <c r="G127" s="5212"/>
      <c r="H127" s="5220"/>
      <c r="I127" s="5220"/>
      <c r="J127" s="5239"/>
      <c r="K127" s="5243"/>
      <c r="L127" s="5162" t="s">
        <v>99</v>
      </c>
      <c r="M127" s="5162" t="s">
        <v>98</v>
      </c>
      <c r="N127" s="5235" t="str">
        <f>IF(Z127="","",INDEX(TERRITORY_MR_LIST,MATCH(Z127,TERRITORY_LIST_ID,0)))</f>
        <v>Территория 2</v>
      </c>
      <c r="O127" s="5240" t="s">
        <v>62</v>
      </c>
      <c r="P127" s="5162"/>
      <c r="Q127" s="5162" t="s">
        <v>114</v>
      </c>
      <c r="R127" s="5242" t="s">
        <v>170</v>
      </c>
      <c r="S127" s="5161" t="s">
        <v>62</v>
      </c>
      <c r="T127" s="1719"/>
      <c r="U127" s="1719" t="s">
        <v>114</v>
      </c>
      <c r="V127" s="1749" t="s">
        <v>161</v>
      </c>
      <c r="W127" s="1709"/>
      <c r="X127" s="1868"/>
      <c r="Y127" s="1185"/>
      <c r="Z127" s="1185" t="s">
        <v>100</v>
      </c>
      <c r="AA127" s="1185"/>
      <c r="AB127" s="1185"/>
      <c r="AC127" s="1869" t="s">
        <v>316</v>
      </c>
      <c r="AD127" s="1869" t="s">
        <v>317</v>
      </c>
      <c r="AE127" s="1185" t="s">
        <v>321</v>
      </c>
      <c r="AF127" s="1185" t="s">
        <v>322</v>
      </c>
      <c r="AG127" s="1185" t="s">
        <v>323</v>
      </c>
      <c r="AH127" s="1185" t="str">
        <f>IF($E$124=0,"",$E$124)</f>
        <v>Плата за услуги по поддержанию резервной тепловой мощности при отсутствии потребления тепловой энергии</v>
      </c>
      <c r="AI127" s="1185" t="str">
        <f>IF($G$124=0,"",$G$124)</f>
        <v>Поддержание резервной тепловой мощности при отсутствии потребления тепловой энергии</v>
      </c>
      <c r="AJ127" s="1185" t="str">
        <f>IF($J$124=0,"",$J$124)</f>
        <v xml:space="preserve">Плата за услуги по поддержанию резервной тепловой мощности. </v>
      </c>
      <c r="AK127" s="1185" t="str">
        <f>IF($K$127="нет","без дифференциации",IF($N$127=0,"",$N$127))</f>
        <v>Территория 2</v>
      </c>
      <c r="AL127" s="1750" t="str">
        <f>IF($O$127="нет","без дифференциации",IF($R$127=0,"",$R$127))</f>
        <v>открытая система теплоснабжения г. Кировск</v>
      </c>
      <c r="AM127" s="1750" t="str">
        <f>IF($S$127="нет","без дифференциации",IF($V$127=0,"",$V$127))</f>
        <v>Апатитская ТЭЦ</v>
      </c>
      <c r="AN127" s="1185">
        <f>$I$124</f>
        <v>1</v>
      </c>
      <c r="AO127" s="1185" t="str">
        <f>$I$124&amp;"."&amp;$M$127</f>
        <v>1.2</v>
      </c>
      <c r="AP127" s="1185" t="str">
        <f>$I$124&amp;"."&amp;$M$127&amp;"."&amp;$Q$127</f>
        <v>1.2.1</v>
      </c>
      <c r="AQ127" s="1185" t="str">
        <f>$I$124&amp;"."&amp;$M$127&amp;"."&amp;$Q$127&amp;"."&amp;$U$127</f>
        <v>1.2.1.1</v>
      </c>
      <c r="AR127" s="1868"/>
    </row>
    <row r="128" spans="1:44" ht="17.25" customHeight="1">
      <c r="A128" s="1746"/>
      <c r="B128" s="1868"/>
      <c r="C128" s="1751"/>
      <c r="D128" s="5220"/>
      <c r="E128" s="5221"/>
      <c r="F128" s="5199"/>
      <c r="G128" s="5212"/>
      <c r="H128" s="5220"/>
      <c r="I128" s="5220"/>
      <c r="J128" s="5239"/>
      <c r="K128" s="5243"/>
      <c r="L128" s="5162"/>
      <c r="M128" s="5162"/>
      <c r="N128" s="5235"/>
      <c r="O128" s="5241"/>
      <c r="P128" s="5162"/>
      <c r="Q128" s="5162"/>
      <c r="R128" s="5242" t="s">
        <v>24</v>
      </c>
      <c r="S128" s="5161"/>
      <c r="T128" s="240"/>
      <c r="U128" s="241"/>
      <c r="V128" s="241" t="s">
        <v>168</v>
      </c>
      <c r="W128" s="242"/>
      <c r="X128" s="1868"/>
      <c r="Y128" s="1178"/>
      <c r="Z128" s="1178"/>
      <c r="AA128" s="1178"/>
      <c r="AB128" s="1178"/>
      <c r="AC128" s="1178"/>
      <c r="AD128" s="1178"/>
      <c r="AE128" s="1178"/>
      <c r="AF128" s="1178"/>
      <c r="AG128" s="1178"/>
      <c r="AH128" s="1178"/>
      <c r="AI128" s="1178"/>
      <c r="AJ128" s="1178"/>
      <c r="AK128" s="1178"/>
      <c r="AL128" s="1868"/>
      <c r="AM128" s="1868"/>
      <c r="AN128" s="1868"/>
      <c r="AO128" s="1868"/>
      <c r="AP128" s="1868"/>
      <c r="AQ128" s="1868"/>
      <c r="AR128" s="1868"/>
    </row>
    <row r="129" spans="1:44" ht="17.25" customHeight="1">
      <c r="A129" s="1746"/>
      <c r="B129" s="1868"/>
      <c r="C129" s="1751"/>
      <c r="D129" s="5220"/>
      <c r="E129" s="5221"/>
      <c r="F129" s="5199"/>
      <c r="G129" s="5212"/>
      <c r="H129" s="5220"/>
      <c r="I129" s="5220"/>
      <c r="J129" s="5239"/>
      <c r="K129" s="5243"/>
      <c r="L129" s="5195"/>
      <c r="M129" s="5195"/>
      <c r="N129" s="5236"/>
      <c r="O129" s="5166"/>
      <c r="P129" s="240"/>
      <c r="Q129" s="241"/>
      <c r="R129" s="241" t="s">
        <v>169</v>
      </c>
      <c r="S129" s="1752"/>
      <c r="T129" s="1752"/>
      <c r="U129" s="1752"/>
      <c r="V129" s="1752"/>
      <c r="W129" s="242"/>
      <c r="X129" s="1868"/>
      <c r="Y129" s="1178"/>
      <c r="Z129" s="1178"/>
      <c r="AA129" s="1178"/>
      <c r="AB129" s="1178"/>
      <c r="AC129" s="1178"/>
      <c r="AD129" s="1178"/>
      <c r="AE129" s="1178"/>
      <c r="AF129" s="1178"/>
      <c r="AG129" s="1178"/>
      <c r="AH129" s="1178"/>
      <c r="AI129" s="1178"/>
      <c r="AJ129" s="1178"/>
      <c r="AK129" s="1178"/>
      <c r="AL129" s="1868"/>
      <c r="AM129" s="1868"/>
      <c r="AN129" s="1868"/>
      <c r="AO129" s="1868"/>
      <c r="AP129" s="1868"/>
      <c r="AQ129" s="1868"/>
      <c r="AR129" s="1868"/>
    </row>
    <row r="130" spans="1:44" ht="17.25" customHeight="1">
      <c r="A130" s="1746"/>
      <c r="B130" s="1868"/>
      <c r="C130" s="1748"/>
      <c r="D130" s="5220"/>
      <c r="E130" s="5221"/>
      <c r="F130" s="5199"/>
      <c r="G130" s="5212"/>
      <c r="H130" s="5220"/>
      <c r="I130" s="5220"/>
      <c r="J130" s="5239"/>
      <c r="K130" s="5243"/>
      <c r="L130" s="5162" t="s">
        <v>99</v>
      </c>
      <c r="M130" s="5162" t="s">
        <v>85</v>
      </c>
      <c r="N130" s="5235" t="str">
        <f>IF(Z130="","",INDEX(TERRITORY_MR_LIST,MATCH(Z130,TERRITORY_LIST_ID,0)))</f>
        <v>Территория 3</v>
      </c>
      <c r="O130" s="5240" t="s">
        <v>62</v>
      </c>
      <c r="P130" s="5162"/>
      <c r="Q130" s="5162" t="s">
        <v>114</v>
      </c>
      <c r="R130" s="5242" t="s">
        <v>230</v>
      </c>
      <c r="S130" s="5161" t="s">
        <v>62</v>
      </c>
      <c r="T130" s="1719"/>
      <c r="U130" s="1719" t="s">
        <v>114</v>
      </c>
      <c r="V130" s="1749" t="s">
        <v>231</v>
      </c>
      <c r="W130" s="1709"/>
      <c r="X130" s="1868"/>
      <c r="Y130" s="1185"/>
      <c r="Z130" s="1185" t="s">
        <v>104</v>
      </c>
      <c r="AA130" s="1185"/>
      <c r="AB130" s="1185"/>
      <c r="AC130" s="1869" t="s">
        <v>316</v>
      </c>
      <c r="AD130" s="1869" t="s">
        <v>317</v>
      </c>
      <c r="AE130" s="1185" t="s">
        <v>324</v>
      </c>
      <c r="AF130" s="1185" t="s">
        <v>325</v>
      </c>
      <c r="AG130" s="1185" t="s">
        <v>326</v>
      </c>
      <c r="AH130" s="1185" t="str">
        <f>IF($E$124=0,"",$E$124)</f>
        <v>Плата за услуги по поддержанию резервной тепловой мощности при отсутствии потребления тепловой энергии</v>
      </c>
      <c r="AI130" s="1185" t="str">
        <f>IF($G$124=0,"",$G$124)</f>
        <v>Поддержание резервной тепловой мощности при отсутствии потребления тепловой энергии</v>
      </c>
      <c r="AJ130" s="1185" t="str">
        <f>IF($J$124=0,"",$J$124)</f>
        <v xml:space="preserve">Плата за услуги по поддержанию резервной тепловой мощности. </v>
      </c>
      <c r="AK130" s="1185" t="str">
        <f>IF($K$130="нет","без дифференциации",IF($N$130=0,"",$N$130))</f>
        <v>Территория 3</v>
      </c>
      <c r="AL130" s="1750" t="str">
        <f>IF($O$130="нет","без дифференциации",IF($R$130=0,"",$R$130))</f>
        <v>закрытая система теплоснабжения нп Раякоски</v>
      </c>
      <c r="AM130" s="1750" t="str">
        <f>IF($S$130="нет","без дифференциации",IF($V$130=0,"",$V$130))</f>
        <v>Электрокотельные нп Раякоски</v>
      </c>
      <c r="AN130" s="1185">
        <f>$I$124</f>
        <v>1</v>
      </c>
      <c r="AO130" s="1185" t="str">
        <f>$I$124&amp;"."&amp;$M$130</f>
        <v>1.3</v>
      </c>
      <c r="AP130" s="1185" t="str">
        <f>$I$124&amp;"."&amp;$M$130&amp;"."&amp;$Q$130</f>
        <v>1.3.1</v>
      </c>
      <c r="AQ130" s="1185" t="str">
        <f>$I$124&amp;"."&amp;$M$130&amp;"."&amp;$Q$130&amp;"."&amp;$U$130</f>
        <v>1.3.1.1</v>
      </c>
      <c r="AR130" s="1868"/>
    </row>
    <row r="131" spans="1:44" ht="17.25" customHeight="1">
      <c r="A131" s="1746"/>
      <c r="B131" s="1868"/>
      <c r="C131" s="1751"/>
      <c r="D131" s="5220"/>
      <c r="E131" s="5221"/>
      <c r="F131" s="5199"/>
      <c r="G131" s="5212"/>
      <c r="H131" s="5220"/>
      <c r="I131" s="5220"/>
      <c r="J131" s="5239"/>
      <c r="K131" s="5243"/>
      <c r="L131" s="5162"/>
      <c r="M131" s="5162"/>
      <c r="N131" s="5235"/>
      <c r="O131" s="5241"/>
      <c r="P131" s="5162"/>
      <c r="Q131" s="5162"/>
      <c r="R131" s="5242" t="s">
        <v>24</v>
      </c>
      <c r="S131" s="5161"/>
      <c r="T131" s="240"/>
      <c r="U131" s="241"/>
      <c r="V131" s="241" t="s">
        <v>168</v>
      </c>
      <c r="W131" s="242"/>
      <c r="X131" s="1868"/>
      <c r="Y131" s="1178"/>
      <c r="Z131" s="1178"/>
      <c r="AA131" s="1178"/>
      <c r="AB131" s="1178"/>
      <c r="AC131" s="1178"/>
      <c r="AD131" s="1178"/>
      <c r="AE131" s="1178"/>
      <c r="AF131" s="1178"/>
      <c r="AG131" s="1178"/>
      <c r="AH131" s="1178"/>
      <c r="AI131" s="1178"/>
      <c r="AJ131" s="1178"/>
      <c r="AK131" s="1178"/>
      <c r="AL131" s="1868"/>
      <c r="AM131" s="1868"/>
      <c r="AN131" s="1868"/>
      <c r="AO131" s="1868"/>
      <c r="AP131" s="1868"/>
      <c r="AQ131" s="1868"/>
      <c r="AR131" s="1868"/>
    </row>
    <row r="132" spans="1:44" ht="17.25" customHeight="1">
      <c r="A132" s="1746"/>
      <c r="B132" s="1868"/>
      <c r="C132" s="1751"/>
      <c r="D132" s="5220"/>
      <c r="E132" s="5221"/>
      <c r="F132" s="5199"/>
      <c r="G132" s="5212"/>
      <c r="H132" s="5220"/>
      <c r="I132" s="5220"/>
      <c r="J132" s="5239"/>
      <c r="K132" s="5243"/>
      <c r="L132" s="5195"/>
      <c r="M132" s="5195"/>
      <c r="N132" s="5236"/>
      <c r="O132" s="5166"/>
      <c r="P132" s="240"/>
      <c r="Q132" s="241"/>
      <c r="R132" s="241" t="s">
        <v>169</v>
      </c>
      <c r="S132" s="1752"/>
      <c r="T132" s="1752"/>
      <c r="U132" s="1752"/>
      <c r="V132" s="1752"/>
      <c r="W132" s="242"/>
      <c r="X132" s="1868"/>
      <c r="Y132" s="1178"/>
      <c r="Z132" s="1178"/>
      <c r="AA132" s="1178"/>
      <c r="AB132" s="1178"/>
      <c r="AC132" s="1178"/>
      <c r="AD132" s="1178"/>
      <c r="AE132" s="1178"/>
      <c r="AF132" s="1178"/>
      <c r="AG132" s="1178"/>
      <c r="AH132" s="1178"/>
      <c r="AI132" s="1178"/>
      <c r="AJ132" s="1178"/>
      <c r="AK132" s="1178"/>
      <c r="AL132" s="1868"/>
      <c r="AM132" s="1868"/>
      <c r="AN132" s="1868"/>
      <c r="AO132" s="1868"/>
      <c r="AP132" s="1868"/>
      <c r="AQ132" s="1868"/>
      <c r="AR132" s="1868"/>
    </row>
    <row r="133" spans="1:44" s="2060" customFormat="1" ht="17.25" customHeight="1">
      <c r="A133" s="244"/>
      <c r="C133" s="130"/>
      <c r="D133" s="5223"/>
      <c r="E133" s="5226"/>
      <c r="F133" s="5199"/>
      <c r="G133" s="5229"/>
      <c r="H133" s="5195"/>
      <c r="I133" s="5195"/>
      <c r="J133" s="5238"/>
      <c r="K133" s="5166"/>
      <c r="L133" s="2074"/>
      <c r="M133" s="2075"/>
      <c r="N133" s="2076" t="s">
        <v>174</v>
      </c>
      <c r="O133" s="2077"/>
      <c r="P133" s="2078"/>
      <c r="Q133" s="2079"/>
      <c r="R133" s="2080"/>
      <c r="S133" s="2081"/>
      <c r="T133" s="2082"/>
      <c r="U133" s="2083"/>
      <c r="V133" s="2084"/>
      <c r="W133" s="20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row>
    <row r="134" spans="1:44" s="2061" customFormat="1" ht="17.25" customHeight="1">
      <c r="A134" s="244"/>
      <c r="C134" s="243"/>
      <c r="D134" s="5224"/>
      <c r="E134" s="5227"/>
      <c r="F134" s="5200"/>
      <c r="G134" s="5230"/>
      <c r="H134" s="2086"/>
      <c r="I134" s="2087"/>
      <c r="J134" s="2088" t="s">
        <v>215</v>
      </c>
      <c r="K134" s="2089"/>
      <c r="L134" s="2090"/>
      <c r="M134" s="2091"/>
      <c r="N134" s="2092"/>
      <c r="O134" s="2093"/>
      <c r="P134" s="2094"/>
      <c r="Q134" s="2095"/>
      <c r="R134" s="2096"/>
      <c r="S134" s="2097"/>
      <c r="T134" s="2098"/>
      <c r="U134" s="2099"/>
      <c r="V134" s="2100"/>
      <c r="W134" s="2101"/>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row>
    <row r="135" spans="1:44" s="2061" customFormat="1" ht="17.25" customHeight="1">
      <c r="A135" s="244"/>
      <c r="C135" s="130"/>
      <c r="D135" s="5194">
        <v>8</v>
      </c>
      <c r="E135" s="5196" t="s">
        <v>327</v>
      </c>
      <c r="F135" s="5198" t="s">
        <v>57</v>
      </c>
      <c r="G135" s="5196"/>
      <c r="H135" s="5201"/>
      <c r="I135" s="5203"/>
      <c r="J135" s="5205"/>
      <c r="K135" s="5188"/>
      <c r="L135" s="5188"/>
      <c r="M135" s="5188"/>
      <c r="N135" s="5190"/>
      <c r="O135" s="5188"/>
      <c r="P135" s="5188"/>
      <c r="Q135" s="5188"/>
      <c r="R135" s="5193"/>
      <c r="S135" s="5188"/>
      <c r="T135" s="1380"/>
      <c r="U135" s="1380"/>
      <c r="V135" s="1382"/>
      <c r="W135" s="1214"/>
      <c r="X135" s="1185"/>
      <c r="Y135" s="1185"/>
      <c r="Z135" s="1185"/>
      <c r="AA135" s="1185"/>
      <c r="AB135" s="1185"/>
      <c r="AC135" s="1185" t="s">
        <v>328</v>
      </c>
      <c r="AD135" s="1185" t="s">
        <v>329</v>
      </c>
      <c r="AE135" s="1185" t="s">
        <v>330</v>
      </c>
      <c r="AF135" s="1185" t="s">
        <v>331</v>
      </c>
      <c r="AG135" s="1185" t="s">
        <v>332</v>
      </c>
      <c r="AH135" s="1185" t="str">
        <f>IF($E$135=0,"",$E$135)</f>
        <v>Плата за подключение (технологическое присоединение) к системе теплоснабжения</v>
      </c>
      <c r="AI135" s="1185" t="str">
        <f>IF($G$135=0,"",$G$135)</f>
        <v/>
      </c>
      <c r="AJ135" s="1185" t="str">
        <f>IF($J$135=0,"",$J$135)</f>
        <v/>
      </c>
      <c r="AK135" s="1185" t="str">
        <f>IF($K$135="нет","без дифференциации",IF($N$135=0,"",$N$135))</f>
        <v/>
      </c>
      <c r="AL135" s="1185" t="str">
        <f>IF($O$135="нет","без дифференциации",IF($R$135=0,"",$R$135))</f>
        <v/>
      </c>
      <c r="AM135" s="1185" t="str">
        <f>IF($S$135="нет","без дифференциации",IF($V$135=0,"",$V$135))</f>
        <v/>
      </c>
      <c r="AN135" s="1680">
        <f>$I$135</f>
        <v>0</v>
      </c>
      <c r="AO135" s="1185" t="str">
        <f>$I$135&amp;"."&amp;$M$135</f>
        <v>.</v>
      </c>
      <c r="AP135" s="1178" t="str">
        <f>$I$135&amp;"."&amp;$M$135&amp;"."&amp;$Q$135</f>
        <v>..</v>
      </c>
      <c r="AQ135" s="1178" t="str">
        <f>$I$135&amp;"."&amp;$M$135&amp;"."&amp;$Q$135&amp;"."&amp;$U$135</f>
        <v>...</v>
      </c>
    </row>
    <row r="136" spans="1:44" s="2061" customFormat="1" ht="17.25" customHeight="1">
      <c r="A136" s="244"/>
      <c r="C136" s="243"/>
      <c r="D136" s="5194"/>
      <c r="E136" s="5196"/>
      <c r="F136" s="5199"/>
      <c r="G136" s="5196"/>
      <c r="H136" s="5202"/>
      <c r="I136" s="5204"/>
      <c r="J136" s="5206"/>
      <c r="K136" s="5189"/>
      <c r="L136" s="5189"/>
      <c r="M136" s="5189"/>
      <c r="N136" s="5191"/>
      <c r="O136" s="5189"/>
      <c r="P136" s="5189"/>
      <c r="Q136" s="5189"/>
      <c r="R136" s="5192"/>
      <c r="S136" s="5189"/>
      <c r="T136" s="1215"/>
      <c r="U136" s="1215"/>
      <c r="V136" s="1215"/>
      <c r="W136" s="1216"/>
      <c r="X136" s="1178"/>
      <c r="Y136" s="1178"/>
      <c r="Z136" s="1178"/>
      <c r="AA136" s="1178"/>
      <c r="AB136" s="1178"/>
      <c r="AC136" s="1178"/>
      <c r="AD136" s="1178"/>
      <c r="AE136" s="1178"/>
      <c r="AF136" s="1178"/>
      <c r="AG136" s="1178"/>
      <c r="AH136" s="1178"/>
      <c r="AI136" s="1178"/>
      <c r="AJ136" s="1178"/>
      <c r="AK136" s="1178"/>
      <c r="AL136" s="1178"/>
      <c r="AM136" s="1178"/>
      <c r="AN136" s="1178"/>
      <c r="AO136" s="1178"/>
      <c r="AP136" s="1178"/>
      <c r="AQ136" s="1178"/>
    </row>
    <row r="137" spans="1:44" s="2061" customFormat="1" ht="17.25" customHeight="1">
      <c r="A137" s="244"/>
      <c r="C137" s="243"/>
      <c r="D137" s="5195"/>
      <c r="E137" s="5197"/>
      <c r="F137" s="5199"/>
      <c r="G137" s="5197"/>
      <c r="H137" s="5202"/>
      <c r="I137" s="5204"/>
      <c r="J137" s="5207"/>
      <c r="K137" s="5189"/>
      <c r="L137" s="5189"/>
      <c r="M137" s="5189"/>
      <c r="N137" s="5192"/>
      <c r="O137" s="5189"/>
      <c r="P137" s="1381"/>
      <c r="Q137" s="1215"/>
      <c r="R137" s="1215"/>
      <c r="S137" s="255"/>
      <c r="T137" s="255"/>
      <c r="U137" s="255"/>
      <c r="V137" s="255"/>
      <c r="W137" s="1216"/>
      <c r="X137" s="1178"/>
      <c r="Y137" s="1178"/>
      <c r="Z137" s="1178"/>
      <c r="AA137" s="1178"/>
      <c r="AB137" s="1178"/>
      <c r="AC137" s="1178"/>
      <c r="AD137" s="1178"/>
      <c r="AE137" s="1178"/>
      <c r="AF137" s="1178"/>
      <c r="AG137" s="1178"/>
      <c r="AH137" s="1178"/>
      <c r="AI137" s="1178"/>
      <c r="AJ137" s="1178"/>
      <c r="AK137" s="1178"/>
      <c r="AL137" s="1178"/>
      <c r="AM137" s="1178"/>
      <c r="AN137" s="1178"/>
      <c r="AO137" s="1178"/>
      <c r="AP137" s="1178"/>
      <c r="AQ137" s="1178"/>
    </row>
    <row r="138" spans="1:44" s="2060" customFormat="1" ht="17.25" customHeight="1">
      <c r="A138" s="244"/>
      <c r="C138" s="130"/>
      <c r="D138" s="5195"/>
      <c r="E138" s="5197"/>
      <c r="F138" s="5199"/>
      <c r="G138" s="5197"/>
      <c r="H138" s="5202"/>
      <c r="I138" s="5204"/>
      <c r="J138" s="5207"/>
      <c r="K138" s="5189"/>
      <c r="L138" s="1215"/>
      <c r="M138" s="1215"/>
      <c r="N138" s="1215"/>
      <c r="O138" s="1215"/>
      <c r="P138" s="1215"/>
      <c r="Q138" s="1215"/>
      <c r="R138" s="1215"/>
      <c r="S138" s="255"/>
      <c r="T138" s="255"/>
      <c r="U138" s="255"/>
      <c r="V138" s="255"/>
      <c r="W138" s="1216"/>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row>
    <row r="139" spans="1:44" s="2061" customFormat="1" ht="17.25" customHeight="1">
      <c r="A139" s="244"/>
      <c r="C139" s="243"/>
      <c r="D139" s="5195"/>
      <c r="E139" s="5197"/>
      <c r="F139" s="5200"/>
      <c r="G139" s="5197"/>
      <c r="H139" s="1217"/>
      <c r="I139" s="1218"/>
      <c r="J139" s="1218"/>
      <c r="K139" s="1218"/>
      <c r="L139" s="1218"/>
      <c r="M139" s="1218"/>
      <c r="N139" s="1218"/>
      <c r="O139" s="1218"/>
      <c r="P139" s="1218"/>
      <c r="Q139" s="1218"/>
      <c r="R139" s="1218"/>
      <c r="S139" s="1219"/>
      <c r="T139" s="1219"/>
      <c r="U139" s="1219"/>
      <c r="V139" s="1219"/>
      <c r="W139" s="1220"/>
      <c r="X139" s="1178"/>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row>
    <row r="141" spans="1:44" ht="11.25" customHeight="1">
      <c r="E141" s="5233" t="s">
        <v>333</v>
      </c>
      <c r="F141" s="5233"/>
      <c r="G141" s="5233"/>
      <c r="H141" s="5233"/>
      <c r="I141" s="5233"/>
      <c r="J141" s="5233"/>
      <c r="K141" s="5233"/>
      <c r="L141" s="5233"/>
      <c r="M141" s="5233"/>
      <c r="N141" s="5233"/>
      <c r="O141" s="5233"/>
      <c r="P141" s="5233"/>
      <c r="Q141" s="5233"/>
      <c r="R141" s="5233"/>
      <c r="S141" s="5233"/>
      <c r="T141" s="5233"/>
      <c r="U141" s="5233"/>
      <c r="V141" s="5233"/>
      <c r="W141" s="5233"/>
    </row>
    <row r="142" spans="1:44" ht="36.75" customHeight="1">
      <c r="E142" s="5231" t="s">
        <v>334</v>
      </c>
      <c r="F142" s="5231"/>
      <c r="G142" s="5232"/>
      <c r="H142" s="5232"/>
      <c r="I142" s="5232"/>
      <c r="J142" s="5232"/>
      <c r="K142" s="5232"/>
      <c r="L142" s="5232"/>
      <c r="M142" s="5232"/>
      <c r="N142" s="5232"/>
      <c r="O142" s="5232"/>
      <c r="P142" s="5232"/>
      <c r="Q142" s="5232"/>
      <c r="R142" s="5232"/>
      <c r="S142" s="5232"/>
      <c r="T142" s="5232"/>
      <c r="U142" s="5232"/>
      <c r="V142" s="5232"/>
      <c r="W142" s="5232"/>
    </row>
    <row r="143" spans="1:44" ht="28.5" customHeight="1">
      <c r="E143" s="5231" t="s">
        <v>335</v>
      </c>
      <c r="F143" s="5231"/>
      <c r="G143" s="5232"/>
      <c r="H143" s="5232"/>
      <c r="I143" s="5232"/>
      <c r="J143" s="5232"/>
      <c r="K143" s="5232"/>
      <c r="L143" s="5232"/>
      <c r="M143" s="5232"/>
      <c r="N143" s="5232"/>
      <c r="O143" s="5232"/>
      <c r="P143" s="5232"/>
      <c r="Q143" s="5232"/>
      <c r="R143" s="5232"/>
      <c r="S143" s="5232"/>
      <c r="T143" s="5232"/>
      <c r="U143" s="5232"/>
      <c r="V143" s="5232"/>
      <c r="W143" s="5232"/>
    </row>
    <row r="144" spans="1:44" ht="27" customHeight="1">
      <c r="E144" s="5231" t="s">
        <v>336</v>
      </c>
      <c r="F144" s="5231"/>
      <c r="G144" s="5232"/>
      <c r="H144" s="5232"/>
      <c r="I144" s="5232"/>
      <c r="J144" s="5232"/>
      <c r="K144" s="5232"/>
      <c r="L144" s="5232"/>
      <c r="M144" s="5232"/>
      <c r="N144" s="5232"/>
      <c r="O144" s="5232"/>
      <c r="P144" s="5232"/>
      <c r="Q144" s="5232"/>
      <c r="R144" s="5232"/>
      <c r="S144" s="5232"/>
      <c r="T144" s="5232"/>
      <c r="U144" s="5232"/>
      <c r="V144" s="5232"/>
      <c r="W144" s="5232"/>
    </row>
    <row r="145" spans="1:43" ht="17.25" customHeight="1">
      <c r="E145" s="5231" t="s">
        <v>337</v>
      </c>
      <c r="F145" s="5231"/>
      <c r="G145" s="5232"/>
      <c r="H145" s="5232"/>
      <c r="I145" s="5232"/>
      <c r="J145" s="5232"/>
      <c r="K145" s="5232"/>
      <c r="L145" s="5232"/>
      <c r="M145" s="5232"/>
      <c r="N145" s="5232"/>
      <c r="O145" s="5232"/>
      <c r="P145" s="5232"/>
      <c r="Q145" s="5232"/>
      <c r="R145" s="5232"/>
      <c r="S145" s="5232"/>
      <c r="T145" s="5232"/>
      <c r="U145" s="5232"/>
      <c r="V145" s="5232"/>
      <c r="W145" s="5232"/>
    </row>
    <row r="146" spans="1:43" ht="15" customHeight="1">
      <c r="E146" s="266"/>
      <c r="F146" s="1203"/>
      <c r="G146" s="79"/>
      <c r="H146" s="79"/>
      <c r="I146" s="79"/>
      <c r="J146" s="79"/>
      <c r="K146" s="79"/>
      <c r="L146" s="79"/>
      <c r="M146" s="79"/>
      <c r="N146" s="79"/>
      <c r="O146" s="79"/>
      <c r="P146" s="79"/>
      <c r="Q146" s="79"/>
      <c r="R146" s="79"/>
      <c r="S146" s="79"/>
      <c r="T146" s="79"/>
      <c r="U146" s="79"/>
      <c r="V146" s="79"/>
      <c r="W146" s="79"/>
    </row>
    <row r="147" spans="1:43" ht="15" customHeight="1">
      <c r="E147" s="5233" t="s">
        <v>338</v>
      </c>
      <c r="F147" s="5233"/>
      <c r="G147" s="5233"/>
      <c r="H147" s="5233"/>
      <c r="I147" s="5233"/>
      <c r="J147" s="5233"/>
      <c r="K147" s="5233"/>
      <c r="L147" s="5233"/>
      <c r="M147" s="5233"/>
      <c r="N147" s="5233"/>
      <c r="O147" s="5233"/>
      <c r="P147" s="5233"/>
      <c r="Q147" s="5233"/>
      <c r="R147" s="5233"/>
      <c r="S147" s="5233"/>
      <c r="T147" s="5233"/>
      <c r="U147" s="5233"/>
      <c r="V147" s="5233"/>
      <c r="W147" s="5233"/>
    </row>
    <row r="148" spans="1:43" ht="17.25" customHeight="1">
      <c r="E148" s="5231" t="s">
        <v>339</v>
      </c>
      <c r="F148" s="5231"/>
      <c r="G148" s="5232"/>
      <c r="H148" s="5232"/>
      <c r="I148" s="5232"/>
      <c r="J148" s="5232"/>
      <c r="K148" s="5232"/>
      <c r="L148" s="5232"/>
      <c r="M148" s="5232"/>
      <c r="N148" s="5232"/>
      <c r="O148" s="5232"/>
      <c r="P148" s="5232"/>
      <c r="Q148" s="5232"/>
      <c r="R148" s="5232"/>
      <c r="S148" s="5232"/>
      <c r="T148" s="5232"/>
      <c r="U148" s="5232"/>
      <c r="V148" s="5232"/>
      <c r="W148" s="5232"/>
    </row>
    <row r="149" spans="1:43" ht="17.25" customHeight="1">
      <c r="E149" s="5231" t="s">
        <v>340</v>
      </c>
      <c r="F149" s="5231"/>
      <c r="G149" s="5232"/>
      <c r="H149" s="5232"/>
      <c r="I149" s="5232"/>
      <c r="J149" s="5232"/>
      <c r="K149" s="5232"/>
      <c r="L149" s="5232"/>
      <c r="M149" s="5232"/>
      <c r="N149" s="5232"/>
      <c r="O149" s="5232"/>
      <c r="P149" s="5232"/>
      <c r="Q149" s="5232"/>
      <c r="R149" s="5232"/>
      <c r="S149" s="5232"/>
      <c r="T149" s="5232"/>
      <c r="U149" s="5232"/>
      <c r="V149" s="5232"/>
      <c r="W149" s="5232"/>
    </row>
    <row r="150" spans="1:43" s="2102" customFormat="1" ht="11.25" hidden="1" customHeight="1">
      <c r="A150" s="194"/>
      <c r="B150" s="194"/>
      <c r="Y150" s="1178"/>
      <c r="Z150" s="1178"/>
      <c r="AA150" s="1178"/>
      <c r="AB150" s="1178"/>
      <c r="AC150" s="1178"/>
      <c r="AD150" s="1178"/>
      <c r="AE150" s="1178"/>
      <c r="AF150" s="1178"/>
      <c r="AG150" s="1178"/>
      <c r="AH150" s="1178"/>
      <c r="AI150" s="1178"/>
      <c r="AJ150" s="1178"/>
      <c r="AK150" s="1178"/>
      <c r="AL150" s="1178"/>
      <c r="AM150" s="1178"/>
      <c r="AN150" s="1178"/>
      <c r="AO150" s="1178"/>
      <c r="AP150" s="1178"/>
      <c r="AQ150" s="1178"/>
    </row>
    <row r="151" spans="1:43" s="2102" customFormat="1" ht="17.25" hidden="1" customHeight="1">
      <c r="A151" s="244"/>
      <c r="C151" s="130"/>
      <c r="D151" s="5194">
        <v>1</v>
      </c>
      <c r="E151" s="5196" t="s">
        <v>341</v>
      </c>
      <c r="F151" s="5198" t="s">
        <v>57</v>
      </c>
      <c r="G151" s="5196"/>
      <c r="H151" s="5201"/>
      <c r="I151" s="5203"/>
      <c r="J151" s="5205"/>
      <c r="K151" s="5188"/>
      <c r="L151" s="5188"/>
      <c r="M151" s="5188"/>
      <c r="N151" s="5190"/>
      <c r="O151" s="5188"/>
      <c r="P151" s="5188"/>
      <c r="Q151" s="5188"/>
      <c r="R151" s="5193"/>
      <c r="S151" s="5188"/>
      <c r="T151" s="1380"/>
      <c r="U151" s="1380"/>
      <c r="V151" s="1382"/>
      <c r="W151" s="1214"/>
      <c r="Y151" s="1185"/>
      <c r="Z151" s="1185"/>
      <c r="AA151" s="1185"/>
      <c r="AB151" s="1185"/>
      <c r="AC151" s="1185" t="s">
        <v>342</v>
      </c>
      <c r="AD151" s="1185" t="s">
        <v>343</v>
      </c>
      <c r="AE151" s="1185" t="s">
        <v>344</v>
      </c>
      <c r="AF151" s="1185" t="s">
        <v>345</v>
      </c>
      <c r="AG151" s="1185"/>
      <c r="AH151" s="1185" t="str">
        <f>IF($E$151=0,"",$E$151)</f>
        <v>Тариф на питьевую воду (питьевое водоснабжение)</v>
      </c>
      <c r="AI151" s="1185" t="str">
        <f>IF($G$151=0,"",$G$151)</f>
        <v/>
      </c>
      <c r="AJ151" s="1185" t="str">
        <f>IF($J$151=0,"",$J$151)</f>
        <v/>
      </c>
      <c r="AK151" s="1185" t="str">
        <f>IF($K$151="нет","без дифференциации",IF($N$151=0,"",$N$151))</f>
        <v/>
      </c>
      <c r="AL151" s="1185" t="str">
        <f>IF($O$151="нет","без дифференциации",IF($R$151=0,"",$R$151))</f>
        <v/>
      </c>
      <c r="AM151" s="1185" t="str">
        <f>IF($S$151="нет","без дифференциации",IF($V$151=0,"",$V$151))</f>
        <v/>
      </c>
      <c r="AN151" s="1185">
        <f>$I$151</f>
        <v>0</v>
      </c>
      <c r="AO151" s="1185" t="str">
        <f>$I$151&amp;"."&amp;$M$151</f>
        <v>.</v>
      </c>
      <c r="AP151" s="1185" t="str">
        <f>$I$151&amp;"."&amp;$M$151&amp;"."&amp;$Q$151</f>
        <v>..</v>
      </c>
      <c r="AQ151" s="1185" t="str">
        <f>$I$151&amp;"."&amp;$M$151&amp;"."&amp;$Q$151&amp;"."&amp;$U$151</f>
        <v>...</v>
      </c>
    </row>
    <row r="152" spans="1:43" s="2102" customFormat="1" ht="17.25" hidden="1" customHeight="1">
      <c r="A152" s="244"/>
      <c r="C152" s="243"/>
      <c r="D152" s="5194"/>
      <c r="E152" s="5196"/>
      <c r="F152" s="5199"/>
      <c r="G152" s="5196"/>
      <c r="H152" s="5202"/>
      <c r="I152" s="5204"/>
      <c r="J152" s="5206"/>
      <c r="K152" s="5189"/>
      <c r="L152" s="5189"/>
      <c r="M152" s="5189"/>
      <c r="N152" s="5191"/>
      <c r="O152" s="5189"/>
      <c r="P152" s="5189"/>
      <c r="Q152" s="5189"/>
      <c r="R152" s="5192"/>
      <c r="S152" s="5189"/>
      <c r="T152" s="1215"/>
      <c r="U152" s="1215"/>
      <c r="V152" s="1215"/>
      <c r="W152" s="1216"/>
      <c r="Y152" s="1178"/>
      <c r="Z152" s="1178"/>
      <c r="AA152" s="1178"/>
      <c r="AB152" s="1178"/>
      <c r="AC152" s="1178"/>
      <c r="AD152" s="1178"/>
      <c r="AE152" s="1178"/>
      <c r="AF152" s="1178"/>
      <c r="AG152" s="1178"/>
      <c r="AH152" s="1178"/>
      <c r="AI152" s="1178"/>
      <c r="AJ152" s="1178"/>
      <c r="AK152" s="1178"/>
      <c r="AL152" s="1178"/>
      <c r="AM152" s="1178"/>
      <c r="AN152" s="1178"/>
      <c r="AO152" s="1178"/>
      <c r="AP152" s="1178"/>
      <c r="AQ152" s="1178"/>
    </row>
    <row r="153" spans="1:43" s="2103" customFormat="1" ht="17.25" hidden="1" customHeight="1">
      <c r="A153" s="244"/>
      <c r="C153" s="130"/>
      <c r="D153" s="5194"/>
      <c r="E153" s="5196"/>
      <c r="F153" s="5199"/>
      <c r="G153" s="5196"/>
      <c r="H153" s="5202"/>
      <c r="I153" s="5204"/>
      <c r="J153" s="5207"/>
      <c r="K153" s="5189"/>
      <c r="L153" s="5189"/>
      <c r="M153" s="5189"/>
      <c r="N153" s="5192"/>
      <c r="O153" s="5189"/>
      <c r="P153" s="1381"/>
      <c r="Q153" s="1215"/>
      <c r="R153" s="1215"/>
      <c r="S153" s="255"/>
      <c r="T153" s="255"/>
      <c r="U153" s="255"/>
      <c r="V153" s="255"/>
      <c r="W153" s="1216"/>
      <c r="Y153" s="1185"/>
      <c r="Z153" s="1185"/>
      <c r="AA153" s="1185"/>
      <c r="AB153" s="1185"/>
      <c r="AC153" s="1185"/>
      <c r="AD153" s="1185"/>
      <c r="AE153" s="1185"/>
      <c r="AF153" s="1185"/>
      <c r="AG153" s="1185"/>
      <c r="AH153" s="1185"/>
      <c r="AI153" s="1185"/>
      <c r="AJ153" s="1185"/>
      <c r="AK153" s="1185"/>
      <c r="AL153" s="1185"/>
      <c r="AM153" s="1185"/>
      <c r="AN153" s="1185"/>
      <c r="AO153" s="1185"/>
      <c r="AP153" s="1185"/>
      <c r="AQ153" s="1185"/>
    </row>
    <row r="154" spans="1:43" s="2103" customFormat="1" ht="17.25" hidden="1" customHeight="1">
      <c r="A154" s="244"/>
      <c r="C154" s="243"/>
      <c r="D154" s="5194"/>
      <c r="E154" s="5196"/>
      <c r="F154" s="5199"/>
      <c r="G154" s="5196"/>
      <c r="H154" s="5202"/>
      <c r="I154" s="5204"/>
      <c r="J154" s="5207"/>
      <c r="K154" s="5189"/>
      <c r="L154" s="1215"/>
      <c r="M154" s="1215"/>
      <c r="N154" s="1215"/>
      <c r="O154" s="1215"/>
      <c r="P154" s="1215"/>
      <c r="Q154" s="1215"/>
      <c r="R154" s="1215"/>
      <c r="S154" s="255"/>
      <c r="T154" s="255"/>
      <c r="U154" s="255"/>
      <c r="V154" s="255"/>
      <c r="W154" s="1216"/>
      <c r="Y154" s="1178"/>
      <c r="Z154" s="1178"/>
      <c r="AA154" s="1178"/>
      <c r="AB154" s="1178"/>
      <c r="AC154" s="1178"/>
      <c r="AD154" s="1178"/>
      <c r="AE154" s="1178"/>
      <c r="AF154" s="1178"/>
      <c r="AG154" s="1178"/>
      <c r="AH154" s="1178"/>
      <c r="AI154" s="1178"/>
      <c r="AJ154" s="1178"/>
      <c r="AK154" s="1178"/>
      <c r="AL154" s="1178"/>
      <c r="AM154" s="1178"/>
      <c r="AN154" s="1178"/>
      <c r="AO154" s="1178"/>
      <c r="AP154" s="1178"/>
      <c r="AQ154" s="1178"/>
    </row>
    <row r="155" spans="1:43" s="2102" customFormat="1" ht="17.25" hidden="1" customHeight="1">
      <c r="A155" s="244"/>
      <c r="C155" s="243"/>
      <c r="D155" s="5195"/>
      <c r="E155" s="5197"/>
      <c r="F155" s="5200"/>
      <c r="G155" s="5197"/>
      <c r="H155" s="1217"/>
      <c r="I155" s="1218"/>
      <c r="J155" s="1218"/>
      <c r="K155" s="1218"/>
      <c r="L155" s="1218"/>
      <c r="M155" s="1218"/>
      <c r="N155" s="1218"/>
      <c r="O155" s="1218"/>
      <c r="P155" s="1218"/>
      <c r="Q155" s="1218"/>
      <c r="R155" s="1218"/>
      <c r="S155" s="1219"/>
      <c r="T155" s="1219"/>
      <c r="U155" s="1219"/>
      <c r="V155" s="1219"/>
      <c r="W155" s="1220"/>
      <c r="Y155" s="1178"/>
      <c r="Z155" s="1178"/>
      <c r="AA155" s="1178"/>
      <c r="AB155" s="1178"/>
      <c r="AC155" s="1178"/>
      <c r="AD155" s="1178"/>
      <c r="AE155" s="1178"/>
      <c r="AF155" s="1178"/>
      <c r="AG155" s="1178"/>
      <c r="AH155" s="1178"/>
      <c r="AI155" s="1178"/>
      <c r="AJ155" s="1178"/>
      <c r="AK155" s="1178"/>
      <c r="AL155" s="1178"/>
      <c r="AM155" s="1178"/>
      <c r="AN155" s="1178"/>
      <c r="AO155" s="1178"/>
      <c r="AP155" s="1178"/>
      <c r="AQ155" s="1178"/>
    </row>
    <row r="156" spans="1:43" s="2102" customFormat="1" ht="17.25" hidden="1" customHeight="1">
      <c r="A156" s="244"/>
      <c r="C156" s="130"/>
      <c r="D156" s="5194">
        <v>2</v>
      </c>
      <c r="E156" s="5196" t="s">
        <v>346</v>
      </c>
      <c r="F156" s="5198" t="s">
        <v>57</v>
      </c>
      <c r="G156" s="5196"/>
      <c r="H156" s="5201"/>
      <c r="I156" s="5203"/>
      <c r="J156" s="5205"/>
      <c r="K156" s="5188"/>
      <c r="L156" s="5188"/>
      <c r="M156" s="5188"/>
      <c r="N156" s="5190"/>
      <c r="O156" s="5188"/>
      <c r="P156" s="5188"/>
      <c r="Q156" s="5188"/>
      <c r="R156" s="5193"/>
      <c r="S156" s="5188"/>
      <c r="T156" s="1356"/>
      <c r="U156" s="1356"/>
      <c r="V156" s="1358"/>
      <c r="W156" s="1214"/>
      <c r="X156" s="1185"/>
      <c r="Y156" s="1185"/>
      <c r="Z156" s="1185"/>
      <c r="AA156" s="1185"/>
      <c r="AB156" s="1185"/>
      <c r="AC156" s="1185" t="s">
        <v>347</v>
      </c>
      <c r="AD156" s="1185" t="s">
        <v>348</v>
      </c>
      <c r="AE156" s="1185" t="s">
        <v>349</v>
      </c>
      <c r="AF156" s="1185" t="s">
        <v>350</v>
      </c>
      <c r="AG156" s="1185"/>
      <c r="AH156" s="1185" t="str">
        <f>IF($E$156=0,"",$E$156)</f>
        <v>Тариф на техническую воду</v>
      </c>
      <c r="AI156" s="1185" t="str">
        <f>IF($G$156=0,"",$G$156)</f>
        <v/>
      </c>
      <c r="AJ156" s="1185" t="str">
        <f>IF($J$156=0,"",$J$156)</f>
        <v/>
      </c>
      <c r="AK156" s="1185" t="str">
        <f>IF($K$156="нет","без дифференциации",IF($N$156=0,"",$N$156))</f>
        <v/>
      </c>
      <c r="AL156" s="1185" t="str">
        <f>IF($O$156="нет","без дифференциации",IF($R$156=0,"",$R$156))</f>
        <v/>
      </c>
      <c r="AM156" s="1185" t="str">
        <f>IF($S$156="нет","без дифференциации",IF($V$156=0,"",$V$156))</f>
        <v/>
      </c>
      <c r="AN156" s="1680">
        <f>$I$156</f>
        <v>0</v>
      </c>
      <c r="AO156" s="1185" t="str">
        <f>$I$156&amp;"."&amp;$M$156</f>
        <v>.</v>
      </c>
      <c r="AP156" s="1178" t="str">
        <f>$I$156&amp;"."&amp;$M$156&amp;"."&amp;$Q$156</f>
        <v>..</v>
      </c>
      <c r="AQ156" s="1178" t="str">
        <f>$I$156&amp;"."&amp;$M$156&amp;"."&amp;$Q$156&amp;"."&amp;$U$156</f>
        <v>...</v>
      </c>
    </row>
    <row r="157" spans="1:43" s="2102" customFormat="1" ht="17.25" hidden="1" customHeight="1">
      <c r="A157" s="244"/>
      <c r="C157" s="243"/>
      <c r="D157" s="5194"/>
      <c r="E157" s="5196"/>
      <c r="F157" s="5199"/>
      <c r="G157" s="5196"/>
      <c r="H157" s="5202"/>
      <c r="I157" s="5204"/>
      <c r="J157" s="5206"/>
      <c r="K157" s="5189"/>
      <c r="L157" s="5189"/>
      <c r="M157" s="5189"/>
      <c r="N157" s="5191"/>
      <c r="O157" s="5189"/>
      <c r="P157" s="5189"/>
      <c r="Q157" s="5189"/>
      <c r="R157" s="5192"/>
      <c r="S157" s="5189"/>
      <c r="T157" s="1215"/>
      <c r="U157" s="1215"/>
      <c r="V157" s="1215"/>
      <c r="W157" s="1216"/>
      <c r="X157" s="1178"/>
      <c r="Y157" s="1178"/>
      <c r="Z157" s="1178"/>
      <c r="AA157" s="1178"/>
      <c r="AB157" s="1178"/>
      <c r="AC157" s="1178"/>
      <c r="AD157" s="1178"/>
      <c r="AE157" s="1178"/>
      <c r="AF157" s="1178"/>
      <c r="AG157" s="1178"/>
      <c r="AH157" s="1178"/>
      <c r="AI157" s="1178"/>
      <c r="AJ157" s="1178"/>
      <c r="AK157" s="1178"/>
      <c r="AL157" s="1178"/>
      <c r="AM157" s="1178"/>
      <c r="AN157" s="1178"/>
      <c r="AO157" s="1178"/>
      <c r="AP157" s="1178"/>
      <c r="AQ157" s="1178"/>
    </row>
    <row r="158" spans="1:43" s="2102" customFormat="1" ht="17.25" hidden="1" customHeight="1">
      <c r="A158" s="244"/>
      <c r="C158" s="243"/>
      <c r="D158" s="5195"/>
      <c r="E158" s="5197"/>
      <c r="F158" s="5199"/>
      <c r="G158" s="5197"/>
      <c r="H158" s="5202"/>
      <c r="I158" s="5204"/>
      <c r="J158" s="5207"/>
      <c r="K158" s="5189"/>
      <c r="L158" s="5189"/>
      <c r="M158" s="5189"/>
      <c r="N158" s="5192"/>
      <c r="O158" s="5189"/>
      <c r="P158" s="1357"/>
      <c r="Q158" s="1215"/>
      <c r="R158" s="1215"/>
      <c r="S158" s="255"/>
      <c r="T158" s="255"/>
      <c r="U158" s="255"/>
      <c r="V158" s="255"/>
      <c r="W158" s="1216"/>
      <c r="X158" s="1178"/>
      <c r="Y158" s="1178"/>
      <c r="Z158" s="1178"/>
      <c r="AA158" s="1178"/>
      <c r="AB158" s="1178"/>
      <c r="AC158" s="1178"/>
      <c r="AD158" s="1178"/>
      <c r="AE158" s="1178"/>
      <c r="AF158" s="1178"/>
      <c r="AG158" s="1178"/>
      <c r="AH158" s="1178"/>
      <c r="AI158" s="1178"/>
      <c r="AJ158" s="1178"/>
      <c r="AK158" s="1178"/>
      <c r="AL158" s="1178"/>
      <c r="AM158" s="1178"/>
      <c r="AN158" s="1178"/>
      <c r="AO158" s="1178"/>
      <c r="AP158" s="1178"/>
      <c r="AQ158" s="1178"/>
    </row>
    <row r="159" spans="1:43" s="2102" customFormat="1" ht="17.25" hidden="1" customHeight="1">
      <c r="A159" s="244"/>
      <c r="C159" s="243"/>
      <c r="D159" s="5195"/>
      <c r="E159" s="5197"/>
      <c r="F159" s="5199"/>
      <c r="G159" s="5197"/>
      <c r="H159" s="5202"/>
      <c r="I159" s="5204"/>
      <c r="J159" s="5207"/>
      <c r="K159" s="5189"/>
      <c r="L159" s="1215"/>
      <c r="M159" s="1215"/>
      <c r="N159" s="1215"/>
      <c r="O159" s="1215"/>
      <c r="P159" s="1215"/>
      <c r="Q159" s="1215"/>
      <c r="R159" s="1215"/>
      <c r="S159" s="255"/>
      <c r="T159" s="255"/>
      <c r="U159" s="255"/>
      <c r="V159" s="255"/>
      <c r="W159" s="1216"/>
      <c r="X159" s="1178"/>
      <c r="Y159" s="1178"/>
      <c r="Z159" s="1178"/>
      <c r="AA159" s="1178"/>
      <c r="AB159" s="1178"/>
      <c r="AC159" s="1178"/>
      <c r="AD159" s="1178"/>
      <c r="AE159" s="1178"/>
      <c r="AF159" s="1178"/>
      <c r="AG159" s="1178"/>
      <c r="AH159" s="1178"/>
      <c r="AI159" s="1178"/>
      <c r="AJ159" s="1178"/>
      <c r="AK159" s="1178"/>
      <c r="AL159" s="1178"/>
      <c r="AM159" s="1178"/>
      <c r="AN159" s="1178"/>
      <c r="AO159" s="1178"/>
      <c r="AP159" s="1178"/>
      <c r="AQ159" s="1178"/>
    </row>
    <row r="160" spans="1:43" s="2102" customFormat="1" ht="17.25" hidden="1" customHeight="1">
      <c r="A160" s="244"/>
      <c r="C160" s="243"/>
      <c r="D160" s="5195"/>
      <c r="E160" s="5197"/>
      <c r="F160" s="5200"/>
      <c r="G160" s="5197"/>
      <c r="H160" s="1217"/>
      <c r="I160" s="1218"/>
      <c r="J160" s="1218"/>
      <c r="K160" s="1218"/>
      <c r="L160" s="1218"/>
      <c r="M160" s="1218"/>
      <c r="N160" s="1218"/>
      <c r="O160" s="1218"/>
      <c r="P160" s="1218"/>
      <c r="Q160" s="1218"/>
      <c r="R160" s="1218"/>
      <c r="S160" s="1219"/>
      <c r="T160" s="1219"/>
      <c r="U160" s="1219"/>
      <c r="V160" s="1219"/>
      <c r="W160" s="1220"/>
      <c r="X160" s="1178"/>
      <c r="Y160" s="1178"/>
      <c r="Z160" s="1178"/>
      <c r="AA160" s="1178"/>
      <c r="AB160" s="1178"/>
      <c r="AC160" s="1178"/>
      <c r="AD160" s="1178"/>
      <c r="AE160" s="1178"/>
      <c r="AF160" s="1178"/>
      <c r="AG160" s="1178"/>
      <c r="AH160" s="1178"/>
      <c r="AI160" s="1178"/>
      <c r="AJ160" s="1178"/>
      <c r="AK160" s="1178"/>
      <c r="AL160" s="1178"/>
      <c r="AM160" s="1178"/>
      <c r="AN160" s="1178"/>
      <c r="AO160" s="1178"/>
      <c r="AP160" s="1178"/>
      <c r="AQ160" s="1178"/>
    </row>
    <row r="161" spans="1:43" s="2102" customFormat="1" ht="17.25" hidden="1" customHeight="1">
      <c r="A161" s="244"/>
      <c r="C161" s="130"/>
      <c r="D161" s="5194">
        <v>3</v>
      </c>
      <c r="E161" s="5196" t="s">
        <v>351</v>
      </c>
      <c r="F161" s="5198" t="s">
        <v>57</v>
      </c>
      <c r="G161" s="5196"/>
      <c r="H161" s="5201"/>
      <c r="I161" s="5203"/>
      <c r="J161" s="5205"/>
      <c r="K161" s="5188"/>
      <c r="L161" s="5188"/>
      <c r="M161" s="5188"/>
      <c r="N161" s="5190"/>
      <c r="O161" s="5188"/>
      <c r="P161" s="5188"/>
      <c r="Q161" s="5188"/>
      <c r="R161" s="5193"/>
      <c r="S161" s="5188"/>
      <c r="T161" s="1356"/>
      <c r="U161" s="1356"/>
      <c r="V161" s="1358"/>
      <c r="W161" s="1214"/>
      <c r="X161" s="1185"/>
      <c r="Y161" s="1185"/>
      <c r="Z161" s="1185"/>
      <c r="AA161" s="1185"/>
      <c r="AB161" s="1185"/>
      <c r="AC161" s="1185" t="s">
        <v>352</v>
      </c>
      <c r="AD161" s="1185" t="s">
        <v>353</v>
      </c>
      <c r="AE161" s="1185" t="s">
        <v>354</v>
      </c>
      <c r="AF161" s="1185" t="s">
        <v>355</v>
      </c>
      <c r="AG161" s="1185"/>
      <c r="AH161" s="1185" t="str">
        <f>IF($E$161=0,"",$E$161)</f>
        <v>Тариф на транспортировку воды</v>
      </c>
      <c r="AI161" s="1185" t="str">
        <f>IF($G$161=0,"",$G$161)</f>
        <v/>
      </c>
      <c r="AJ161" s="1185" t="str">
        <f>IF($J$161=0,"",$J$161)</f>
        <v/>
      </c>
      <c r="AK161" s="1185" t="str">
        <f>IF($K$161="нет","без дифференциации",IF($N$161=0,"",$N$161))</f>
        <v/>
      </c>
      <c r="AL161" s="1185" t="str">
        <f>IF($O$161="нет","без дифференциации",IF($R$161=0,"",$R$161))</f>
        <v/>
      </c>
      <c r="AM161" s="1185" t="str">
        <f>IF($S$161="нет","без дифференциации",IF($V$161=0,"",$V$161))</f>
        <v/>
      </c>
      <c r="AN161" s="1680">
        <f>$I$161</f>
        <v>0</v>
      </c>
      <c r="AO161" s="1185" t="str">
        <f>$I$161&amp;"."&amp;$M$161</f>
        <v>.</v>
      </c>
      <c r="AP161" s="1178" t="str">
        <f>$I$161&amp;"."&amp;$M$161&amp;"."&amp;$Q$161</f>
        <v>..</v>
      </c>
      <c r="AQ161" s="1178" t="str">
        <f>$I$161&amp;"."&amp;$M$161&amp;"."&amp;$Q$161&amp;"."&amp;$U$161</f>
        <v>...</v>
      </c>
    </row>
    <row r="162" spans="1:43" s="2102" customFormat="1" ht="17.25" hidden="1" customHeight="1">
      <c r="A162" s="244"/>
      <c r="C162" s="243"/>
      <c r="D162" s="5194"/>
      <c r="E162" s="5196"/>
      <c r="F162" s="5199"/>
      <c r="G162" s="5196"/>
      <c r="H162" s="5202"/>
      <c r="I162" s="5204"/>
      <c r="J162" s="5206"/>
      <c r="K162" s="5189"/>
      <c r="L162" s="5189"/>
      <c r="M162" s="5189"/>
      <c r="N162" s="5191"/>
      <c r="O162" s="5189"/>
      <c r="P162" s="5189"/>
      <c r="Q162" s="5189"/>
      <c r="R162" s="5192"/>
      <c r="S162" s="5189"/>
      <c r="T162" s="1215"/>
      <c r="U162" s="1215"/>
      <c r="V162" s="1215"/>
      <c r="W162" s="1216"/>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8"/>
      <c r="AQ162" s="1178"/>
    </row>
    <row r="163" spans="1:43" s="2102" customFormat="1" ht="17.25" hidden="1" customHeight="1">
      <c r="A163" s="244"/>
      <c r="C163" s="243"/>
      <c r="D163" s="5195"/>
      <c r="E163" s="5197"/>
      <c r="F163" s="5199"/>
      <c r="G163" s="5197"/>
      <c r="H163" s="5202"/>
      <c r="I163" s="5204"/>
      <c r="J163" s="5207"/>
      <c r="K163" s="5189"/>
      <c r="L163" s="5189"/>
      <c r="M163" s="5189"/>
      <c r="N163" s="5192"/>
      <c r="O163" s="5189"/>
      <c r="P163" s="1357"/>
      <c r="Q163" s="1215"/>
      <c r="R163" s="1215"/>
      <c r="S163" s="255"/>
      <c r="T163" s="255"/>
      <c r="U163" s="255"/>
      <c r="V163" s="255"/>
      <c r="W163" s="1216"/>
      <c r="X163" s="1178"/>
      <c r="Y163" s="1178"/>
      <c r="Z163" s="1178"/>
      <c r="AA163" s="1178"/>
      <c r="AB163" s="1178"/>
      <c r="AC163" s="1178"/>
      <c r="AD163" s="1178"/>
      <c r="AE163" s="1178"/>
      <c r="AF163" s="1178"/>
      <c r="AG163" s="1178"/>
      <c r="AH163" s="1178"/>
      <c r="AI163" s="1178"/>
      <c r="AJ163" s="1178"/>
      <c r="AK163" s="1178"/>
      <c r="AL163" s="1178"/>
      <c r="AM163" s="1178"/>
      <c r="AN163" s="1178"/>
      <c r="AO163" s="1178"/>
      <c r="AP163" s="1178"/>
      <c r="AQ163" s="1178"/>
    </row>
    <row r="164" spans="1:43" s="2102" customFormat="1" ht="17.25" hidden="1" customHeight="1">
      <c r="A164" s="244"/>
      <c r="C164" s="243"/>
      <c r="D164" s="5195"/>
      <c r="E164" s="5197"/>
      <c r="F164" s="5199"/>
      <c r="G164" s="5197"/>
      <c r="H164" s="5202"/>
      <c r="I164" s="5204"/>
      <c r="J164" s="5207"/>
      <c r="K164" s="5189"/>
      <c r="L164" s="1215"/>
      <c r="M164" s="1215"/>
      <c r="N164" s="1215"/>
      <c r="O164" s="1215"/>
      <c r="P164" s="1215"/>
      <c r="Q164" s="1215"/>
      <c r="R164" s="1215"/>
      <c r="S164" s="255"/>
      <c r="T164" s="255"/>
      <c r="U164" s="255"/>
      <c r="V164" s="255"/>
      <c r="W164" s="1216"/>
      <c r="X164" s="1178"/>
      <c r="Y164" s="1178"/>
      <c r="Z164" s="1178"/>
      <c r="AA164" s="1178"/>
      <c r="AB164" s="1178"/>
      <c r="AC164" s="1178"/>
      <c r="AD164" s="1178"/>
      <c r="AE164" s="1178"/>
      <c r="AF164" s="1178"/>
      <c r="AG164" s="1178"/>
      <c r="AH164" s="1178"/>
      <c r="AI164" s="1178"/>
      <c r="AJ164" s="1178"/>
      <c r="AK164" s="1178"/>
      <c r="AL164" s="1178"/>
      <c r="AM164" s="1178"/>
      <c r="AN164" s="1178"/>
      <c r="AO164" s="1178"/>
      <c r="AP164" s="1178"/>
      <c r="AQ164" s="1178"/>
    </row>
    <row r="165" spans="1:43" s="2102" customFormat="1" ht="17.25" hidden="1" customHeight="1">
      <c r="A165" s="244"/>
      <c r="C165" s="243"/>
      <c r="D165" s="5195"/>
      <c r="E165" s="5197"/>
      <c r="F165" s="5200"/>
      <c r="G165" s="5197"/>
      <c r="H165" s="1217"/>
      <c r="I165" s="1218"/>
      <c r="J165" s="1218"/>
      <c r="K165" s="1218"/>
      <c r="L165" s="1218"/>
      <c r="M165" s="1218"/>
      <c r="N165" s="1218"/>
      <c r="O165" s="1218"/>
      <c r="P165" s="1218"/>
      <c r="Q165" s="1218"/>
      <c r="R165" s="1218"/>
      <c r="S165" s="1219"/>
      <c r="T165" s="1219"/>
      <c r="U165" s="1219"/>
      <c r="V165" s="1219"/>
      <c r="W165" s="1220"/>
      <c r="X165" s="1178"/>
      <c r="Y165" s="1178"/>
      <c r="Z165" s="1178"/>
      <c r="AA165" s="1178"/>
      <c r="AB165" s="1178"/>
      <c r="AC165" s="1178"/>
      <c r="AD165" s="1178"/>
      <c r="AE165" s="1178"/>
      <c r="AF165" s="1178"/>
      <c r="AG165" s="1178"/>
      <c r="AH165" s="1178"/>
      <c r="AI165" s="1178"/>
      <c r="AJ165" s="1178"/>
      <c r="AK165" s="1178"/>
      <c r="AL165" s="1178"/>
      <c r="AM165" s="1178"/>
      <c r="AN165" s="1178"/>
      <c r="AO165" s="1178"/>
      <c r="AP165" s="1178"/>
      <c r="AQ165" s="1178"/>
    </row>
    <row r="166" spans="1:43" s="2102" customFormat="1" ht="17.25" hidden="1" customHeight="1">
      <c r="A166" s="244"/>
      <c r="C166" s="130"/>
      <c r="D166" s="5194">
        <v>4</v>
      </c>
      <c r="E166" s="5196" t="s">
        <v>356</v>
      </c>
      <c r="F166" s="5198" t="s">
        <v>57</v>
      </c>
      <c r="G166" s="5196"/>
      <c r="H166" s="5201"/>
      <c r="I166" s="5203"/>
      <c r="J166" s="5205"/>
      <c r="K166" s="5188"/>
      <c r="L166" s="5188"/>
      <c r="M166" s="5188"/>
      <c r="N166" s="5190"/>
      <c r="O166" s="5188"/>
      <c r="P166" s="5188"/>
      <c r="Q166" s="5188"/>
      <c r="R166" s="5193"/>
      <c r="S166" s="5188"/>
      <c r="T166" s="1356"/>
      <c r="U166" s="1356"/>
      <c r="V166" s="1358"/>
      <c r="W166" s="1214"/>
      <c r="X166" s="1185"/>
      <c r="Y166" s="1185"/>
      <c r="Z166" s="1185"/>
      <c r="AA166" s="1185"/>
      <c r="AB166" s="1185"/>
      <c r="AC166" s="1185" t="s">
        <v>357</v>
      </c>
      <c r="AD166" s="1185" t="s">
        <v>358</v>
      </c>
      <c r="AE166" s="1185" t="s">
        <v>359</v>
      </c>
      <c r="AF166" s="1185" t="s">
        <v>360</v>
      </c>
      <c r="AG166" s="1185"/>
      <c r="AH166" s="1185" t="str">
        <f>IF($E$166=0,"",$E$166)</f>
        <v>Тариф на подвоз воды</v>
      </c>
      <c r="AI166" s="1185" t="str">
        <f>IF($G$166=0,"",$G$166)</f>
        <v/>
      </c>
      <c r="AJ166" s="1185" t="str">
        <f>IF($J$166=0,"",$J$166)</f>
        <v/>
      </c>
      <c r="AK166" s="1185" t="str">
        <f>IF($K$166="нет","без дифференциации",IF($N$166=0,"",$N$166))</f>
        <v/>
      </c>
      <c r="AL166" s="1185" t="str">
        <f>IF($O$166="нет","без дифференциации",IF($R$166=0,"",$R$166))</f>
        <v/>
      </c>
      <c r="AM166" s="1185" t="str">
        <f>IF($S$166="нет","без дифференциации",IF($V$166=0,"",$V$166))</f>
        <v/>
      </c>
      <c r="AN166" s="1680">
        <f>$I$166</f>
        <v>0</v>
      </c>
      <c r="AO166" s="1185" t="str">
        <f>$I$166&amp;"."&amp;$M$166</f>
        <v>.</v>
      </c>
      <c r="AP166" s="1178" t="str">
        <f>$I$166&amp;"."&amp;$M$166&amp;"."&amp;$Q$166</f>
        <v>..</v>
      </c>
      <c r="AQ166" s="1178" t="str">
        <f>$I$166&amp;"."&amp;$M$166&amp;"."&amp;$Q$166&amp;"."&amp;$U$166</f>
        <v>...</v>
      </c>
    </row>
    <row r="167" spans="1:43" s="2102" customFormat="1" ht="17.25" hidden="1" customHeight="1">
      <c r="A167" s="244"/>
      <c r="C167" s="243"/>
      <c r="D167" s="5194"/>
      <c r="E167" s="5196"/>
      <c r="F167" s="5199"/>
      <c r="G167" s="5196"/>
      <c r="H167" s="5202"/>
      <c r="I167" s="5204"/>
      <c r="J167" s="5206"/>
      <c r="K167" s="5189"/>
      <c r="L167" s="5189"/>
      <c r="M167" s="5189"/>
      <c r="N167" s="5191"/>
      <c r="O167" s="5189"/>
      <c r="P167" s="5189"/>
      <c r="Q167" s="5189"/>
      <c r="R167" s="5192"/>
      <c r="S167" s="5189"/>
      <c r="T167" s="1215"/>
      <c r="U167" s="1215"/>
      <c r="V167" s="1215"/>
      <c r="W167" s="1216"/>
      <c r="X167" s="1178"/>
      <c r="Y167" s="1178"/>
      <c r="Z167" s="1178"/>
      <c r="AA167" s="1178"/>
      <c r="AB167" s="1178"/>
      <c r="AC167" s="1178"/>
      <c r="AD167" s="1178"/>
      <c r="AE167" s="1178"/>
      <c r="AF167" s="1178"/>
      <c r="AG167" s="1178"/>
      <c r="AH167" s="1178"/>
      <c r="AI167" s="1178"/>
      <c r="AJ167" s="1178"/>
      <c r="AK167" s="1178"/>
      <c r="AL167" s="1178"/>
      <c r="AM167" s="1178"/>
      <c r="AN167" s="1178"/>
      <c r="AO167" s="1178"/>
      <c r="AP167" s="1178"/>
      <c r="AQ167" s="1178"/>
    </row>
    <row r="168" spans="1:43" s="2102" customFormat="1" ht="17.25" hidden="1" customHeight="1">
      <c r="A168" s="244"/>
      <c r="C168" s="243"/>
      <c r="D168" s="5195"/>
      <c r="E168" s="5197"/>
      <c r="F168" s="5199"/>
      <c r="G168" s="5197"/>
      <c r="H168" s="5202"/>
      <c r="I168" s="5204"/>
      <c r="J168" s="5207"/>
      <c r="K168" s="5189"/>
      <c r="L168" s="5189"/>
      <c r="M168" s="5189"/>
      <c r="N168" s="5192"/>
      <c r="O168" s="5189"/>
      <c r="P168" s="1357"/>
      <c r="Q168" s="1215"/>
      <c r="R168" s="1215"/>
      <c r="S168" s="255"/>
      <c r="T168" s="255"/>
      <c r="U168" s="255"/>
      <c r="V168" s="255"/>
      <c r="W168" s="1216"/>
      <c r="X168" s="1178"/>
      <c r="Y168" s="1178"/>
      <c r="Z168" s="1178"/>
      <c r="AA168" s="1178"/>
      <c r="AB168" s="1178"/>
      <c r="AC168" s="1178"/>
      <c r="AD168" s="1178"/>
      <c r="AE168" s="1178"/>
      <c r="AF168" s="1178"/>
      <c r="AG168" s="1178"/>
      <c r="AH168" s="1178"/>
      <c r="AI168" s="1178"/>
      <c r="AJ168" s="1178"/>
      <c r="AK168" s="1178"/>
      <c r="AL168" s="1178"/>
      <c r="AM168" s="1178"/>
      <c r="AN168" s="1178"/>
      <c r="AO168" s="1178"/>
      <c r="AP168" s="1178"/>
      <c r="AQ168" s="1178"/>
    </row>
    <row r="169" spans="1:43" s="2102" customFormat="1" ht="17.25" hidden="1" customHeight="1">
      <c r="A169" s="244"/>
      <c r="C169" s="243"/>
      <c r="D169" s="5195"/>
      <c r="E169" s="5197"/>
      <c r="F169" s="5199"/>
      <c r="G169" s="5197"/>
      <c r="H169" s="5202"/>
      <c r="I169" s="5204"/>
      <c r="J169" s="5207"/>
      <c r="K169" s="5189"/>
      <c r="L169" s="1215"/>
      <c r="M169" s="1215"/>
      <c r="N169" s="1215"/>
      <c r="O169" s="1215"/>
      <c r="P169" s="1215"/>
      <c r="Q169" s="1215"/>
      <c r="R169" s="1215"/>
      <c r="S169" s="255"/>
      <c r="T169" s="255"/>
      <c r="U169" s="255"/>
      <c r="V169" s="255"/>
      <c r="W169" s="1216"/>
      <c r="X169" s="1178"/>
      <c r="Y169" s="1178"/>
      <c r="Z169" s="1178"/>
      <c r="AA169" s="1178"/>
      <c r="AB169" s="1178"/>
      <c r="AC169" s="1178"/>
      <c r="AD169" s="1178"/>
      <c r="AE169" s="1178"/>
      <c r="AF169" s="1178"/>
      <c r="AG169" s="1178"/>
      <c r="AH169" s="1178"/>
      <c r="AI169" s="1178"/>
      <c r="AJ169" s="1178"/>
      <c r="AK169" s="1178"/>
      <c r="AL169" s="1178"/>
      <c r="AM169" s="1178"/>
      <c r="AN169" s="1178"/>
      <c r="AO169" s="1178"/>
      <c r="AP169" s="1178"/>
      <c r="AQ169" s="1178"/>
    </row>
    <row r="170" spans="1:43" s="2102" customFormat="1" ht="17.25" hidden="1" customHeight="1">
      <c r="A170" s="244"/>
      <c r="C170" s="243"/>
      <c r="D170" s="5195"/>
      <c r="E170" s="5197"/>
      <c r="F170" s="5200"/>
      <c r="G170" s="5197"/>
      <c r="H170" s="1217"/>
      <c r="I170" s="1218"/>
      <c r="J170" s="1218"/>
      <c r="K170" s="1218"/>
      <c r="L170" s="1218"/>
      <c r="M170" s="1218"/>
      <c r="N170" s="1218"/>
      <c r="O170" s="1218"/>
      <c r="P170" s="1218"/>
      <c r="Q170" s="1218"/>
      <c r="R170" s="1218"/>
      <c r="S170" s="1219"/>
      <c r="T170" s="1219"/>
      <c r="U170" s="1219"/>
      <c r="V170" s="1219"/>
      <c r="W170" s="1220"/>
      <c r="X170" s="1178"/>
      <c r="Y170" s="1178"/>
      <c r="Z170" s="1178"/>
      <c r="AA170" s="1178"/>
      <c r="AB170" s="1178"/>
      <c r="AC170" s="1178"/>
      <c r="AD170" s="1178"/>
      <c r="AE170" s="1178"/>
      <c r="AF170" s="1178"/>
      <c r="AG170" s="1178"/>
      <c r="AH170" s="1178"/>
      <c r="AI170" s="1178"/>
      <c r="AJ170" s="1178"/>
      <c r="AK170" s="1178"/>
      <c r="AL170" s="1178"/>
      <c r="AM170" s="1178"/>
      <c r="AN170" s="1178"/>
      <c r="AO170" s="1178"/>
      <c r="AP170" s="1178"/>
      <c r="AQ170" s="1178"/>
    </row>
    <row r="171" spans="1:43" s="2102" customFormat="1" ht="17.25" hidden="1" customHeight="1">
      <c r="A171" s="244"/>
      <c r="C171" s="130"/>
      <c r="D171" s="5194">
        <v>5</v>
      </c>
      <c r="E171" s="5196" t="s">
        <v>361</v>
      </c>
      <c r="F171" s="5198" t="s">
        <v>57</v>
      </c>
      <c r="G171" s="5196"/>
      <c r="H171" s="5201"/>
      <c r="I171" s="5203"/>
      <c r="J171" s="5205"/>
      <c r="K171" s="5188"/>
      <c r="L171" s="5188"/>
      <c r="M171" s="5188"/>
      <c r="N171" s="5190"/>
      <c r="O171" s="5188"/>
      <c r="P171" s="5188"/>
      <c r="Q171" s="5188"/>
      <c r="R171" s="5193"/>
      <c r="S171" s="5188"/>
      <c r="T171" s="1380"/>
      <c r="U171" s="1380"/>
      <c r="V171" s="1382"/>
      <c r="W171" s="1214"/>
      <c r="X171" s="1185"/>
      <c r="Y171" s="1185"/>
      <c r="Z171" s="1185"/>
      <c r="AA171" s="1185"/>
      <c r="AB171" s="1185"/>
      <c r="AC171" s="1185" t="s">
        <v>362</v>
      </c>
      <c r="AD171" s="1185" t="s">
        <v>363</v>
      </c>
      <c r="AE171" s="1185" t="s">
        <v>364</v>
      </c>
      <c r="AF171" s="1185" t="s">
        <v>365</v>
      </c>
      <c r="AG171" s="1185"/>
      <c r="AH171" s="1185" t="str">
        <f>IF($E$171=0,"",$E$171)</f>
        <v>Тариф на подключение (технологическое присоединение) к централизованной системе холодного водоснабжения</v>
      </c>
      <c r="AI171" s="1185" t="str">
        <f>IF($G$171=0,"",$G$171)</f>
        <v/>
      </c>
      <c r="AJ171" s="1185" t="str">
        <f>IF($J$171=0,"",$J$171)</f>
        <v/>
      </c>
      <c r="AK171" s="1185" t="str">
        <f>IF($K$171="нет","без дифференциации",IF($N$171=0,"",$N$171))</f>
        <v/>
      </c>
      <c r="AL171" s="1185" t="str">
        <f>IF($O$171="нет","без дифференциации",IF($R$171=0,"",$R$171))</f>
        <v/>
      </c>
      <c r="AM171" s="1185" t="str">
        <f>IF($S$171="нет","без дифференциации",IF($V$171=0,"",$V$171))</f>
        <v/>
      </c>
      <c r="AN171" s="1680">
        <f>$I$171</f>
        <v>0</v>
      </c>
      <c r="AO171" s="1185" t="str">
        <f>$I$171&amp;"."&amp;$M$171</f>
        <v>.</v>
      </c>
      <c r="AP171" s="1178" t="str">
        <f>$I$171&amp;"."&amp;$M$171&amp;"."&amp;$Q$171</f>
        <v>..</v>
      </c>
      <c r="AQ171" s="1178" t="str">
        <f>$I$171&amp;"."&amp;$M$171&amp;"."&amp;$Q$171&amp;"."&amp;$U$171</f>
        <v>...</v>
      </c>
    </row>
    <row r="172" spans="1:43" s="2102" customFormat="1" ht="17.25" hidden="1" customHeight="1">
      <c r="A172" s="244"/>
      <c r="C172" s="243"/>
      <c r="D172" s="5194"/>
      <c r="E172" s="5196"/>
      <c r="F172" s="5199"/>
      <c r="G172" s="5196"/>
      <c r="H172" s="5202"/>
      <c r="I172" s="5204"/>
      <c r="J172" s="5206"/>
      <c r="K172" s="5189"/>
      <c r="L172" s="5189"/>
      <c r="M172" s="5189"/>
      <c r="N172" s="5191"/>
      <c r="O172" s="5189"/>
      <c r="P172" s="5189"/>
      <c r="Q172" s="5189"/>
      <c r="R172" s="5192"/>
      <c r="S172" s="5189"/>
      <c r="T172" s="1215"/>
      <c r="U172" s="1215"/>
      <c r="V172" s="1215"/>
      <c r="W172" s="1216"/>
      <c r="X172" s="1178"/>
      <c r="Y172" s="1178"/>
      <c r="Z172" s="1178"/>
      <c r="AA172" s="1178"/>
      <c r="AB172" s="1178"/>
      <c r="AC172" s="1178"/>
      <c r="AD172" s="1178"/>
      <c r="AE172" s="1178"/>
      <c r="AF172" s="1178"/>
      <c r="AG172" s="1178"/>
      <c r="AH172" s="1178"/>
      <c r="AI172" s="1178"/>
      <c r="AJ172" s="1178"/>
      <c r="AK172" s="1178"/>
      <c r="AL172" s="1178"/>
      <c r="AM172" s="1178"/>
      <c r="AN172" s="1178"/>
      <c r="AO172" s="1178"/>
      <c r="AP172" s="1178"/>
      <c r="AQ172" s="1178"/>
    </row>
    <row r="173" spans="1:43" s="2102" customFormat="1" ht="17.25" hidden="1" customHeight="1">
      <c r="A173" s="244"/>
      <c r="C173" s="243"/>
      <c r="D173" s="5195"/>
      <c r="E173" s="5197"/>
      <c r="F173" s="5199"/>
      <c r="G173" s="5197"/>
      <c r="H173" s="5202"/>
      <c r="I173" s="5204"/>
      <c r="J173" s="5207"/>
      <c r="K173" s="5189"/>
      <c r="L173" s="5189"/>
      <c r="M173" s="5189"/>
      <c r="N173" s="5192"/>
      <c r="O173" s="5189"/>
      <c r="P173" s="1381"/>
      <c r="Q173" s="1215"/>
      <c r="R173" s="1215"/>
      <c r="S173" s="255"/>
      <c r="T173" s="255"/>
      <c r="U173" s="255"/>
      <c r="V173" s="255"/>
      <c r="W173" s="1216"/>
      <c r="X173" s="1178"/>
      <c r="Y173" s="1178"/>
      <c r="Z173" s="1178"/>
      <c r="AA173" s="1178"/>
      <c r="AB173" s="1178"/>
      <c r="AC173" s="1178"/>
      <c r="AD173" s="1178"/>
      <c r="AE173" s="1178"/>
      <c r="AF173" s="1178"/>
      <c r="AG173" s="1178"/>
      <c r="AH173" s="1178"/>
      <c r="AI173" s="1178"/>
      <c r="AJ173" s="1178"/>
      <c r="AK173" s="1178"/>
      <c r="AL173" s="1178"/>
      <c r="AM173" s="1178"/>
      <c r="AN173" s="1178"/>
      <c r="AO173" s="1178"/>
      <c r="AP173" s="1178"/>
      <c r="AQ173" s="1178"/>
    </row>
    <row r="174" spans="1:43" s="2102" customFormat="1" ht="17.25" hidden="1" customHeight="1">
      <c r="A174" s="244"/>
      <c r="C174" s="243"/>
      <c r="D174" s="5195"/>
      <c r="E174" s="5197"/>
      <c r="F174" s="5199"/>
      <c r="G174" s="5197"/>
      <c r="H174" s="5202"/>
      <c r="I174" s="5204"/>
      <c r="J174" s="5207"/>
      <c r="K174" s="5189"/>
      <c r="L174" s="1215"/>
      <c r="M174" s="1215"/>
      <c r="N174" s="1215"/>
      <c r="O174" s="1215"/>
      <c r="P174" s="1215"/>
      <c r="Q174" s="1215"/>
      <c r="R174" s="1215"/>
      <c r="S174" s="255"/>
      <c r="T174" s="255"/>
      <c r="U174" s="255"/>
      <c r="V174" s="255"/>
      <c r="W174" s="1216"/>
      <c r="X174" s="1178"/>
      <c r="Y174" s="1178"/>
      <c r="Z174" s="1178"/>
      <c r="AA174" s="1178"/>
      <c r="AB174" s="1178"/>
      <c r="AC174" s="1178"/>
      <c r="AD174" s="1178"/>
      <c r="AE174" s="1178"/>
      <c r="AF174" s="1178"/>
      <c r="AG174" s="1178"/>
      <c r="AH174" s="1178"/>
      <c r="AI174" s="1178"/>
      <c r="AJ174" s="1178"/>
      <c r="AK174" s="1178"/>
      <c r="AL174" s="1178"/>
      <c r="AM174" s="1178"/>
      <c r="AN174" s="1178"/>
      <c r="AO174" s="1178"/>
      <c r="AP174" s="1178"/>
      <c r="AQ174" s="1178"/>
    </row>
    <row r="175" spans="1:43" s="2102" customFormat="1" ht="17.25" hidden="1" customHeight="1">
      <c r="A175" s="244"/>
      <c r="C175" s="243"/>
      <c r="D175" s="5195"/>
      <c r="E175" s="5197"/>
      <c r="F175" s="5200"/>
      <c r="G175" s="5197"/>
      <c r="H175" s="1217"/>
      <c r="I175" s="1218"/>
      <c r="J175" s="1218"/>
      <c r="K175" s="1218"/>
      <c r="L175" s="1218"/>
      <c r="M175" s="1218"/>
      <c r="N175" s="1218"/>
      <c r="O175" s="1218"/>
      <c r="P175" s="1218"/>
      <c r="Q175" s="1218"/>
      <c r="R175" s="1218"/>
      <c r="S175" s="1219"/>
      <c r="T175" s="1219"/>
      <c r="U175" s="1219"/>
      <c r="V175" s="1219"/>
      <c r="W175" s="1220"/>
      <c r="X175" s="1178"/>
      <c r="Y175" s="1178"/>
      <c r="Z175" s="1178"/>
      <c r="AA175" s="1178"/>
      <c r="AB175" s="1178"/>
      <c r="AC175" s="1178"/>
      <c r="AD175" s="1178"/>
      <c r="AE175" s="1178"/>
      <c r="AF175" s="1178"/>
      <c r="AG175" s="1178"/>
      <c r="AH175" s="1178"/>
      <c r="AI175" s="1178"/>
      <c r="AJ175" s="1178"/>
      <c r="AK175" s="1178"/>
      <c r="AL175" s="1178"/>
      <c r="AM175" s="1178"/>
      <c r="AN175" s="1178"/>
      <c r="AO175" s="1178"/>
      <c r="AP175" s="1178"/>
      <c r="AQ175" s="1178"/>
    </row>
    <row r="176" spans="1:43" s="2104" customFormat="1" ht="11.25" hidden="1" customHeight="1">
      <c r="A176" s="194"/>
      <c r="B176" s="194"/>
      <c r="Y176" s="1178"/>
      <c r="Z176" s="1178"/>
      <c r="AA176" s="1178"/>
      <c r="AB176" s="1178"/>
      <c r="AC176" s="1178"/>
      <c r="AD176" s="1178"/>
      <c r="AE176" s="1178"/>
      <c r="AF176" s="1178"/>
      <c r="AG176" s="1178"/>
      <c r="AH176" s="1178"/>
      <c r="AI176" s="1178"/>
      <c r="AJ176" s="1178"/>
      <c r="AK176" s="1178"/>
      <c r="AL176" s="1178"/>
      <c r="AM176" s="1178"/>
      <c r="AN176" s="1178"/>
      <c r="AO176" s="1178"/>
      <c r="AP176" s="1178"/>
      <c r="AQ176" s="1178"/>
    </row>
    <row r="177" spans="1:43" s="2104" customFormat="1" ht="17.25" hidden="1" customHeight="1">
      <c r="A177" s="244"/>
      <c r="C177" s="130"/>
      <c r="D177" s="5194">
        <v>1</v>
      </c>
      <c r="E177" s="5196" t="s">
        <v>366</v>
      </c>
      <c r="F177" s="5198" t="s">
        <v>57</v>
      </c>
      <c r="G177" s="5196"/>
      <c r="H177" s="5201"/>
      <c r="I177" s="5203"/>
      <c r="J177" s="5205"/>
      <c r="K177" s="5188"/>
      <c r="L177" s="5188"/>
      <c r="M177" s="5188"/>
      <c r="N177" s="5190"/>
      <c r="O177" s="5188"/>
      <c r="P177" s="5188"/>
      <c r="Q177" s="5188"/>
      <c r="R177" s="5193"/>
      <c r="S177" s="5188"/>
      <c r="T177" s="1380"/>
      <c r="U177" s="1380"/>
      <c r="V177" s="1382"/>
      <c r="W177" s="1214"/>
      <c r="Y177" s="1185"/>
      <c r="Z177" s="1185"/>
      <c r="AA177" s="1185"/>
      <c r="AB177" s="1185"/>
      <c r="AC177" s="1185" t="s">
        <v>367</v>
      </c>
      <c r="AD177" s="1185" t="s">
        <v>368</v>
      </c>
      <c r="AE177" s="1185" t="s">
        <v>369</v>
      </c>
      <c r="AF177" s="1185" t="s">
        <v>370</v>
      </c>
      <c r="AG177" s="1185"/>
      <c r="AH177" s="1185" t="str">
        <f>IF($E$177=0,"",$E$177)</f>
        <v>Тариф на горячую воду (горячее водоснабжение)</v>
      </c>
      <c r="AI177" s="1185" t="str">
        <f>IF($G$177=0,"",$G$177)</f>
        <v/>
      </c>
      <c r="AJ177" s="1185" t="str">
        <f>IF($J$177=0,"",$J$177)</f>
        <v/>
      </c>
      <c r="AK177" s="1185" t="str">
        <f>IF($K$177="нет","без дифференциации",IF($N$177=0,"",$N$177))</f>
        <v/>
      </c>
      <c r="AL177" s="1185" t="str">
        <f>IF($O$177="нет","без дифференциации",IF($R$177=0,"",$R$177))</f>
        <v/>
      </c>
      <c r="AM177" s="1185" t="str">
        <f>IF($S$177="нет","без дифференциации",IF($V$177=0,"",$V$177))</f>
        <v/>
      </c>
      <c r="AN177" s="1185">
        <f>$I$177</f>
        <v>0</v>
      </c>
      <c r="AO177" s="1185" t="str">
        <f>$I$177&amp;"."&amp;$M$177</f>
        <v>.</v>
      </c>
      <c r="AP177" s="1185" t="str">
        <f>$I$177&amp;"."&amp;$M$177&amp;"."&amp;$Q$177</f>
        <v>..</v>
      </c>
      <c r="AQ177" s="1185" t="str">
        <f>$I$177&amp;"."&amp;$M$177&amp;"."&amp;$Q$177&amp;"."&amp;$U$177</f>
        <v>...</v>
      </c>
    </row>
    <row r="178" spans="1:43" s="2104" customFormat="1" ht="17.25" hidden="1" customHeight="1">
      <c r="A178" s="244"/>
      <c r="C178" s="243"/>
      <c r="D178" s="5194"/>
      <c r="E178" s="5196"/>
      <c r="F178" s="5199"/>
      <c r="G178" s="5196"/>
      <c r="H178" s="5202"/>
      <c r="I178" s="5204"/>
      <c r="J178" s="5206"/>
      <c r="K178" s="5189"/>
      <c r="L178" s="5189"/>
      <c r="M178" s="5189"/>
      <c r="N178" s="5191"/>
      <c r="O178" s="5189"/>
      <c r="P178" s="5189"/>
      <c r="Q178" s="5189"/>
      <c r="R178" s="5192"/>
      <c r="S178" s="5189"/>
      <c r="T178" s="1215"/>
      <c r="U178" s="1215"/>
      <c r="V178" s="1215"/>
      <c r="W178" s="1216"/>
      <c r="Y178" s="1178"/>
      <c r="Z178" s="1178"/>
      <c r="AA178" s="1178"/>
      <c r="AB178" s="1178"/>
      <c r="AC178" s="1178"/>
      <c r="AD178" s="1178"/>
      <c r="AE178" s="1178"/>
      <c r="AF178" s="1178"/>
      <c r="AG178" s="1178"/>
      <c r="AH178" s="1178"/>
      <c r="AI178" s="1178"/>
      <c r="AJ178" s="1178"/>
      <c r="AK178" s="1178"/>
      <c r="AL178" s="1178"/>
      <c r="AM178" s="1178"/>
      <c r="AN178" s="1178"/>
      <c r="AO178" s="1178"/>
      <c r="AP178" s="1178"/>
      <c r="AQ178" s="1178"/>
    </row>
    <row r="179" spans="1:43" s="2104" customFormat="1" ht="17.25" hidden="1" customHeight="1">
      <c r="A179" s="244"/>
      <c r="C179" s="130"/>
      <c r="D179" s="5194"/>
      <c r="E179" s="5196"/>
      <c r="F179" s="5199"/>
      <c r="G179" s="5196"/>
      <c r="H179" s="5202"/>
      <c r="I179" s="5204"/>
      <c r="J179" s="5207"/>
      <c r="K179" s="5189"/>
      <c r="L179" s="5189"/>
      <c r="M179" s="5189"/>
      <c r="N179" s="5192"/>
      <c r="O179" s="5189"/>
      <c r="P179" s="1381"/>
      <c r="Q179" s="1215"/>
      <c r="R179" s="1215"/>
      <c r="S179" s="255"/>
      <c r="T179" s="255"/>
      <c r="U179" s="255"/>
      <c r="V179" s="255"/>
      <c r="W179" s="1216"/>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row>
    <row r="180" spans="1:43" s="2104" customFormat="1" ht="17.25" hidden="1" customHeight="1">
      <c r="A180" s="244"/>
      <c r="C180" s="243"/>
      <c r="D180" s="5194"/>
      <c r="E180" s="5196"/>
      <c r="F180" s="5199"/>
      <c r="G180" s="5196"/>
      <c r="H180" s="5202"/>
      <c r="I180" s="5204"/>
      <c r="J180" s="5207"/>
      <c r="K180" s="5189"/>
      <c r="L180" s="1215"/>
      <c r="M180" s="1215"/>
      <c r="N180" s="1215"/>
      <c r="O180" s="1215"/>
      <c r="P180" s="1215"/>
      <c r="Q180" s="1215"/>
      <c r="R180" s="1215"/>
      <c r="S180" s="255"/>
      <c r="T180" s="255"/>
      <c r="U180" s="255"/>
      <c r="V180" s="255"/>
      <c r="W180" s="1216"/>
      <c r="Y180" s="1178"/>
      <c r="Z180" s="1178"/>
      <c r="AA180" s="1178"/>
      <c r="AB180" s="1178"/>
      <c r="AC180" s="1178"/>
      <c r="AD180" s="1178"/>
      <c r="AE180" s="1178"/>
      <c r="AF180" s="1178"/>
      <c r="AG180" s="1178"/>
      <c r="AH180" s="1178"/>
      <c r="AI180" s="1178"/>
      <c r="AJ180" s="1178"/>
      <c r="AK180" s="1178"/>
      <c r="AL180" s="1178"/>
      <c r="AM180" s="1178"/>
      <c r="AN180" s="1178"/>
      <c r="AO180" s="1178"/>
      <c r="AP180" s="1178"/>
      <c r="AQ180" s="1178"/>
    </row>
    <row r="181" spans="1:43" s="2104" customFormat="1" ht="17.25" hidden="1" customHeight="1">
      <c r="A181" s="244"/>
      <c r="C181" s="243"/>
      <c r="D181" s="5195"/>
      <c r="E181" s="5197"/>
      <c r="F181" s="5200"/>
      <c r="G181" s="5197"/>
      <c r="H181" s="1217"/>
      <c r="I181" s="1218"/>
      <c r="J181" s="1218"/>
      <c r="K181" s="1218"/>
      <c r="L181" s="1218"/>
      <c r="M181" s="1218"/>
      <c r="N181" s="1218"/>
      <c r="O181" s="1218"/>
      <c r="P181" s="1218"/>
      <c r="Q181" s="1218"/>
      <c r="R181" s="1218"/>
      <c r="S181" s="1219"/>
      <c r="T181" s="1219"/>
      <c r="U181" s="1219"/>
      <c r="V181" s="1219"/>
      <c r="W181" s="1220"/>
      <c r="Y181" s="1178"/>
      <c r="Z181" s="1178"/>
      <c r="AA181" s="1178"/>
      <c r="AB181" s="1178"/>
      <c r="AC181" s="1178"/>
      <c r="AD181" s="1178"/>
      <c r="AE181" s="1178"/>
      <c r="AF181" s="1178"/>
      <c r="AG181" s="1178"/>
      <c r="AH181" s="1178"/>
      <c r="AI181" s="1178"/>
      <c r="AJ181" s="1178"/>
      <c r="AK181" s="1178"/>
      <c r="AL181" s="1178"/>
      <c r="AM181" s="1178"/>
      <c r="AN181" s="1178"/>
      <c r="AO181" s="1178"/>
      <c r="AP181" s="1178"/>
      <c r="AQ181" s="1178"/>
    </row>
    <row r="182" spans="1:43" s="2104" customFormat="1" ht="17.25" hidden="1" customHeight="1">
      <c r="A182" s="244"/>
      <c r="C182" s="130"/>
      <c r="D182" s="5194">
        <v>2</v>
      </c>
      <c r="E182" s="5196" t="s">
        <v>371</v>
      </c>
      <c r="F182" s="5198" t="s">
        <v>57</v>
      </c>
      <c r="G182" s="5196"/>
      <c r="H182" s="5201"/>
      <c r="I182" s="5203"/>
      <c r="J182" s="5205"/>
      <c r="K182" s="5188"/>
      <c r="L182" s="5188"/>
      <c r="M182" s="5188"/>
      <c r="N182" s="5190"/>
      <c r="O182" s="5188"/>
      <c r="P182" s="5188"/>
      <c r="Q182" s="5188"/>
      <c r="R182" s="5193"/>
      <c r="S182" s="5188"/>
      <c r="T182" s="1380"/>
      <c r="U182" s="1380"/>
      <c r="V182" s="1382"/>
      <c r="W182" s="1214"/>
      <c r="X182" s="1185"/>
      <c r="Y182" s="1185"/>
      <c r="Z182" s="1185"/>
      <c r="AA182" s="1185"/>
      <c r="AB182" s="1185"/>
      <c r="AC182" s="1185" t="s">
        <v>372</v>
      </c>
      <c r="AD182" s="1185" t="s">
        <v>373</v>
      </c>
      <c r="AE182" s="1185" t="s">
        <v>374</v>
      </c>
      <c r="AF182" s="1185" t="s">
        <v>375</v>
      </c>
      <c r="AG182" s="1185"/>
      <c r="AH182" s="1185" t="str">
        <f>IF($E$182=0,"",$E$182)</f>
        <v>Тариф на транспортировку горячей воды</v>
      </c>
      <c r="AI182" s="1185" t="str">
        <f>IF($G$182=0,"",$G$182)</f>
        <v/>
      </c>
      <c r="AJ182" s="1185" t="str">
        <f>IF($J$182=0,"",$J$182)</f>
        <v/>
      </c>
      <c r="AK182" s="1185" t="str">
        <f>IF($K$182="нет","без дифференциации",IF($N$182=0,"",$N$182))</f>
        <v/>
      </c>
      <c r="AL182" s="1185" t="str">
        <f>IF($O$182="нет","без дифференциации",IF($R$182=0,"",$R$182))</f>
        <v/>
      </c>
      <c r="AM182" s="1185" t="str">
        <f>IF($S$182="нет","без дифференциации",IF($V$182=0,"",$V$182))</f>
        <v/>
      </c>
      <c r="AN182" s="1680">
        <f>$I$182</f>
        <v>0</v>
      </c>
      <c r="AO182" s="1185" t="str">
        <f>$I$182&amp;"."&amp;$M$182</f>
        <v>.</v>
      </c>
      <c r="AP182" s="1178" t="str">
        <f>$I$182&amp;"."&amp;$M$182&amp;"."&amp;$Q$182</f>
        <v>..</v>
      </c>
      <c r="AQ182" s="1178" t="str">
        <f>$I$182&amp;"."&amp;$M$182&amp;"."&amp;$Q$182&amp;"."&amp;$U$182</f>
        <v>...</v>
      </c>
    </row>
    <row r="183" spans="1:43" s="2104" customFormat="1" ht="17.25" hidden="1" customHeight="1">
      <c r="A183" s="244"/>
      <c r="C183" s="243"/>
      <c r="D183" s="5194"/>
      <c r="E183" s="5196"/>
      <c r="F183" s="5199"/>
      <c r="G183" s="5196"/>
      <c r="H183" s="5202"/>
      <c r="I183" s="5204"/>
      <c r="J183" s="5206"/>
      <c r="K183" s="5189"/>
      <c r="L183" s="5189"/>
      <c r="M183" s="5189"/>
      <c r="N183" s="5191"/>
      <c r="O183" s="5189"/>
      <c r="P183" s="5189"/>
      <c r="Q183" s="5189"/>
      <c r="R183" s="5192"/>
      <c r="S183" s="5189"/>
      <c r="T183" s="1215"/>
      <c r="U183" s="1215"/>
      <c r="V183" s="1215"/>
      <c r="W183" s="1216"/>
      <c r="X183" s="1178"/>
      <c r="Y183" s="1178"/>
      <c r="Z183" s="1178"/>
      <c r="AA183" s="1178"/>
      <c r="AB183" s="1178"/>
      <c r="AC183" s="1178"/>
      <c r="AD183" s="1178"/>
      <c r="AE183" s="1178"/>
      <c r="AF183" s="1178"/>
      <c r="AG183" s="1178"/>
      <c r="AH183" s="1178"/>
      <c r="AI183" s="1178"/>
      <c r="AJ183" s="1178"/>
      <c r="AK183" s="1178"/>
      <c r="AL183" s="1178"/>
      <c r="AM183" s="1178"/>
      <c r="AN183" s="1178"/>
      <c r="AO183" s="1178"/>
      <c r="AP183" s="1178"/>
      <c r="AQ183" s="1178"/>
    </row>
    <row r="184" spans="1:43" s="2104" customFormat="1" ht="17.25" hidden="1" customHeight="1">
      <c r="A184" s="244"/>
      <c r="C184" s="243"/>
      <c r="D184" s="5195"/>
      <c r="E184" s="5197"/>
      <c r="F184" s="5199"/>
      <c r="G184" s="5197"/>
      <c r="H184" s="5202"/>
      <c r="I184" s="5204"/>
      <c r="J184" s="5207"/>
      <c r="K184" s="5189"/>
      <c r="L184" s="5189"/>
      <c r="M184" s="5189"/>
      <c r="N184" s="5192"/>
      <c r="O184" s="5189"/>
      <c r="P184" s="1381"/>
      <c r="Q184" s="1215"/>
      <c r="R184" s="1215"/>
      <c r="S184" s="255"/>
      <c r="T184" s="255"/>
      <c r="U184" s="255"/>
      <c r="V184" s="255"/>
      <c r="W184" s="1216"/>
      <c r="X184" s="1178"/>
      <c r="Y184" s="1178"/>
      <c r="Z184" s="1178"/>
      <c r="AA184" s="1178"/>
      <c r="AB184" s="1178"/>
      <c r="AC184" s="1178"/>
      <c r="AD184" s="1178"/>
      <c r="AE184" s="1178"/>
      <c r="AF184" s="1178"/>
      <c r="AG184" s="1178"/>
      <c r="AH184" s="1178"/>
      <c r="AI184" s="1178"/>
      <c r="AJ184" s="1178"/>
      <c r="AK184" s="1178"/>
      <c r="AL184" s="1178"/>
      <c r="AM184" s="1178"/>
      <c r="AN184" s="1178"/>
      <c r="AO184" s="1178"/>
      <c r="AP184" s="1178"/>
      <c r="AQ184" s="1178"/>
    </row>
    <row r="185" spans="1:43" s="2104" customFormat="1" ht="17.25" hidden="1" customHeight="1">
      <c r="A185" s="244"/>
      <c r="C185" s="243"/>
      <c r="D185" s="5195"/>
      <c r="E185" s="5197"/>
      <c r="F185" s="5199"/>
      <c r="G185" s="5197"/>
      <c r="H185" s="5202"/>
      <c r="I185" s="5204"/>
      <c r="J185" s="5207"/>
      <c r="K185" s="5189"/>
      <c r="L185" s="1215"/>
      <c r="M185" s="1215"/>
      <c r="N185" s="1215"/>
      <c r="O185" s="1215"/>
      <c r="P185" s="1215"/>
      <c r="Q185" s="1215"/>
      <c r="R185" s="1215"/>
      <c r="S185" s="255"/>
      <c r="T185" s="255"/>
      <c r="U185" s="255"/>
      <c r="V185" s="255"/>
      <c r="W185" s="1216"/>
      <c r="X185" s="1178"/>
      <c r="Y185" s="1178"/>
      <c r="Z185" s="1178"/>
      <c r="AA185" s="1178"/>
      <c r="AB185" s="1178"/>
      <c r="AC185" s="1178"/>
      <c r="AD185" s="1178"/>
      <c r="AE185" s="1178"/>
      <c r="AF185" s="1178"/>
      <c r="AG185" s="1178"/>
      <c r="AH185" s="1178"/>
      <c r="AI185" s="1178"/>
      <c r="AJ185" s="1178"/>
      <c r="AK185" s="1178"/>
      <c r="AL185" s="1178"/>
      <c r="AM185" s="1178"/>
      <c r="AN185" s="1178"/>
      <c r="AO185" s="1178"/>
      <c r="AP185" s="1178"/>
      <c r="AQ185" s="1178"/>
    </row>
    <row r="186" spans="1:43" s="2104" customFormat="1" ht="17.25" hidden="1" customHeight="1">
      <c r="A186" s="244"/>
      <c r="C186" s="243"/>
      <c r="D186" s="5195"/>
      <c r="E186" s="5197"/>
      <c r="F186" s="5200"/>
      <c r="G186" s="5197"/>
      <c r="H186" s="1217"/>
      <c r="I186" s="1218"/>
      <c r="J186" s="1218"/>
      <c r="K186" s="1218"/>
      <c r="L186" s="1218"/>
      <c r="M186" s="1218"/>
      <c r="N186" s="1218"/>
      <c r="O186" s="1218"/>
      <c r="P186" s="1218"/>
      <c r="Q186" s="1218"/>
      <c r="R186" s="1218"/>
      <c r="S186" s="1219"/>
      <c r="T186" s="1219"/>
      <c r="U186" s="1219"/>
      <c r="V186" s="1219"/>
      <c r="W186" s="1220"/>
      <c r="X186" s="1178"/>
      <c r="Y186" s="1178"/>
      <c r="Z186" s="1178"/>
      <c r="AA186" s="1178"/>
      <c r="AB186" s="1178"/>
      <c r="AC186" s="1178"/>
      <c r="AD186" s="1178"/>
      <c r="AE186" s="1178"/>
      <c r="AF186" s="1178"/>
      <c r="AG186" s="1178"/>
      <c r="AH186" s="1178"/>
      <c r="AI186" s="1178"/>
      <c r="AJ186" s="1178"/>
      <c r="AK186" s="1178"/>
      <c r="AL186" s="1178"/>
      <c r="AM186" s="1178"/>
      <c r="AN186" s="1178"/>
      <c r="AO186" s="1178"/>
      <c r="AP186" s="1178"/>
      <c r="AQ186" s="1178"/>
    </row>
    <row r="187" spans="1:43" s="2104" customFormat="1" ht="17.25" hidden="1" customHeight="1">
      <c r="A187" s="244"/>
      <c r="C187" s="130"/>
      <c r="D187" s="5194">
        <v>3</v>
      </c>
      <c r="E187" s="5196" t="s">
        <v>376</v>
      </c>
      <c r="F187" s="5198" t="s">
        <v>57</v>
      </c>
      <c r="G187" s="5196"/>
      <c r="H187" s="5201"/>
      <c r="I187" s="5203"/>
      <c r="J187" s="5205"/>
      <c r="K187" s="5188"/>
      <c r="L187" s="5188"/>
      <c r="M187" s="5188"/>
      <c r="N187" s="5190"/>
      <c r="O187" s="5188"/>
      <c r="P187" s="5188"/>
      <c r="Q187" s="5188"/>
      <c r="R187" s="5193"/>
      <c r="S187" s="5188"/>
      <c r="T187" s="1380"/>
      <c r="U187" s="1380"/>
      <c r="V187" s="1382"/>
      <c r="W187" s="1214"/>
      <c r="X187" s="1185"/>
      <c r="Y187" s="1185"/>
      <c r="Z187" s="1185"/>
      <c r="AA187" s="1185"/>
      <c r="AB187" s="1185"/>
      <c r="AC187" s="1185" t="s">
        <v>377</v>
      </c>
      <c r="AD187" s="1185" t="s">
        <v>378</v>
      </c>
      <c r="AE187" s="1185" t="s">
        <v>379</v>
      </c>
      <c r="AF187" s="1185" t="s">
        <v>380</v>
      </c>
      <c r="AG187" s="1185"/>
      <c r="AH187" s="1185" t="str">
        <f>IF($E$187=0,"",$E$187)</f>
        <v>Тариф на подключение (технологическое присоединение) к централизованной системе горячего водоснабжения</v>
      </c>
      <c r="AI187" s="1185" t="str">
        <f>IF($G$187=0,"",$G$187)</f>
        <v/>
      </c>
      <c r="AJ187" s="1185" t="str">
        <f>IF($J$187=0,"",$J$187)</f>
        <v/>
      </c>
      <c r="AK187" s="1185" t="str">
        <f>IF($K$187="нет","без дифференциации",IF($N$187=0,"",$N$187))</f>
        <v/>
      </c>
      <c r="AL187" s="1185" t="str">
        <f>IF($O$187="нет","без дифференциации",IF($R$187=0,"",$R$187))</f>
        <v/>
      </c>
      <c r="AM187" s="1185" t="str">
        <f>IF($S$187="нет","без дифференциации",IF($V$187=0,"",$V$187))</f>
        <v/>
      </c>
      <c r="AN187" s="1680">
        <f>$I$187</f>
        <v>0</v>
      </c>
      <c r="AO187" s="1185" t="str">
        <f>$I$187&amp;"."&amp;$M$187</f>
        <v>.</v>
      </c>
      <c r="AP187" s="1178" t="str">
        <f>$I$187&amp;"."&amp;$M$187&amp;"."&amp;$Q$187</f>
        <v>..</v>
      </c>
      <c r="AQ187" s="1178" t="str">
        <f>$I$187&amp;"."&amp;$M$187&amp;"."&amp;$Q$187&amp;"."&amp;$U$187</f>
        <v>...</v>
      </c>
    </row>
    <row r="188" spans="1:43" s="2104" customFormat="1" ht="17.25" hidden="1" customHeight="1">
      <c r="A188" s="244"/>
      <c r="C188" s="243"/>
      <c r="D188" s="5194"/>
      <c r="E188" s="5196"/>
      <c r="F188" s="5199"/>
      <c r="G188" s="5196"/>
      <c r="H188" s="5202"/>
      <c r="I188" s="5204"/>
      <c r="J188" s="5206"/>
      <c r="K188" s="5189"/>
      <c r="L188" s="5189"/>
      <c r="M188" s="5189"/>
      <c r="N188" s="5191"/>
      <c r="O188" s="5189"/>
      <c r="P188" s="5189"/>
      <c r="Q188" s="5189"/>
      <c r="R188" s="5192"/>
      <c r="S188" s="5189"/>
      <c r="T188" s="1215"/>
      <c r="U188" s="1215"/>
      <c r="V188" s="1215"/>
      <c r="W188" s="1216"/>
      <c r="X188" s="1178"/>
      <c r="Y188" s="1178"/>
      <c r="Z188" s="1178"/>
      <c r="AA188" s="1178"/>
      <c r="AB188" s="1178"/>
      <c r="AC188" s="1178"/>
      <c r="AD188" s="1178"/>
      <c r="AE188" s="1178"/>
      <c r="AF188" s="1178"/>
      <c r="AG188" s="1178"/>
      <c r="AH188" s="1178"/>
      <c r="AI188" s="1178"/>
      <c r="AJ188" s="1178"/>
      <c r="AK188" s="1178"/>
      <c r="AL188" s="1178"/>
      <c r="AM188" s="1178"/>
      <c r="AN188" s="1178"/>
      <c r="AO188" s="1178"/>
      <c r="AP188" s="1178"/>
      <c r="AQ188" s="1178"/>
    </row>
    <row r="189" spans="1:43" s="2104" customFormat="1" ht="17.25" hidden="1" customHeight="1">
      <c r="A189" s="244"/>
      <c r="C189" s="243"/>
      <c r="D189" s="5195"/>
      <c r="E189" s="5197"/>
      <c r="F189" s="5199"/>
      <c r="G189" s="5197"/>
      <c r="H189" s="5202"/>
      <c r="I189" s="5204"/>
      <c r="J189" s="5207"/>
      <c r="K189" s="5189"/>
      <c r="L189" s="5189"/>
      <c r="M189" s="5189"/>
      <c r="N189" s="5192"/>
      <c r="O189" s="5189"/>
      <c r="P189" s="1381"/>
      <c r="Q189" s="1215"/>
      <c r="R189" s="1215"/>
      <c r="S189" s="255"/>
      <c r="T189" s="255"/>
      <c r="U189" s="255"/>
      <c r="V189" s="255"/>
      <c r="W189" s="1216"/>
      <c r="X189" s="1178"/>
      <c r="Y189" s="1178"/>
      <c r="Z189" s="1178"/>
      <c r="AA189" s="1178"/>
      <c r="AB189" s="1178"/>
      <c r="AC189" s="1178"/>
      <c r="AD189" s="1178"/>
      <c r="AE189" s="1178"/>
      <c r="AF189" s="1178"/>
      <c r="AG189" s="1178"/>
      <c r="AH189" s="1178"/>
      <c r="AI189" s="1178"/>
      <c r="AJ189" s="1178"/>
      <c r="AK189" s="1178"/>
      <c r="AL189" s="1178"/>
      <c r="AM189" s="1178"/>
      <c r="AN189" s="1178"/>
      <c r="AO189" s="1178"/>
      <c r="AP189" s="1178"/>
      <c r="AQ189" s="1178"/>
    </row>
    <row r="190" spans="1:43" s="2104" customFormat="1" ht="17.25" hidden="1" customHeight="1">
      <c r="A190" s="244"/>
      <c r="C190" s="243"/>
      <c r="D190" s="5195"/>
      <c r="E190" s="5197"/>
      <c r="F190" s="5199"/>
      <c r="G190" s="5197"/>
      <c r="H190" s="5202"/>
      <c r="I190" s="5204"/>
      <c r="J190" s="5207"/>
      <c r="K190" s="5189"/>
      <c r="L190" s="1215"/>
      <c r="M190" s="1215"/>
      <c r="N190" s="1215"/>
      <c r="O190" s="1215"/>
      <c r="P190" s="1215"/>
      <c r="Q190" s="1215"/>
      <c r="R190" s="1215"/>
      <c r="S190" s="255"/>
      <c r="T190" s="255"/>
      <c r="U190" s="255"/>
      <c r="V190" s="255"/>
      <c r="W190" s="1216"/>
      <c r="X190" s="1178"/>
      <c r="Y190" s="1178"/>
      <c r="Z190" s="1178"/>
      <c r="AA190" s="1178"/>
      <c r="AB190" s="1178"/>
      <c r="AC190" s="1178"/>
      <c r="AD190" s="1178"/>
      <c r="AE190" s="1178"/>
      <c r="AF190" s="1178"/>
      <c r="AG190" s="1178"/>
      <c r="AH190" s="1178"/>
      <c r="AI190" s="1178"/>
      <c r="AJ190" s="1178"/>
      <c r="AK190" s="1178"/>
      <c r="AL190" s="1178"/>
      <c r="AM190" s="1178"/>
      <c r="AN190" s="1178"/>
      <c r="AO190" s="1178"/>
      <c r="AP190" s="1178"/>
      <c r="AQ190" s="1178"/>
    </row>
    <row r="191" spans="1:43" s="2104" customFormat="1" ht="17.25" hidden="1" customHeight="1">
      <c r="A191" s="244"/>
      <c r="C191" s="243"/>
      <c r="D191" s="5195"/>
      <c r="E191" s="5197"/>
      <c r="F191" s="5200"/>
      <c r="G191" s="5197"/>
      <c r="H191" s="1217"/>
      <c r="I191" s="1218"/>
      <c r="J191" s="1218"/>
      <c r="K191" s="1218"/>
      <c r="L191" s="1218"/>
      <c r="M191" s="1218"/>
      <c r="N191" s="1218"/>
      <c r="O191" s="1218"/>
      <c r="P191" s="1218"/>
      <c r="Q191" s="1218"/>
      <c r="R191" s="1218"/>
      <c r="S191" s="1219"/>
      <c r="T191" s="1219"/>
      <c r="U191" s="1219"/>
      <c r="V191" s="1219"/>
      <c r="W191" s="1220"/>
      <c r="X191" s="1178"/>
      <c r="Y191" s="1178"/>
      <c r="Z191" s="1178"/>
      <c r="AA191" s="1178"/>
      <c r="AB191" s="1178"/>
      <c r="AC191" s="1178"/>
      <c r="AD191" s="1178"/>
      <c r="AE191" s="1178"/>
      <c r="AF191" s="1178"/>
      <c r="AG191" s="1178"/>
      <c r="AH191" s="1178"/>
      <c r="AI191" s="1178"/>
      <c r="AJ191" s="1178"/>
      <c r="AK191" s="1178"/>
      <c r="AL191" s="1178"/>
      <c r="AM191" s="1178"/>
      <c r="AN191" s="1178"/>
      <c r="AO191" s="1178"/>
      <c r="AP191" s="1178"/>
      <c r="AQ191" s="1178"/>
    </row>
    <row r="192" spans="1:43" s="2104" customFormat="1" ht="11.25" hidden="1" customHeight="1">
      <c r="A192" s="194"/>
      <c r="B192" s="194"/>
      <c r="Y192" s="1178"/>
      <c r="Z192" s="1178"/>
      <c r="AA192" s="1178"/>
      <c r="AB192" s="1178"/>
      <c r="AC192" s="1178"/>
      <c r="AD192" s="1178"/>
      <c r="AE192" s="1178"/>
      <c r="AF192" s="1178"/>
      <c r="AG192" s="1178"/>
      <c r="AH192" s="1178"/>
      <c r="AI192" s="1178"/>
      <c r="AJ192" s="1178"/>
      <c r="AK192" s="1178"/>
      <c r="AL192" s="1178"/>
      <c r="AM192" s="1178"/>
      <c r="AN192" s="1178"/>
      <c r="AO192" s="1178"/>
      <c r="AP192" s="1178"/>
      <c r="AQ192" s="1178"/>
    </row>
    <row r="193" spans="1:43" s="2104" customFormat="1" ht="17.25" hidden="1" customHeight="1">
      <c r="A193" s="244"/>
      <c r="C193" s="130"/>
      <c r="D193" s="5194">
        <v>1</v>
      </c>
      <c r="E193" s="5196" t="s">
        <v>381</v>
      </c>
      <c r="F193" s="5198" t="s">
        <v>57</v>
      </c>
      <c r="G193" s="5196"/>
      <c r="H193" s="5201"/>
      <c r="I193" s="5203"/>
      <c r="J193" s="5205"/>
      <c r="K193" s="5188"/>
      <c r="L193" s="5188"/>
      <c r="M193" s="5188"/>
      <c r="N193" s="5190"/>
      <c r="O193" s="5188"/>
      <c r="P193" s="5188"/>
      <c r="Q193" s="5188"/>
      <c r="R193" s="5193"/>
      <c r="S193" s="5188"/>
      <c r="T193" s="1380"/>
      <c r="U193" s="1380"/>
      <c r="V193" s="1382"/>
      <c r="W193" s="1214"/>
      <c r="Y193" s="1185"/>
      <c r="Z193" s="1185"/>
      <c r="AA193" s="1185"/>
      <c r="AB193" s="1185"/>
      <c r="AC193" s="1185" t="s">
        <v>382</v>
      </c>
      <c r="AD193" s="1185" t="s">
        <v>383</v>
      </c>
      <c r="AE193" s="1185" t="s">
        <v>384</v>
      </c>
      <c r="AF193" s="1185" t="s">
        <v>385</v>
      </c>
      <c r="AG193" s="1185"/>
      <c r="AH193" s="1185" t="str">
        <f>IF($E$193=0,"",$E$193)</f>
        <v>Тариф на водоотведение</v>
      </c>
      <c r="AI193" s="1185" t="str">
        <f>IF($G$193=0,"",$G$193)</f>
        <v/>
      </c>
      <c r="AJ193" s="1185" t="str">
        <f>IF($J$193=0,"",$J$193)</f>
        <v/>
      </c>
      <c r="AK193" s="1185" t="str">
        <f>IF($K$193="нет","без дифференциации",IF($N$193=0,"",$N$193))</f>
        <v/>
      </c>
      <c r="AL193" s="1185" t="str">
        <f>IF($O$193="нет","без дифференциации",IF($R$193=0,"",$R$193))</f>
        <v/>
      </c>
      <c r="AM193" s="1185" t="str">
        <f>IF($S$193="нет","без дифференциации",IF($V$193=0,"",$V$193))</f>
        <v/>
      </c>
      <c r="AN193" s="1185">
        <f>$I$193</f>
        <v>0</v>
      </c>
      <c r="AO193" s="1185" t="str">
        <f>$I$193&amp;"."&amp;$M$193</f>
        <v>.</v>
      </c>
      <c r="AP193" s="1185" t="str">
        <f>$I$193&amp;"."&amp;$M$193&amp;"."&amp;$Q$193</f>
        <v>..</v>
      </c>
      <c r="AQ193" s="1185" t="str">
        <f>$I$193&amp;"."&amp;$M$193&amp;"."&amp;$Q$193&amp;"."&amp;$U$193</f>
        <v>...</v>
      </c>
    </row>
    <row r="194" spans="1:43" s="2104" customFormat="1" ht="17.25" hidden="1" customHeight="1">
      <c r="A194" s="244"/>
      <c r="C194" s="243"/>
      <c r="D194" s="5194"/>
      <c r="E194" s="5196"/>
      <c r="F194" s="5199"/>
      <c r="G194" s="5196"/>
      <c r="H194" s="5202"/>
      <c r="I194" s="5204"/>
      <c r="J194" s="5206"/>
      <c r="K194" s="5189"/>
      <c r="L194" s="5189"/>
      <c r="M194" s="5189"/>
      <c r="N194" s="5191"/>
      <c r="O194" s="5189"/>
      <c r="P194" s="5189"/>
      <c r="Q194" s="5189"/>
      <c r="R194" s="5192"/>
      <c r="S194" s="5189"/>
      <c r="T194" s="1215"/>
      <c r="U194" s="1215"/>
      <c r="V194" s="1215"/>
      <c r="W194" s="1216"/>
      <c r="Y194" s="1178"/>
      <c r="Z194" s="1178"/>
      <c r="AA194" s="1178"/>
      <c r="AB194" s="1178"/>
      <c r="AC194" s="1178"/>
      <c r="AD194" s="1178"/>
      <c r="AE194" s="1178"/>
      <c r="AF194" s="1178"/>
      <c r="AG194" s="1178"/>
      <c r="AH194" s="1178"/>
      <c r="AI194" s="1178"/>
      <c r="AJ194" s="1178"/>
      <c r="AK194" s="1178"/>
      <c r="AL194" s="1178"/>
      <c r="AM194" s="1178"/>
      <c r="AN194" s="1178"/>
      <c r="AO194" s="1178"/>
      <c r="AP194" s="1178"/>
      <c r="AQ194" s="1178"/>
    </row>
    <row r="195" spans="1:43" s="2104" customFormat="1" ht="17.25" hidden="1" customHeight="1">
      <c r="A195" s="244"/>
      <c r="C195" s="130"/>
      <c r="D195" s="5194"/>
      <c r="E195" s="5196"/>
      <c r="F195" s="5199"/>
      <c r="G195" s="5196"/>
      <c r="H195" s="5202"/>
      <c r="I195" s="5204"/>
      <c r="J195" s="5207"/>
      <c r="K195" s="5189"/>
      <c r="L195" s="5189"/>
      <c r="M195" s="5189"/>
      <c r="N195" s="5192"/>
      <c r="O195" s="5189"/>
      <c r="P195" s="1381"/>
      <c r="Q195" s="1215"/>
      <c r="R195" s="1215"/>
      <c r="S195" s="255"/>
      <c r="T195" s="255"/>
      <c r="U195" s="255"/>
      <c r="V195" s="255"/>
      <c r="W195" s="1216"/>
      <c r="Y195" s="1185"/>
      <c r="Z195" s="1185"/>
      <c r="AA195" s="1185"/>
      <c r="AB195" s="1185"/>
      <c r="AC195" s="1185"/>
      <c r="AD195" s="1185"/>
      <c r="AE195" s="1185"/>
      <c r="AF195" s="1185"/>
      <c r="AG195" s="1185"/>
      <c r="AH195" s="1185"/>
      <c r="AI195" s="1185"/>
      <c r="AJ195" s="1185"/>
      <c r="AK195" s="1185"/>
      <c r="AL195" s="1185"/>
      <c r="AM195" s="1185"/>
      <c r="AN195" s="1185"/>
      <c r="AO195" s="1185"/>
      <c r="AP195" s="1185"/>
      <c r="AQ195" s="1185"/>
    </row>
    <row r="196" spans="1:43" s="2104" customFormat="1" ht="17.25" hidden="1" customHeight="1">
      <c r="A196" s="244"/>
      <c r="C196" s="243"/>
      <c r="D196" s="5194"/>
      <c r="E196" s="5196"/>
      <c r="F196" s="5199"/>
      <c r="G196" s="5196"/>
      <c r="H196" s="5202"/>
      <c r="I196" s="5204"/>
      <c r="J196" s="5207"/>
      <c r="K196" s="5189"/>
      <c r="L196" s="1215"/>
      <c r="M196" s="1215"/>
      <c r="N196" s="1215"/>
      <c r="O196" s="1215"/>
      <c r="P196" s="1215"/>
      <c r="Q196" s="1215"/>
      <c r="R196" s="1215"/>
      <c r="S196" s="255"/>
      <c r="T196" s="255"/>
      <c r="U196" s="255"/>
      <c r="V196" s="255"/>
      <c r="W196" s="1216"/>
      <c r="Y196" s="1178"/>
      <c r="Z196" s="1178"/>
      <c r="AA196" s="1178"/>
      <c r="AB196" s="1178"/>
      <c r="AC196" s="1178"/>
      <c r="AD196" s="1178"/>
      <c r="AE196" s="1178"/>
      <c r="AF196" s="1178"/>
      <c r="AG196" s="1178"/>
      <c r="AH196" s="1178"/>
      <c r="AI196" s="1178"/>
      <c r="AJ196" s="1178"/>
      <c r="AK196" s="1178"/>
      <c r="AL196" s="1178"/>
      <c r="AM196" s="1178"/>
      <c r="AN196" s="1178"/>
      <c r="AO196" s="1178"/>
      <c r="AP196" s="1178"/>
      <c r="AQ196" s="1178"/>
    </row>
    <row r="197" spans="1:43" s="2104" customFormat="1" ht="17.25" hidden="1" customHeight="1">
      <c r="A197" s="244"/>
      <c r="C197" s="243"/>
      <c r="D197" s="5195"/>
      <c r="E197" s="5197"/>
      <c r="F197" s="5200"/>
      <c r="G197" s="5197"/>
      <c r="H197" s="1217"/>
      <c r="I197" s="1218"/>
      <c r="J197" s="1218"/>
      <c r="K197" s="1218"/>
      <c r="L197" s="1218"/>
      <c r="M197" s="1218"/>
      <c r="N197" s="1218"/>
      <c r="O197" s="1218"/>
      <c r="P197" s="1218"/>
      <c r="Q197" s="1218"/>
      <c r="R197" s="1218"/>
      <c r="S197" s="1219"/>
      <c r="T197" s="1219"/>
      <c r="U197" s="1219"/>
      <c r="V197" s="1219"/>
      <c r="W197" s="1220"/>
      <c r="Y197" s="1178"/>
      <c r="Z197" s="1178"/>
      <c r="AA197" s="1178"/>
      <c r="AB197" s="1178"/>
      <c r="AC197" s="1178"/>
      <c r="AD197" s="1178"/>
      <c r="AE197" s="1178"/>
      <c r="AF197" s="1178"/>
      <c r="AG197" s="1178"/>
      <c r="AH197" s="1178"/>
      <c r="AI197" s="1178"/>
      <c r="AJ197" s="1178"/>
      <c r="AK197" s="1178"/>
      <c r="AL197" s="1178"/>
      <c r="AM197" s="1178"/>
      <c r="AN197" s="1178"/>
      <c r="AO197" s="1178"/>
      <c r="AP197" s="1178"/>
      <c r="AQ197" s="1178"/>
    </row>
    <row r="198" spans="1:43" s="2104" customFormat="1" ht="17.25" hidden="1" customHeight="1">
      <c r="A198" s="244"/>
      <c r="C198" s="130"/>
      <c r="D198" s="5194">
        <v>2</v>
      </c>
      <c r="E198" s="5196" t="s">
        <v>386</v>
      </c>
      <c r="F198" s="5198" t="s">
        <v>57</v>
      </c>
      <c r="G198" s="5196"/>
      <c r="H198" s="5201"/>
      <c r="I198" s="5203"/>
      <c r="J198" s="5205"/>
      <c r="K198" s="5188"/>
      <c r="L198" s="5188"/>
      <c r="M198" s="5188"/>
      <c r="N198" s="5190"/>
      <c r="O198" s="5188"/>
      <c r="P198" s="5188"/>
      <c r="Q198" s="5188"/>
      <c r="R198" s="5193"/>
      <c r="S198" s="5188"/>
      <c r="T198" s="1380"/>
      <c r="U198" s="1380"/>
      <c r="V198" s="1382"/>
      <c r="W198" s="1214"/>
      <c r="X198" s="1185"/>
      <c r="Y198" s="1185"/>
      <c r="Z198" s="1185"/>
      <c r="AA198" s="1185"/>
      <c r="AB198" s="1185"/>
      <c r="AC198" s="1185" t="s">
        <v>387</v>
      </c>
      <c r="AD198" s="1185" t="s">
        <v>388</v>
      </c>
      <c r="AE198" s="1185" t="s">
        <v>389</v>
      </c>
      <c r="AF198" s="1185" t="s">
        <v>390</v>
      </c>
      <c r="AG198" s="1185"/>
      <c r="AH198" s="1185" t="str">
        <f>IF($E$198=0,"",$E$198)</f>
        <v>Тариф на транспортировку сточных вод</v>
      </c>
      <c r="AI198" s="1185" t="str">
        <f>IF($G$198=0,"",$G$198)</f>
        <v/>
      </c>
      <c r="AJ198" s="1185" t="str">
        <f>IF($J$198=0,"",$J$198)</f>
        <v/>
      </c>
      <c r="AK198" s="1185" t="str">
        <f>IF($K$198="нет","без дифференциации",IF($N$198=0,"",$N$198))</f>
        <v/>
      </c>
      <c r="AL198" s="1185" t="str">
        <f>IF($O$198="нет","без дифференциации",IF($R$198=0,"",$R$198))</f>
        <v/>
      </c>
      <c r="AM198" s="1185" t="str">
        <f>IF($S$198="нет","без дифференциации",IF($V$198=0,"",$V$198))</f>
        <v/>
      </c>
      <c r="AN198" s="1680">
        <f>$I$198</f>
        <v>0</v>
      </c>
      <c r="AO198" s="1185" t="str">
        <f>$I$198&amp;"."&amp;$M$198</f>
        <v>.</v>
      </c>
      <c r="AP198" s="1178" t="str">
        <f>$I$198&amp;"."&amp;$M$198&amp;"."&amp;$Q$198</f>
        <v>..</v>
      </c>
      <c r="AQ198" s="1178" t="str">
        <f>$I$198&amp;"."&amp;$M$198&amp;"."&amp;$Q$198&amp;"."&amp;$U$198</f>
        <v>...</v>
      </c>
    </row>
    <row r="199" spans="1:43" s="2104" customFormat="1" ht="17.25" hidden="1" customHeight="1">
      <c r="A199" s="244"/>
      <c r="C199" s="243"/>
      <c r="D199" s="5194"/>
      <c r="E199" s="5196"/>
      <c r="F199" s="5199"/>
      <c r="G199" s="5196"/>
      <c r="H199" s="5202"/>
      <c r="I199" s="5204"/>
      <c r="J199" s="5206"/>
      <c r="K199" s="5189"/>
      <c r="L199" s="5189"/>
      <c r="M199" s="5189"/>
      <c r="N199" s="5191"/>
      <c r="O199" s="5189"/>
      <c r="P199" s="5189"/>
      <c r="Q199" s="5189"/>
      <c r="R199" s="5192"/>
      <c r="S199" s="5189"/>
      <c r="T199" s="1215"/>
      <c r="U199" s="1215"/>
      <c r="V199" s="1215"/>
      <c r="W199" s="1216"/>
      <c r="X199" s="1178"/>
      <c r="Y199" s="1178"/>
      <c r="Z199" s="1178"/>
      <c r="AA199" s="1178"/>
      <c r="AB199" s="1178"/>
      <c r="AC199" s="1178"/>
      <c r="AD199" s="1178"/>
      <c r="AE199" s="1178"/>
      <c r="AF199" s="1178"/>
      <c r="AG199" s="1178"/>
      <c r="AH199" s="1178"/>
      <c r="AI199" s="1178"/>
      <c r="AJ199" s="1178"/>
      <c r="AK199" s="1178"/>
      <c r="AL199" s="1178"/>
      <c r="AM199" s="1178"/>
      <c r="AN199" s="1178"/>
      <c r="AO199" s="1178"/>
      <c r="AP199" s="1178"/>
      <c r="AQ199" s="1178"/>
    </row>
    <row r="200" spans="1:43" s="2104" customFormat="1" ht="17.25" hidden="1" customHeight="1">
      <c r="A200" s="244"/>
      <c r="C200" s="243"/>
      <c r="D200" s="5195"/>
      <c r="E200" s="5197"/>
      <c r="F200" s="5199"/>
      <c r="G200" s="5197"/>
      <c r="H200" s="5202"/>
      <c r="I200" s="5204"/>
      <c r="J200" s="5207"/>
      <c r="K200" s="5189"/>
      <c r="L200" s="5189"/>
      <c r="M200" s="5189"/>
      <c r="N200" s="5192"/>
      <c r="O200" s="5189"/>
      <c r="P200" s="1381"/>
      <c r="Q200" s="1215"/>
      <c r="R200" s="1215"/>
      <c r="S200" s="255"/>
      <c r="T200" s="255"/>
      <c r="U200" s="255"/>
      <c r="V200" s="255"/>
      <c r="W200" s="1216"/>
      <c r="X200" s="1178"/>
      <c r="Y200" s="1178"/>
      <c r="Z200" s="1178"/>
      <c r="AA200" s="1178"/>
      <c r="AB200" s="1178"/>
      <c r="AC200" s="1178"/>
      <c r="AD200" s="1178"/>
      <c r="AE200" s="1178"/>
      <c r="AF200" s="1178"/>
      <c r="AG200" s="1178"/>
      <c r="AH200" s="1178"/>
      <c r="AI200" s="1178"/>
      <c r="AJ200" s="1178"/>
      <c r="AK200" s="1178"/>
      <c r="AL200" s="1178"/>
      <c r="AM200" s="1178"/>
      <c r="AN200" s="1178"/>
      <c r="AO200" s="1178"/>
      <c r="AP200" s="1178"/>
      <c r="AQ200" s="1178"/>
    </row>
    <row r="201" spans="1:43" s="2104" customFormat="1" ht="17.25" hidden="1" customHeight="1">
      <c r="A201" s="244"/>
      <c r="C201" s="243"/>
      <c r="D201" s="5195"/>
      <c r="E201" s="5197"/>
      <c r="F201" s="5199"/>
      <c r="G201" s="5197"/>
      <c r="H201" s="5202"/>
      <c r="I201" s="5204"/>
      <c r="J201" s="5207"/>
      <c r="K201" s="5189"/>
      <c r="L201" s="1215"/>
      <c r="M201" s="1215"/>
      <c r="N201" s="1215"/>
      <c r="O201" s="1215"/>
      <c r="P201" s="1215"/>
      <c r="Q201" s="1215"/>
      <c r="R201" s="1215"/>
      <c r="S201" s="255"/>
      <c r="T201" s="255"/>
      <c r="U201" s="255"/>
      <c r="V201" s="255"/>
      <c r="W201" s="1216"/>
      <c r="X201" s="1178"/>
      <c r="Y201" s="1178"/>
      <c r="Z201" s="1178"/>
      <c r="AA201" s="1178"/>
      <c r="AB201" s="1178"/>
      <c r="AC201" s="1178"/>
      <c r="AD201" s="1178"/>
      <c r="AE201" s="1178"/>
      <c r="AF201" s="1178"/>
      <c r="AG201" s="1178"/>
      <c r="AH201" s="1178"/>
      <c r="AI201" s="1178"/>
      <c r="AJ201" s="1178"/>
      <c r="AK201" s="1178"/>
      <c r="AL201" s="1178"/>
      <c r="AM201" s="1178"/>
      <c r="AN201" s="1178"/>
      <c r="AO201" s="1178"/>
      <c r="AP201" s="1178"/>
      <c r="AQ201" s="1178"/>
    </row>
    <row r="202" spans="1:43" s="2104" customFormat="1" ht="17.25" hidden="1" customHeight="1">
      <c r="A202" s="244"/>
      <c r="C202" s="243"/>
      <c r="D202" s="5195"/>
      <c r="E202" s="5197"/>
      <c r="F202" s="5200"/>
      <c r="G202" s="5197"/>
      <c r="H202" s="1217"/>
      <c r="I202" s="1218"/>
      <c r="J202" s="1218"/>
      <c r="K202" s="1218"/>
      <c r="L202" s="1218"/>
      <c r="M202" s="1218"/>
      <c r="N202" s="1218"/>
      <c r="O202" s="1218"/>
      <c r="P202" s="1218"/>
      <c r="Q202" s="1218"/>
      <c r="R202" s="1218"/>
      <c r="S202" s="1219"/>
      <c r="T202" s="1219"/>
      <c r="U202" s="1219"/>
      <c r="V202" s="1219"/>
      <c r="W202" s="1220"/>
      <c r="X202" s="1178"/>
      <c r="Y202" s="1178"/>
      <c r="Z202" s="1178"/>
      <c r="AA202" s="1178"/>
      <c r="AB202" s="1178"/>
      <c r="AC202" s="1178"/>
      <c r="AD202" s="1178"/>
      <c r="AE202" s="1178"/>
      <c r="AF202" s="1178"/>
      <c r="AG202" s="1178"/>
      <c r="AH202" s="1178"/>
      <c r="AI202" s="1178"/>
      <c r="AJ202" s="1178"/>
      <c r="AK202" s="1178"/>
      <c r="AL202" s="1178"/>
      <c r="AM202" s="1178"/>
      <c r="AN202" s="1178"/>
      <c r="AO202" s="1178"/>
      <c r="AP202" s="1178"/>
      <c r="AQ202" s="1178"/>
    </row>
    <row r="203" spans="1:43" s="2104" customFormat="1" ht="17.25" hidden="1" customHeight="1">
      <c r="A203" s="244"/>
      <c r="C203" s="130"/>
      <c r="D203" s="5194">
        <v>3</v>
      </c>
      <c r="E203" s="5196" t="s">
        <v>391</v>
      </c>
      <c r="F203" s="5198" t="s">
        <v>57</v>
      </c>
      <c r="G203" s="5196"/>
      <c r="H203" s="5201"/>
      <c r="I203" s="5203"/>
      <c r="J203" s="5205"/>
      <c r="K203" s="5188"/>
      <c r="L203" s="5188"/>
      <c r="M203" s="5188"/>
      <c r="N203" s="5190"/>
      <c r="O203" s="5188"/>
      <c r="P203" s="5188"/>
      <c r="Q203" s="5188"/>
      <c r="R203" s="5193"/>
      <c r="S203" s="5188"/>
      <c r="T203" s="1380"/>
      <c r="U203" s="1380"/>
      <c r="V203" s="1382"/>
      <c r="W203" s="1214"/>
      <c r="X203" s="1185"/>
      <c r="Y203" s="1185"/>
      <c r="Z203" s="1185"/>
      <c r="AA203" s="1185"/>
      <c r="AB203" s="1185"/>
      <c r="AC203" s="1185" t="s">
        <v>392</v>
      </c>
      <c r="AD203" s="1185" t="s">
        <v>393</v>
      </c>
      <c r="AE203" s="1185" t="s">
        <v>394</v>
      </c>
      <c r="AF203" s="1185" t="s">
        <v>395</v>
      </c>
      <c r="AG203" s="1185"/>
      <c r="AH203" s="1185" t="str">
        <f>IF($E$203=0,"",$E$203)</f>
        <v>Тариф на подключение (технологическое присоединение) к централизованной системе водоотведения</v>
      </c>
      <c r="AI203" s="1185" t="str">
        <f>IF($G$203=0,"",$G$203)</f>
        <v/>
      </c>
      <c r="AJ203" s="1185" t="str">
        <f>IF($J$203=0,"",$J$203)</f>
        <v/>
      </c>
      <c r="AK203" s="1185" t="str">
        <f>IF($K$203="нет","без дифференциации",IF($N$203=0,"",$N$203))</f>
        <v/>
      </c>
      <c r="AL203" s="1185" t="str">
        <f>IF($O$203="нет","без дифференциации",IF($R$203=0,"",$R$203))</f>
        <v/>
      </c>
      <c r="AM203" s="1185" t="str">
        <f>IF($S$203="нет","без дифференциации",IF($V$203=0,"",$V$203))</f>
        <v/>
      </c>
      <c r="AN203" s="1680">
        <f>$I$203</f>
        <v>0</v>
      </c>
      <c r="AO203" s="1185" t="str">
        <f>$I$203&amp;"."&amp;$M$203</f>
        <v>.</v>
      </c>
      <c r="AP203" s="1178" t="str">
        <f>$I$203&amp;"."&amp;$M$203&amp;"."&amp;$Q$203</f>
        <v>..</v>
      </c>
      <c r="AQ203" s="1178" t="str">
        <f>$I$203&amp;"."&amp;$M$203&amp;"."&amp;$Q$203&amp;"."&amp;$U$203</f>
        <v>...</v>
      </c>
    </row>
    <row r="204" spans="1:43" s="2104" customFormat="1" ht="17.25" hidden="1" customHeight="1">
      <c r="A204" s="244"/>
      <c r="C204" s="243"/>
      <c r="D204" s="5194"/>
      <c r="E204" s="5196"/>
      <c r="F204" s="5199"/>
      <c r="G204" s="5196"/>
      <c r="H204" s="5202"/>
      <c r="I204" s="5204"/>
      <c r="J204" s="5206"/>
      <c r="K204" s="5189"/>
      <c r="L204" s="5189"/>
      <c r="M204" s="5189"/>
      <c r="N204" s="5191"/>
      <c r="O204" s="5189"/>
      <c r="P204" s="5189"/>
      <c r="Q204" s="5189"/>
      <c r="R204" s="5192"/>
      <c r="S204" s="5189"/>
      <c r="T204" s="1215"/>
      <c r="U204" s="1215"/>
      <c r="V204" s="1215"/>
      <c r="W204" s="1216"/>
      <c r="X204" s="1178"/>
      <c r="Y204" s="1178"/>
      <c r="Z204" s="1178"/>
      <c r="AA204" s="1178"/>
      <c r="AB204" s="1178"/>
      <c r="AC204" s="1178"/>
      <c r="AD204" s="1178"/>
      <c r="AE204" s="1178"/>
      <c r="AF204" s="1178"/>
      <c r="AG204" s="1178"/>
      <c r="AH204" s="1178"/>
      <c r="AI204" s="1178"/>
      <c r="AJ204" s="1178"/>
      <c r="AK204" s="1178"/>
      <c r="AL204" s="1178"/>
      <c r="AM204" s="1178"/>
      <c r="AN204" s="1178"/>
      <c r="AO204" s="1178"/>
      <c r="AP204" s="1178"/>
      <c r="AQ204" s="1178"/>
    </row>
    <row r="205" spans="1:43" s="2104" customFormat="1" ht="17.25" hidden="1" customHeight="1">
      <c r="A205" s="244"/>
      <c r="C205" s="243"/>
      <c r="D205" s="5195"/>
      <c r="E205" s="5197"/>
      <c r="F205" s="5199"/>
      <c r="G205" s="5197"/>
      <c r="H205" s="5202"/>
      <c r="I205" s="5204"/>
      <c r="J205" s="5207"/>
      <c r="K205" s="5189"/>
      <c r="L205" s="5189"/>
      <c r="M205" s="5189"/>
      <c r="N205" s="5192"/>
      <c r="O205" s="5189"/>
      <c r="P205" s="1381"/>
      <c r="Q205" s="1215"/>
      <c r="R205" s="1215"/>
      <c r="S205" s="255"/>
      <c r="T205" s="255"/>
      <c r="U205" s="255"/>
      <c r="V205" s="255"/>
      <c r="W205" s="1216"/>
      <c r="X205" s="1178"/>
      <c r="Y205" s="1178"/>
      <c r="Z205" s="1178"/>
      <c r="AA205" s="1178"/>
      <c r="AB205" s="1178"/>
      <c r="AC205" s="1178"/>
      <c r="AD205" s="1178"/>
      <c r="AE205" s="1178"/>
      <c r="AF205" s="1178"/>
      <c r="AG205" s="1178"/>
      <c r="AH205" s="1178"/>
      <c r="AI205" s="1178"/>
      <c r="AJ205" s="1178"/>
      <c r="AK205" s="1178"/>
      <c r="AL205" s="1178"/>
      <c r="AM205" s="1178"/>
      <c r="AN205" s="1178"/>
      <c r="AO205" s="1178"/>
      <c r="AP205" s="1178"/>
      <c r="AQ205" s="1178"/>
    </row>
    <row r="206" spans="1:43" s="2104" customFormat="1" ht="17.25" hidden="1" customHeight="1">
      <c r="A206" s="244"/>
      <c r="C206" s="243"/>
      <c r="D206" s="5195"/>
      <c r="E206" s="5197"/>
      <c r="F206" s="5199"/>
      <c r="G206" s="5197"/>
      <c r="H206" s="5202"/>
      <c r="I206" s="5204"/>
      <c r="J206" s="5207"/>
      <c r="K206" s="5189"/>
      <c r="L206" s="1215"/>
      <c r="M206" s="1215"/>
      <c r="N206" s="1215"/>
      <c r="O206" s="1215"/>
      <c r="P206" s="1215"/>
      <c r="Q206" s="1215"/>
      <c r="R206" s="1215"/>
      <c r="S206" s="255"/>
      <c r="T206" s="255"/>
      <c r="U206" s="255"/>
      <c r="V206" s="255"/>
      <c r="W206" s="1216"/>
      <c r="X206" s="1178"/>
      <c r="Y206" s="1178"/>
      <c r="Z206" s="1178"/>
      <c r="AA206" s="1178"/>
      <c r="AB206" s="1178"/>
      <c r="AC206" s="1178"/>
      <c r="AD206" s="1178"/>
      <c r="AE206" s="1178"/>
      <c r="AF206" s="1178"/>
      <c r="AG206" s="1178"/>
      <c r="AH206" s="1178"/>
      <c r="AI206" s="1178"/>
      <c r="AJ206" s="1178"/>
      <c r="AK206" s="1178"/>
      <c r="AL206" s="1178"/>
      <c r="AM206" s="1178"/>
      <c r="AN206" s="1178"/>
      <c r="AO206" s="1178"/>
      <c r="AP206" s="1178"/>
      <c r="AQ206" s="1178"/>
    </row>
    <row r="207" spans="1:43" s="2104" customFormat="1" ht="17.25" hidden="1" customHeight="1">
      <c r="A207" s="244"/>
      <c r="C207" s="243"/>
      <c r="D207" s="5195"/>
      <c r="E207" s="5197"/>
      <c r="F207" s="5200"/>
      <c r="G207" s="5197"/>
      <c r="H207" s="1217"/>
      <c r="I207" s="1218"/>
      <c r="J207" s="1218"/>
      <c r="K207" s="1218"/>
      <c r="L207" s="1218"/>
      <c r="M207" s="1218"/>
      <c r="N207" s="1218"/>
      <c r="O207" s="1218"/>
      <c r="P207" s="1218"/>
      <c r="Q207" s="1218"/>
      <c r="R207" s="1218"/>
      <c r="S207" s="1219"/>
      <c r="T207" s="1219"/>
      <c r="U207" s="1219"/>
      <c r="V207" s="1219"/>
      <c r="W207" s="1220"/>
      <c r="X207" s="1178"/>
      <c r="Y207" s="1178"/>
      <c r="Z207" s="1178"/>
      <c r="AA207" s="1178"/>
      <c r="AB207" s="1178"/>
      <c r="AC207" s="1178"/>
      <c r="AD207" s="1178"/>
      <c r="AE207" s="1178"/>
      <c r="AF207" s="1178"/>
      <c r="AG207" s="1178"/>
      <c r="AH207" s="1178"/>
      <c r="AI207" s="1178"/>
      <c r="AJ207" s="1178"/>
      <c r="AK207" s="1178"/>
      <c r="AL207" s="1178"/>
      <c r="AM207" s="1178"/>
      <c r="AN207" s="1178"/>
      <c r="AO207" s="1178"/>
      <c r="AP207" s="1178"/>
      <c r="AQ207" s="1178"/>
    </row>
    <row r="211" spans="5:5" ht="11.25" customHeight="1">
      <c r="E211" s="1266"/>
    </row>
    <row r="212" spans="5:5" ht="11.25" customHeight="1">
      <c r="E212" s="1266"/>
    </row>
    <row r="213" spans="5:5" ht="11.25" customHeight="1">
      <c r="E213" s="1266"/>
    </row>
    <row r="214" spans="5:5" ht="11.25" customHeight="1">
      <c r="E214" s="1266"/>
    </row>
    <row r="215" spans="5:5" ht="11.25" customHeight="1">
      <c r="E215" s="1266"/>
    </row>
    <row r="216" spans="5:5" ht="11.25" customHeight="1">
      <c r="E216" s="1266"/>
    </row>
    <row r="217" spans="5:5" ht="11.25" customHeight="1">
      <c r="E217" s="1266"/>
    </row>
  </sheetData>
  <sheetProtection formatColumns="0" formatRows="0" insertRows="0" deleteColumns="0" deleteRows="0" sort="0" autoFilter="0"/>
  <mergeCells count="587">
    <mergeCell ref="L114:L116"/>
    <mergeCell ref="N114:N116"/>
    <mergeCell ref="J114:J117"/>
    <mergeCell ref="H114:H117"/>
    <mergeCell ref="M114:M116"/>
    <mergeCell ref="O114:O116"/>
    <mergeCell ref="S114:S115"/>
    <mergeCell ref="P114:P115"/>
    <mergeCell ref="Q114:Q115"/>
    <mergeCell ref="R114:R115"/>
    <mergeCell ref="K114:K117"/>
    <mergeCell ref="O81:O83"/>
    <mergeCell ref="P81:P82"/>
    <mergeCell ref="Q81:Q82"/>
    <mergeCell ref="R81:R82"/>
    <mergeCell ref="S81:S82"/>
    <mergeCell ref="H81:H87"/>
    <mergeCell ref="I81:I87"/>
    <mergeCell ref="J81:J87"/>
    <mergeCell ref="K81:K87"/>
    <mergeCell ref="L81:L83"/>
    <mergeCell ref="M81:M83"/>
    <mergeCell ref="N81:N83"/>
    <mergeCell ref="L84:L86"/>
    <mergeCell ref="M84:M86"/>
    <mergeCell ref="N84:N86"/>
    <mergeCell ref="O84:O86"/>
    <mergeCell ref="P84:P85"/>
    <mergeCell ref="Q84:Q85"/>
    <mergeCell ref="R84:R85"/>
    <mergeCell ref="S84:S85"/>
    <mergeCell ref="I74:I80"/>
    <mergeCell ref="L74:L76"/>
    <mergeCell ref="N74:N76"/>
    <mergeCell ref="J74:J80"/>
    <mergeCell ref="H74:H80"/>
    <mergeCell ref="M74:M76"/>
    <mergeCell ref="O74:O76"/>
    <mergeCell ref="S74:S75"/>
    <mergeCell ref="P74:P75"/>
    <mergeCell ref="Q74:Q75"/>
    <mergeCell ref="R74:R75"/>
    <mergeCell ref="K74:K80"/>
    <mergeCell ref="L77:L79"/>
    <mergeCell ref="M77:M79"/>
    <mergeCell ref="N77:N79"/>
    <mergeCell ref="O77:O79"/>
    <mergeCell ref="P77:P78"/>
    <mergeCell ref="Q77:Q78"/>
    <mergeCell ref="R77:R78"/>
    <mergeCell ref="S77:S78"/>
    <mergeCell ref="L127:L129"/>
    <mergeCell ref="M127:M129"/>
    <mergeCell ref="N127:N129"/>
    <mergeCell ref="O127:O129"/>
    <mergeCell ref="P127:P128"/>
    <mergeCell ref="Q127:Q128"/>
    <mergeCell ref="R127:R128"/>
    <mergeCell ref="S127:S128"/>
    <mergeCell ref="L130:L132"/>
    <mergeCell ref="M130:M132"/>
    <mergeCell ref="N130:N132"/>
    <mergeCell ref="O130:O132"/>
    <mergeCell ref="P130:P131"/>
    <mergeCell ref="Q130:Q131"/>
    <mergeCell ref="R130:R131"/>
    <mergeCell ref="S130:S131"/>
    <mergeCell ref="P69:P70"/>
    <mergeCell ref="Q69:Q70"/>
    <mergeCell ref="R69:R70"/>
    <mergeCell ref="S69:S70"/>
    <mergeCell ref="H69:H72"/>
    <mergeCell ref="I69:I72"/>
    <mergeCell ref="J69:J72"/>
    <mergeCell ref="K69:K72"/>
    <mergeCell ref="L69:L71"/>
    <mergeCell ref="M69:M71"/>
    <mergeCell ref="N69:N71"/>
    <mergeCell ref="H61:H64"/>
    <mergeCell ref="I61:I64"/>
    <mergeCell ref="J61:J64"/>
    <mergeCell ref="K61:K64"/>
    <mergeCell ref="L61:L63"/>
    <mergeCell ref="M61:M63"/>
    <mergeCell ref="N61:N63"/>
    <mergeCell ref="O65:O67"/>
    <mergeCell ref="P65:P66"/>
    <mergeCell ref="H65:H68"/>
    <mergeCell ref="I65:I68"/>
    <mergeCell ref="J65:J68"/>
    <mergeCell ref="K65:K68"/>
    <mergeCell ref="L65:L67"/>
    <mergeCell ref="M65:M67"/>
    <mergeCell ref="N65:N67"/>
    <mergeCell ref="M124:M126"/>
    <mergeCell ref="O124:O126"/>
    <mergeCell ref="S124:S125"/>
    <mergeCell ref="P124:P125"/>
    <mergeCell ref="Q124:Q125"/>
    <mergeCell ref="R124:R125"/>
    <mergeCell ref="K124:K133"/>
    <mergeCell ref="L16:L18"/>
    <mergeCell ref="M16:M18"/>
    <mergeCell ref="N16:N18"/>
    <mergeCell ref="O16:O18"/>
    <mergeCell ref="P16:P17"/>
    <mergeCell ref="Q16:Q17"/>
    <mergeCell ref="R16:R17"/>
    <mergeCell ref="S16:S17"/>
    <mergeCell ref="O61:O63"/>
    <mergeCell ref="P61:P62"/>
    <mergeCell ref="Q61:Q62"/>
    <mergeCell ref="R61:R62"/>
    <mergeCell ref="S61:S62"/>
    <mergeCell ref="Q65:Q66"/>
    <mergeCell ref="R65:R66"/>
    <mergeCell ref="S65:S66"/>
    <mergeCell ref="O69:O71"/>
    <mergeCell ref="O109:O111"/>
    <mergeCell ref="P109:P110"/>
    <mergeCell ref="Q109:Q110"/>
    <mergeCell ref="R109:R110"/>
    <mergeCell ref="S109:S110"/>
    <mergeCell ref="H109:H112"/>
    <mergeCell ref="I109:I112"/>
    <mergeCell ref="J109:J112"/>
    <mergeCell ref="K109:K112"/>
    <mergeCell ref="L109:L111"/>
    <mergeCell ref="M109:M111"/>
    <mergeCell ref="N109:N111"/>
    <mergeCell ref="O105:O107"/>
    <mergeCell ref="P105:P106"/>
    <mergeCell ref="Q105:Q106"/>
    <mergeCell ref="R105:R106"/>
    <mergeCell ref="S105:S106"/>
    <mergeCell ref="H105:H108"/>
    <mergeCell ref="I105:I108"/>
    <mergeCell ref="J105:J108"/>
    <mergeCell ref="K105:K108"/>
    <mergeCell ref="L105:L107"/>
    <mergeCell ref="M105:M107"/>
    <mergeCell ref="N105:N107"/>
    <mergeCell ref="O101:O103"/>
    <mergeCell ref="P101:P102"/>
    <mergeCell ref="Q101:Q102"/>
    <mergeCell ref="R101:R102"/>
    <mergeCell ref="S101:S102"/>
    <mergeCell ref="H101:H104"/>
    <mergeCell ref="I101:I104"/>
    <mergeCell ref="J101:J104"/>
    <mergeCell ref="K101:K104"/>
    <mergeCell ref="L101:L103"/>
    <mergeCell ref="M101:M103"/>
    <mergeCell ref="N101:N103"/>
    <mergeCell ref="O97:O99"/>
    <mergeCell ref="P97:P98"/>
    <mergeCell ref="Q97:Q98"/>
    <mergeCell ref="R97:R98"/>
    <mergeCell ref="S97:S98"/>
    <mergeCell ref="H97:H100"/>
    <mergeCell ref="I97:I100"/>
    <mergeCell ref="J97:J100"/>
    <mergeCell ref="K97:K100"/>
    <mergeCell ref="L97:L99"/>
    <mergeCell ref="M97:M99"/>
    <mergeCell ref="N97:N99"/>
    <mergeCell ref="O93:O95"/>
    <mergeCell ref="P93:P94"/>
    <mergeCell ref="Q93:Q94"/>
    <mergeCell ref="R93:R94"/>
    <mergeCell ref="S93:S94"/>
    <mergeCell ref="H93:H96"/>
    <mergeCell ref="I93:I96"/>
    <mergeCell ref="J93:J96"/>
    <mergeCell ref="K93:K96"/>
    <mergeCell ref="L93:L95"/>
    <mergeCell ref="M93:M95"/>
    <mergeCell ref="N93:N95"/>
    <mergeCell ref="L89:L91"/>
    <mergeCell ref="N89:N91"/>
    <mergeCell ref="J89:J92"/>
    <mergeCell ref="H89:H92"/>
    <mergeCell ref="M89:M91"/>
    <mergeCell ref="O89:O91"/>
    <mergeCell ref="S89:S90"/>
    <mergeCell ref="P89:P90"/>
    <mergeCell ref="Q89:Q90"/>
    <mergeCell ref="R89:R90"/>
    <mergeCell ref="K89:K92"/>
    <mergeCell ref="O57:O59"/>
    <mergeCell ref="P57:P58"/>
    <mergeCell ref="Q57:Q58"/>
    <mergeCell ref="R57:R58"/>
    <mergeCell ref="S57:S58"/>
    <mergeCell ref="H57:H60"/>
    <mergeCell ref="I57:I60"/>
    <mergeCell ref="J57:J60"/>
    <mergeCell ref="K57:K60"/>
    <mergeCell ref="L57:L59"/>
    <mergeCell ref="M57:M59"/>
    <mergeCell ref="N57:N59"/>
    <mergeCell ref="I53:I56"/>
    <mergeCell ref="L53:L55"/>
    <mergeCell ref="N53:N55"/>
    <mergeCell ref="J53:J56"/>
    <mergeCell ref="H53:H56"/>
    <mergeCell ref="M53:M55"/>
    <mergeCell ref="O53:O55"/>
    <mergeCell ref="S53:S54"/>
    <mergeCell ref="P53:P54"/>
    <mergeCell ref="Q53:Q54"/>
    <mergeCell ref="R53:R54"/>
    <mergeCell ref="K53:K56"/>
    <mergeCell ref="O48:O50"/>
    <mergeCell ref="P48:P49"/>
    <mergeCell ref="Q48:Q49"/>
    <mergeCell ref="R48:R49"/>
    <mergeCell ref="S48:S49"/>
    <mergeCell ref="H48:H51"/>
    <mergeCell ref="I48:I51"/>
    <mergeCell ref="J48:J51"/>
    <mergeCell ref="K48:K51"/>
    <mergeCell ref="L48:L50"/>
    <mergeCell ref="M48:M50"/>
    <mergeCell ref="N48:N50"/>
    <mergeCell ref="O44:O46"/>
    <mergeCell ref="P44:P45"/>
    <mergeCell ref="Q44:Q45"/>
    <mergeCell ref="R44:R45"/>
    <mergeCell ref="S44:S45"/>
    <mergeCell ref="H44:H47"/>
    <mergeCell ref="I44:I47"/>
    <mergeCell ref="J44:J47"/>
    <mergeCell ref="K44:K47"/>
    <mergeCell ref="L44:L46"/>
    <mergeCell ref="M44:M46"/>
    <mergeCell ref="N44:N46"/>
    <mergeCell ref="O40:O42"/>
    <mergeCell ref="P40:P41"/>
    <mergeCell ref="Q40:Q41"/>
    <mergeCell ref="R40:R41"/>
    <mergeCell ref="S40:S41"/>
    <mergeCell ref="H40:H43"/>
    <mergeCell ref="I40:I43"/>
    <mergeCell ref="J40:J43"/>
    <mergeCell ref="K40:K43"/>
    <mergeCell ref="L40:L42"/>
    <mergeCell ref="M40:M42"/>
    <mergeCell ref="N40:N42"/>
    <mergeCell ref="O36:O38"/>
    <mergeCell ref="P36:P37"/>
    <mergeCell ref="Q36:Q37"/>
    <mergeCell ref="R36:R37"/>
    <mergeCell ref="S36:S37"/>
    <mergeCell ref="H36:H39"/>
    <mergeCell ref="I36:I39"/>
    <mergeCell ref="J36:J39"/>
    <mergeCell ref="K36:K39"/>
    <mergeCell ref="L36:L38"/>
    <mergeCell ref="M36:M38"/>
    <mergeCell ref="N36:N38"/>
    <mergeCell ref="O32:O34"/>
    <mergeCell ref="P32:P33"/>
    <mergeCell ref="Q32:Q33"/>
    <mergeCell ref="R32:R33"/>
    <mergeCell ref="S32:S33"/>
    <mergeCell ref="H32:H35"/>
    <mergeCell ref="I32:I35"/>
    <mergeCell ref="J32:J35"/>
    <mergeCell ref="K32:K35"/>
    <mergeCell ref="L32:L34"/>
    <mergeCell ref="M32:M34"/>
    <mergeCell ref="N32:N34"/>
    <mergeCell ref="O28:O30"/>
    <mergeCell ref="P28:P29"/>
    <mergeCell ref="Q28:Q29"/>
    <mergeCell ref="R28:R29"/>
    <mergeCell ref="S28:S29"/>
    <mergeCell ref="H28:H31"/>
    <mergeCell ref="I28:I31"/>
    <mergeCell ref="J28:J31"/>
    <mergeCell ref="K28:K31"/>
    <mergeCell ref="L28:L30"/>
    <mergeCell ref="M28:M30"/>
    <mergeCell ref="N28:N30"/>
    <mergeCell ref="O24:O26"/>
    <mergeCell ref="P24:P25"/>
    <mergeCell ref="Q24:Q25"/>
    <mergeCell ref="R24:R25"/>
    <mergeCell ref="S24:S25"/>
    <mergeCell ref="H24:H27"/>
    <mergeCell ref="I24:I27"/>
    <mergeCell ref="J24:J27"/>
    <mergeCell ref="K24:K27"/>
    <mergeCell ref="L24:L26"/>
    <mergeCell ref="M24:M26"/>
    <mergeCell ref="N24:N26"/>
    <mergeCell ref="O20:O22"/>
    <mergeCell ref="P20:P21"/>
    <mergeCell ref="Q20:Q21"/>
    <mergeCell ref="R20:R21"/>
    <mergeCell ref="S20:S21"/>
    <mergeCell ref="H20:H23"/>
    <mergeCell ref="I20:I23"/>
    <mergeCell ref="J20:J23"/>
    <mergeCell ref="K20:K23"/>
    <mergeCell ref="L20:L22"/>
    <mergeCell ref="M20:M22"/>
    <mergeCell ref="N20:N22"/>
    <mergeCell ref="L13:L15"/>
    <mergeCell ref="N13:N15"/>
    <mergeCell ref="J13:J19"/>
    <mergeCell ref="H13:H19"/>
    <mergeCell ref="M13:M15"/>
    <mergeCell ref="O13:O15"/>
    <mergeCell ref="S13:S14"/>
    <mergeCell ref="P13:P14"/>
    <mergeCell ref="Q13:Q14"/>
    <mergeCell ref="R13:R14"/>
    <mergeCell ref="K13:K19"/>
    <mergeCell ref="S198:S199"/>
    <mergeCell ref="D203:D207"/>
    <mergeCell ref="E203:E207"/>
    <mergeCell ref="F203:F207"/>
    <mergeCell ref="G203:G207"/>
    <mergeCell ref="H203:H206"/>
    <mergeCell ref="I203:I206"/>
    <mergeCell ref="J203:J206"/>
    <mergeCell ref="K203:K206"/>
    <mergeCell ref="L203:L205"/>
    <mergeCell ref="M203:M205"/>
    <mergeCell ref="N203:N205"/>
    <mergeCell ref="O203:O205"/>
    <mergeCell ref="P203:P204"/>
    <mergeCell ref="Q203:Q204"/>
    <mergeCell ref="R203:R204"/>
    <mergeCell ref="S203:S204"/>
    <mergeCell ref="D198:D202"/>
    <mergeCell ref="E198:E202"/>
    <mergeCell ref="F198:F202"/>
    <mergeCell ref="G198:G202"/>
    <mergeCell ref="H198:H201"/>
    <mergeCell ref="I198:I201"/>
    <mergeCell ref="J198:J201"/>
    <mergeCell ref="K198:K201"/>
    <mergeCell ref="L198:L200"/>
    <mergeCell ref="H193:H196"/>
    <mergeCell ref="I193:I196"/>
    <mergeCell ref="J193:J196"/>
    <mergeCell ref="K193:K196"/>
    <mergeCell ref="L193:L195"/>
    <mergeCell ref="M193:M195"/>
    <mergeCell ref="N193:N195"/>
    <mergeCell ref="O193:O195"/>
    <mergeCell ref="M198:M200"/>
    <mergeCell ref="N198:N200"/>
    <mergeCell ref="O198:O200"/>
    <mergeCell ref="P193:P194"/>
    <mergeCell ref="Q193:Q194"/>
    <mergeCell ref="R193:R194"/>
    <mergeCell ref="P198:P199"/>
    <mergeCell ref="Q198:Q199"/>
    <mergeCell ref="R198:R199"/>
    <mergeCell ref="S193:S194"/>
    <mergeCell ref="D193:D197"/>
    <mergeCell ref="E193:E197"/>
    <mergeCell ref="F193:F197"/>
    <mergeCell ref="G193:G197"/>
    <mergeCell ref="M182:M184"/>
    <mergeCell ref="N182:N184"/>
    <mergeCell ref="O182:O184"/>
    <mergeCell ref="P182:P183"/>
    <mergeCell ref="Q182:Q183"/>
    <mergeCell ref="R182:R183"/>
    <mergeCell ref="S182:S183"/>
    <mergeCell ref="D187:D191"/>
    <mergeCell ref="E187:E191"/>
    <mergeCell ref="F187:F191"/>
    <mergeCell ref="G187:G191"/>
    <mergeCell ref="H187:H190"/>
    <mergeCell ref="I187:I190"/>
    <mergeCell ref="J187:J190"/>
    <mergeCell ref="K187:K190"/>
    <mergeCell ref="L187:L189"/>
    <mergeCell ref="M187:M189"/>
    <mergeCell ref="N187:N189"/>
    <mergeCell ref="O187:O189"/>
    <mergeCell ref="P187:P188"/>
    <mergeCell ref="Q187:Q188"/>
    <mergeCell ref="R187:R188"/>
    <mergeCell ref="S187:S188"/>
    <mergeCell ref="D182:D186"/>
    <mergeCell ref="E182:E186"/>
    <mergeCell ref="F182:F186"/>
    <mergeCell ref="G182:G186"/>
    <mergeCell ref="H182:H185"/>
    <mergeCell ref="I182:I185"/>
    <mergeCell ref="J182:J185"/>
    <mergeCell ref="K182:K185"/>
    <mergeCell ref="L182:L184"/>
    <mergeCell ref="E147:W147"/>
    <mergeCell ref="E148:W148"/>
    <mergeCell ref="K161:K164"/>
    <mergeCell ref="E119:E123"/>
    <mergeCell ref="F119:F123"/>
    <mergeCell ref="H119:H122"/>
    <mergeCell ref="G119:G123"/>
    <mergeCell ref="D177:D181"/>
    <mergeCell ref="E177:E181"/>
    <mergeCell ref="F177:F181"/>
    <mergeCell ref="G177:G181"/>
    <mergeCell ref="H177:H180"/>
    <mergeCell ref="I177:I180"/>
    <mergeCell ref="J177:J180"/>
    <mergeCell ref="K177:K180"/>
    <mergeCell ref="L177:L179"/>
    <mergeCell ref="P135:P136"/>
    <mergeCell ref="Q135:Q136"/>
    <mergeCell ref="R135:R136"/>
    <mergeCell ref="S135:S136"/>
    <mergeCell ref="I124:I133"/>
    <mergeCell ref="L124:L126"/>
    <mergeCell ref="N124:N126"/>
    <mergeCell ref="J124:J133"/>
    <mergeCell ref="P119:P120"/>
    <mergeCell ref="Q119:Q120"/>
    <mergeCell ref="R119:R120"/>
    <mergeCell ref="O119:O121"/>
    <mergeCell ref="G89:G113"/>
    <mergeCell ref="S119:S120"/>
    <mergeCell ref="E114:E118"/>
    <mergeCell ref="F114:F118"/>
    <mergeCell ref="M177:M179"/>
    <mergeCell ref="N177:N179"/>
    <mergeCell ref="O177:O179"/>
    <mergeCell ref="P177:P178"/>
    <mergeCell ref="Q177:Q178"/>
    <mergeCell ref="R177:R178"/>
    <mergeCell ref="S177:S178"/>
    <mergeCell ref="O135:O137"/>
    <mergeCell ref="E149:W149"/>
    <mergeCell ref="E141:W141"/>
    <mergeCell ref="E142:W142"/>
    <mergeCell ref="E143:W143"/>
    <mergeCell ref="E144:W144"/>
    <mergeCell ref="E145:W145"/>
    <mergeCell ref="L151:L153"/>
    <mergeCell ref="M151:M153"/>
    <mergeCell ref="D119:D123"/>
    <mergeCell ref="I119:I122"/>
    <mergeCell ref="J119:J122"/>
    <mergeCell ref="D114:D118"/>
    <mergeCell ref="D124:D134"/>
    <mergeCell ref="E124:E134"/>
    <mergeCell ref="F124:F134"/>
    <mergeCell ref="G124:G134"/>
    <mergeCell ref="D89:D113"/>
    <mergeCell ref="E89:E113"/>
    <mergeCell ref="F89:F113"/>
    <mergeCell ref="I89:I92"/>
    <mergeCell ref="H124:H133"/>
    <mergeCell ref="I114:I117"/>
    <mergeCell ref="P11:Q11"/>
    <mergeCell ref="D53:D73"/>
    <mergeCell ref="E53:E73"/>
    <mergeCell ref="F53:F73"/>
    <mergeCell ref="D74:D88"/>
    <mergeCell ref="E74:E88"/>
    <mergeCell ref="F74:F88"/>
    <mergeCell ref="G74:G88"/>
    <mergeCell ref="D135:D139"/>
    <mergeCell ref="E135:E139"/>
    <mergeCell ref="F135:F139"/>
    <mergeCell ref="H135:H138"/>
    <mergeCell ref="N119:N121"/>
    <mergeCell ref="G114:G118"/>
    <mergeCell ref="G135:G139"/>
    <mergeCell ref="K135:K138"/>
    <mergeCell ref="N135:N137"/>
    <mergeCell ref="I135:I138"/>
    <mergeCell ref="J135:J138"/>
    <mergeCell ref="L135:L137"/>
    <mergeCell ref="M135:M137"/>
    <mergeCell ref="L119:L121"/>
    <mergeCell ref="M119:M121"/>
    <mergeCell ref="K119:K122"/>
    <mergeCell ref="D5:J5"/>
    <mergeCell ref="D9:D10"/>
    <mergeCell ref="D7:J7"/>
    <mergeCell ref="G9:G10"/>
    <mergeCell ref="H9:I10"/>
    <mergeCell ref="D6:J6"/>
    <mergeCell ref="D13:D52"/>
    <mergeCell ref="E13:E52"/>
    <mergeCell ref="G13:G52"/>
    <mergeCell ref="J9:J10"/>
    <mergeCell ref="H11:I11"/>
    <mergeCell ref="E9:F9"/>
    <mergeCell ref="F13:F52"/>
    <mergeCell ref="I13:I19"/>
    <mergeCell ref="W9:W10"/>
    <mergeCell ref="O9:R9"/>
    <mergeCell ref="K9:N9"/>
    <mergeCell ref="T11:U11"/>
    <mergeCell ref="S9:V9"/>
    <mergeCell ref="T10:U10"/>
    <mergeCell ref="D151:D155"/>
    <mergeCell ref="E151:E155"/>
    <mergeCell ref="D156:D160"/>
    <mergeCell ref="E156:E160"/>
    <mergeCell ref="F156:F160"/>
    <mergeCell ref="G156:G160"/>
    <mergeCell ref="H156:H159"/>
    <mergeCell ref="I156:I159"/>
    <mergeCell ref="J156:J159"/>
    <mergeCell ref="F151:F155"/>
    <mergeCell ref="G151:G155"/>
    <mergeCell ref="H151:H154"/>
    <mergeCell ref="I151:I154"/>
    <mergeCell ref="J151:J154"/>
    <mergeCell ref="G53:G73"/>
    <mergeCell ref="L10:M10"/>
    <mergeCell ref="P10:Q10"/>
    <mergeCell ref="L11:M11"/>
    <mergeCell ref="L161:L163"/>
    <mergeCell ref="Q156:Q157"/>
    <mergeCell ref="R156:R157"/>
    <mergeCell ref="S156:S157"/>
    <mergeCell ref="K156:K159"/>
    <mergeCell ref="K151:K154"/>
    <mergeCell ref="N156:N158"/>
    <mergeCell ref="O156:O158"/>
    <mergeCell ref="P156:P157"/>
    <mergeCell ref="S161:S162"/>
    <mergeCell ref="N161:N163"/>
    <mergeCell ref="O161:O163"/>
    <mergeCell ref="P161:P162"/>
    <mergeCell ref="Q161:Q162"/>
    <mergeCell ref="R161:R162"/>
    <mergeCell ref="L156:L158"/>
    <mergeCell ref="N151:N153"/>
    <mergeCell ref="O151:O153"/>
    <mergeCell ref="P151:P152"/>
    <mergeCell ref="Q151:Q152"/>
    <mergeCell ref="R151:R152"/>
    <mergeCell ref="S151:S152"/>
    <mergeCell ref="M156:M158"/>
    <mergeCell ref="M166:M168"/>
    <mergeCell ref="N166:N168"/>
    <mergeCell ref="O166:O168"/>
    <mergeCell ref="P166:P167"/>
    <mergeCell ref="Q166:Q167"/>
    <mergeCell ref="R166:R167"/>
    <mergeCell ref="S166:S167"/>
    <mergeCell ref="D161:D165"/>
    <mergeCell ref="E161:E165"/>
    <mergeCell ref="M161:M163"/>
    <mergeCell ref="D166:D170"/>
    <mergeCell ref="E166:E170"/>
    <mergeCell ref="F166:F170"/>
    <mergeCell ref="G166:G170"/>
    <mergeCell ref="H166:H169"/>
    <mergeCell ref="I166:I169"/>
    <mergeCell ref="J166:J169"/>
    <mergeCell ref="K166:K169"/>
    <mergeCell ref="L166:L168"/>
    <mergeCell ref="F161:F165"/>
    <mergeCell ref="G161:G165"/>
    <mergeCell ref="H161:H164"/>
    <mergeCell ref="I161:I164"/>
    <mergeCell ref="J161:J164"/>
    <mergeCell ref="M171:M173"/>
    <mergeCell ref="N171:N173"/>
    <mergeCell ref="O171:O173"/>
    <mergeCell ref="P171:P172"/>
    <mergeCell ref="Q171:Q172"/>
    <mergeCell ref="R171:R172"/>
    <mergeCell ref="S171:S172"/>
    <mergeCell ref="D171:D175"/>
    <mergeCell ref="E171:E175"/>
    <mergeCell ref="F171:F175"/>
    <mergeCell ref="G171:G175"/>
    <mergeCell ref="H171:H174"/>
    <mergeCell ref="I171:I174"/>
    <mergeCell ref="J171:J174"/>
    <mergeCell ref="K171:K174"/>
    <mergeCell ref="L171:L173"/>
  </mergeCells>
  <dataValidations count="555">
    <dataValidation allowBlank="1" showInputMessage="1" showErrorMessage="1" prompt="Выберите виды деятельности, выполнив двойной щелчок левой кнопки мыши по ячейке." sqref="G13:G15 G19 G52:G56 G73:G76 G80 G88:G91 G92 G113:G126 G133:G139 G151:G175 G177:G191 G193:G20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N121 N151:N153 N166:N168 N171:N173 N156:N158 N161:N163 N135:N137 N177:N179 N182:N184 N187:N189 N198:N200 N193:N195 N203:N205">
      <formula1>DESCRIPTION_TERRITORY</formula1>
    </dataValidation>
    <dataValidation type="textLength" operator="lessThanOrEqual" allowBlank="1" showInputMessage="1" showErrorMessage="1" errorTitle="Ошибка" error="Допускается ввод не более 900 символов!" sqref="J119:J120 R119:R120 V119:W119 J151:J152 R151:R152 V151:W151 J156:J157 R156:R157 V156:W156 J166:J167 R166:R167 V166:W166 J161:J162 R161:R162 V161:W161 J171:J172 R171:R172 V171:W171 J135:J136 R135:R136 V135:W135 J177:J178 R177:R178 V177:W177 J182:J183 R182:R183 V182:W182 J187:J188 R187:R188 V187:W187 J198:J199 R198:R199 V198:W198 J193:J194 R193:R194 V193:W193 J203:J204 R203:R204 V203:W203">
      <formula1>900</formula1>
    </dataValidation>
    <dataValidation allowBlank="1" showInputMessage="1" showErrorMessage="1" prompt="Для выбора выполните двойной щелчок левой клавиши мыши по соответствующей ячейке." sqref="K119:K120 O119:O120 S119:S120 F13:F15 F19 F52:F56 F73:F76 F80 F88:F91 F92 F113:F126 F133:F139 K151:K152 O151:O152 S151:S152 K156:K157 O156:O157 S156:S157 K166:K167 O166:O167 S166:S167 K161:K162 O161:O162 K171:K172 O171:O172 S135:S136 S161:S162 S171:S172 K135:K136 O135:O136 F151:F175 O177:O178 S177:S178 O182:O183 S182:S183 S187:S188 K177:K178 K182:K183 K187:K188 O187:O188 F177:F191 K198:K199 O198:O199 K193:K194 O193:O194 S198:S199 F193:F207 S193:S194 K203:K204 O203:O204 S203:S20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Для выбора выполните двойной щелчок левой клавиши мыши по соответствующей ячейке." sqref="K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Для выбора выполните двойной щелчок левой клавиши мыши по соответствующей ячейке." sqref="K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Для выбора выполните двойной щелчок левой клавиши мыши по соответствующей ячейке." sqref="K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O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V101">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Для выбора выполните двойной щелчок левой клавиши мыши по соответствующей ячейке." sqref="K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Выберите виды деятельности, выполнив двойной щелчок левой кнопки мыши по ячейке." sqref="G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Для выбора выполните двойной щелчок левой клавиши мыши по соответствующей ячейке." sqref="K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O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V16">
      <formula1>900</formula1>
    </dataValidation>
    <dataValidation type="textLength" operator="lessThanOrEqual" allowBlank="1" showInputMessage="1" showErrorMessage="1" errorTitle="Ошибка" error="Допускается ввод не более 900 символов!" sqref="W16">
      <formula1>900</formula1>
    </dataValidation>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Для выбора выполните двойной щелчок левой клавиши мыши по соответствующей ячейке." sqref="K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Для выбора выполните двойной щелчок левой клавиши мыши по соответствующей ячейке." sqref="K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Для выбора выполните двойной щелчок левой клавиши мыши по соответствующей ячейке." sqref="K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Для выбора выполните двойной щелчок левой клавиши мыши по соответствующей ячейке." sqref="K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2110"/>
    <col min="38" max="64" width="9.140625" style="1830"/>
  </cols>
  <sheetData>
    <row r="1" spans="1:64" s="1831"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2108" customFormat="1" ht="11.25" hidden="1" customHeight="1">
      <c r="L2" s="1470" t="s">
        <v>396</v>
      </c>
      <c r="M2" s="1470" t="s">
        <v>397</v>
      </c>
      <c r="R2" s="1470" t="s">
        <v>398</v>
      </c>
      <c r="S2" s="1470" t="s">
        <v>397</v>
      </c>
      <c r="X2" s="1470" t="s">
        <v>396</v>
      </c>
      <c r="Y2" s="1470" t="s">
        <v>397</v>
      </c>
      <c r="AD2" s="1470" t="s">
        <v>396</v>
      </c>
      <c r="AE2" s="1470" t="s">
        <v>397</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2109"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8" customFormat="1" ht="33" customHeight="1">
      <c r="A4" s="1055"/>
      <c r="B4" s="1054"/>
      <c r="C4" s="1424"/>
      <c r="D4" s="5258" t="s">
        <v>399</v>
      </c>
      <c r="E4" s="5258"/>
      <c r="F4" s="5258"/>
      <c r="G4" s="5258"/>
      <c r="H4" s="5258"/>
      <c r="I4" s="5258"/>
      <c r="J4" s="5258"/>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2113" customFormat="1" ht="14.25" customHeight="1">
      <c r="A5" s="1543"/>
      <c r="B5" s="1542"/>
      <c r="C5" s="1424"/>
      <c r="D5" s="5245" t="str">
        <f>IF(org=0,"Не определено",org)</f>
        <v>ПАО "ТГК-1" (филиал "Кольский")</v>
      </c>
      <c r="E5" s="5245"/>
      <c r="F5" s="5245"/>
      <c r="G5" s="5245"/>
      <c r="H5" s="5245"/>
      <c r="I5" s="5245"/>
      <c r="J5" s="5245"/>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8"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1"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5180" t="s">
        <v>83</v>
      </c>
      <c r="E8" s="5180" t="s">
        <v>110</v>
      </c>
      <c r="F8" s="5259" t="s">
        <v>126</v>
      </c>
      <c r="G8" s="5260"/>
      <c r="H8" s="5259" t="s">
        <v>83</v>
      </c>
      <c r="I8" s="5260"/>
      <c r="J8" s="5180" t="s">
        <v>127</v>
      </c>
      <c r="K8" s="1472"/>
      <c r="L8" s="5244" t="s">
        <v>400</v>
      </c>
      <c r="M8" s="5244"/>
      <c r="N8" s="5244"/>
      <c r="O8" s="5244"/>
      <c r="P8" s="5244"/>
      <c r="Q8" s="1473"/>
      <c r="R8" s="5151" t="s">
        <v>401</v>
      </c>
      <c r="S8" s="5156"/>
      <c r="T8" s="5156"/>
      <c r="U8" s="5156"/>
      <c r="V8" s="5156"/>
      <c r="W8" s="1473"/>
      <c r="X8" s="5180" t="s">
        <v>402</v>
      </c>
      <c r="Y8" s="5180"/>
      <c r="Z8" s="5180"/>
      <c r="AA8" s="5180"/>
      <c r="AB8" s="5180"/>
      <c r="AC8" s="1474"/>
      <c r="AD8" s="5180" t="s">
        <v>403</v>
      </c>
      <c r="AE8" s="5180"/>
      <c r="AF8" s="5180"/>
      <c r="AG8" s="5180"/>
      <c r="AH8" s="5151"/>
      <c r="AI8" s="5180" t="s">
        <v>404</v>
      </c>
      <c r="AJ8" s="1490"/>
    </row>
    <row r="9" spans="1:64" ht="22.5" customHeight="1">
      <c r="D9" s="5180"/>
      <c r="E9" s="5180"/>
      <c r="F9" s="5244" t="s">
        <v>84</v>
      </c>
      <c r="G9" s="5244" t="s">
        <v>132</v>
      </c>
      <c r="H9" s="5261"/>
      <c r="I9" s="5262"/>
      <c r="J9" s="5151"/>
      <c r="K9" s="1475"/>
      <c r="L9" s="5180" t="s">
        <v>405</v>
      </c>
      <c r="M9" s="5151"/>
      <c r="N9" s="5259" t="s">
        <v>83</v>
      </c>
      <c r="O9" s="5260"/>
      <c r="P9" s="5180" t="s">
        <v>133</v>
      </c>
      <c r="Q9" s="1472"/>
      <c r="R9" s="5180" t="s">
        <v>405</v>
      </c>
      <c r="S9" s="5151"/>
      <c r="T9" s="5259" t="s">
        <v>83</v>
      </c>
      <c r="U9" s="5260"/>
      <c r="V9" s="5180" t="s">
        <v>133</v>
      </c>
      <c r="W9" s="1472"/>
      <c r="X9" s="5180" t="s">
        <v>405</v>
      </c>
      <c r="Y9" s="5151"/>
      <c r="Z9" s="5259" t="s">
        <v>83</v>
      </c>
      <c r="AA9" s="5260"/>
      <c r="AB9" s="5180" t="s">
        <v>406</v>
      </c>
      <c r="AC9" s="1472"/>
      <c r="AD9" s="5180" t="s">
        <v>405</v>
      </c>
      <c r="AE9" s="5151"/>
      <c r="AF9" s="5259" t="s">
        <v>83</v>
      </c>
      <c r="AG9" s="5260"/>
      <c r="AH9" s="5151" t="s">
        <v>406</v>
      </c>
      <c r="AI9" s="5180"/>
      <c r="AJ9" s="1490"/>
    </row>
    <row r="10" spans="1:64" ht="22.5" customHeight="1">
      <c r="D10" s="5244"/>
      <c r="E10" s="5244"/>
      <c r="F10" s="5263"/>
      <c r="G10" s="5263"/>
      <c r="H10" s="5264"/>
      <c r="I10" s="5265"/>
      <c r="J10" s="5259"/>
      <c r="K10" s="1475"/>
      <c r="L10" s="1494" t="s">
        <v>407</v>
      </c>
      <c r="M10" s="1489" t="s">
        <v>408</v>
      </c>
      <c r="N10" s="5261"/>
      <c r="O10" s="5262"/>
      <c r="P10" s="5244"/>
      <c r="Q10" s="1472"/>
      <c r="R10" s="1494" t="s">
        <v>407</v>
      </c>
      <c r="S10" s="1489" t="s">
        <v>408</v>
      </c>
      <c r="T10" s="5261"/>
      <c r="U10" s="5262"/>
      <c r="V10" s="5244"/>
      <c r="W10" s="1472"/>
      <c r="X10" s="1494" t="s">
        <v>407</v>
      </c>
      <c r="Y10" s="1489" t="s">
        <v>408</v>
      </c>
      <c r="Z10" s="5261"/>
      <c r="AA10" s="5262"/>
      <c r="AB10" s="5244"/>
      <c r="AC10" s="1472"/>
      <c r="AD10" s="1494" t="s">
        <v>407</v>
      </c>
      <c r="AE10" s="1489" t="s">
        <v>408</v>
      </c>
      <c r="AF10" s="5261"/>
      <c r="AG10" s="5262"/>
      <c r="AH10" s="5259"/>
      <c r="AI10" s="5244"/>
      <c r="AJ10" s="1490"/>
      <c r="AK10" s="172" t="s">
        <v>409</v>
      </c>
      <c r="AL10" s="172" t="s">
        <v>134</v>
      </c>
    </row>
    <row r="11" spans="1:64" ht="14.25" customHeight="1">
      <c r="D11" s="5252" t="s">
        <v>114</v>
      </c>
      <c r="E11" s="5248" t="s">
        <v>410</v>
      </c>
      <c r="F11" s="5248" t="s">
        <v>411</v>
      </c>
      <c r="G11" s="5240" t="s">
        <v>57</v>
      </c>
      <c r="H11" s="1515"/>
      <c r="I11" s="5250"/>
      <c r="J11" s="5205"/>
      <c r="K11" s="1423"/>
      <c r="L11" s="5188"/>
      <c r="M11" s="5188"/>
      <c r="N11" s="1500"/>
      <c r="O11" s="5188"/>
      <c r="P11" s="5205"/>
      <c r="Q11" s="1501"/>
      <c r="R11" s="5188"/>
      <c r="S11" s="5188"/>
      <c r="T11" s="1502"/>
      <c r="U11" s="5188"/>
      <c r="V11" s="5205"/>
      <c r="W11" s="1503"/>
      <c r="X11" s="5188"/>
      <c r="Y11" s="5188"/>
      <c r="Z11" s="1500"/>
      <c r="AA11" s="5188"/>
      <c r="AB11" s="5205"/>
      <c r="AC11" s="1504"/>
      <c r="AD11" s="5188"/>
      <c r="AE11" s="5188"/>
      <c r="AF11" s="1422"/>
      <c r="AG11" s="1422"/>
      <c r="AH11" s="1505"/>
      <c r="AI11" s="1214"/>
      <c r="AJ11" s="1490"/>
    </row>
    <row r="12" spans="1:64" ht="14.25" customHeight="1">
      <c r="D12" s="5252"/>
      <c r="E12" s="5248"/>
      <c r="F12" s="5248"/>
      <c r="G12" s="5241"/>
      <c r="H12" s="1516"/>
      <c r="I12" s="5251"/>
      <c r="J12" s="5206"/>
      <c r="K12" s="1524"/>
      <c r="L12" s="5189"/>
      <c r="M12" s="5189"/>
      <c r="N12" s="1506"/>
      <c r="O12" s="5189"/>
      <c r="P12" s="5206"/>
      <c r="Q12" s="1507"/>
      <c r="R12" s="5189"/>
      <c r="S12" s="5189"/>
      <c r="T12" s="1508"/>
      <c r="U12" s="5189"/>
      <c r="V12" s="5206"/>
      <c r="W12" s="1509"/>
      <c r="X12" s="5189"/>
      <c r="Y12" s="5189"/>
      <c r="Z12" s="1506"/>
      <c r="AA12" s="5189"/>
      <c r="AB12" s="5206"/>
      <c r="AC12" s="1510"/>
      <c r="AD12" s="5189"/>
      <c r="AE12" s="5189"/>
      <c r="AF12" s="1511"/>
      <c r="AG12" s="1511"/>
      <c r="AH12" s="5246"/>
      <c r="AI12" s="5247"/>
      <c r="AJ12" s="1490"/>
    </row>
    <row r="13" spans="1:64" ht="14.25" customHeight="1">
      <c r="D13" s="5252"/>
      <c r="E13" s="5248"/>
      <c r="F13" s="5248"/>
      <c r="G13" s="5241"/>
      <c r="H13" s="1516"/>
      <c r="I13" s="5251"/>
      <c r="J13" s="5206"/>
      <c r="K13" s="1524"/>
      <c r="L13" s="5189"/>
      <c r="M13" s="5189"/>
      <c r="N13" s="1506"/>
      <c r="O13" s="5189"/>
      <c r="P13" s="5206"/>
      <c r="Q13" s="1507"/>
      <c r="R13" s="5189"/>
      <c r="S13" s="5189"/>
      <c r="T13" s="1508"/>
      <c r="U13" s="5189"/>
      <c r="V13" s="5206"/>
      <c r="W13" s="1509"/>
      <c r="X13" s="5189"/>
      <c r="Y13" s="5189"/>
      <c r="Z13" s="1421"/>
      <c r="AA13" s="1511"/>
      <c r="AB13" s="5246"/>
      <c r="AC13" s="5246"/>
      <c r="AD13" s="5246"/>
      <c r="AE13" s="5246"/>
      <c r="AF13" s="5246"/>
      <c r="AG13" s="5246"/>
      <c r="AH13" s="5246"/>
      <c r="AI13" s="5247"/>
      <c r="AJ13" s="1490"/>
    </row>
    <row r="14" spans="1:64" ht="14.25" customHeight="1">
      <c r="D14" s="5252"/>
      <c r="E14" s="5248"/>
      <c r="F14" s="5248"/>
      <c r="G14" s="5241"/>
      <c r="H14" s="1516"/>
      <c r="I14" s="5251"/>
      <c r="J14" s="5206"/>
      <c r="K14" s="1524"/>
      <c r="L14" s="5189"/>
      <c r="M14" s="5189"/>
      <c r="N14" s="1506"/>
      <c r="O14" s="5189"/>
      <c r="P14" s="5206"/>
      <c r="Q14" s="1507"/>
      <c r="R14" s="5189"/>
      <c r="S14" s="5189"/>
      <c r="T14" s="1512"/>
      <c r="U14" s="1513"/>
      <c r="V14" s="5246"/>
      <c r="W14" s="5246"/>
      <c r="X14" s="5246"/>
      <c r="Y14" s="5246"/>
      <c r="Z14" s="5246"/>
      <c r="AA14" s="5246"/>
      <c r="AB14" s="5246"/>
      <c r="AC14" s="5246"/>
      <c r="AD14" s="5246"/>
      <c r="AE14" s="5246"/>
      <c r="AF14" s="5246"/>
      <c r="AG14" s="5246"/>
      <c r="AH14" s="5246"/>
      <c r="AI14" s="5247"/>
      <c r="AJ14" s="1490"/>
    </row>
    <row r="15" spans="1:64" ht="11.25" customHeight="1">
      <c r="D15" s="5252"/>
      <c r="E15" s="5248"/>
      <c r="F15" s="5248"/>
      <c r="G15" s="5241"/>
      <c r="H15" s="1517"/>
      <c r="I15" s="5251"/>
      <c r="J15" s="5206"/>
      <c r="K15" s="1524"/>
      <c r="L15" s="5189"/>
      <c r="M15" s="5189"/>
      <c r="N15" s="1511"/>
      <c r="O15" s="1511"/>
      <c r="P15" s="5246"/>
      <c r="Q15" s="5246"/>
      <c r="R15" s="5246"/>
      <c r="S15" s="5246"/>
      <c r="T15" s="5246"/>
      <c r="U15" s="5246"/>
      <c r="V15" s="5246"/>
      <c r="W15" s="5246"/>
      <c r="X15" s="5246"/>
      <c r="Y15" s="5246"/>
      <c r="Z15" s="5246"/>
      <c r="AA15" s="5246"/>
      <c r="AB15" s="5246"/>
      <c r="AC15" s="5246"/>
      <c r="AD15" s="5246"/>
      <c r="AE15" s="5246"/>
      <c r="AF15" s="5246"/>
      <c r="AG15" s="5246"/>
      <c r="AH15" s="5246"/>
      <c r="AI15" s="5247"/>
      <c r="AJ15" s="1490"/>
    </row>
    <row r="16" spans="1:64" s="2109" customFormat="1" ht="11.25" customHeight="1">
      <c r="D16" s="5256"/>
      <c r="E16" s="5257"/>
      <c r="F16" s="5249"/>
      <c r="G16" s="5166"/>
      <c r="H16" s="1514"/>
      <c r="I16" s="1518"/>
      <c r="J16" s="5254"/>
      <c r="K16" s="5254"/>
      <c r="L16" s="5254"/>
      <c r="M16" s="5254"/>
      <c r="N16" s="5254"/>
      <c r="O16" s="5254"/>
      <c r="P16" s="5254"/>
      <c r="Q16" s="5254"/>
      <c r="R16" s="5254"/>
      <c r="S16" s="5254"/>
      <c r="T16" s="5254"/>
      <c r="U16" s="5254"/>
      <c r="V16" s="5254"/>
      <c r="W16" s="5254"/>
      <c r="X16" s="5254"/>
      <c r="Y16" s="5254"/>
      <c r="Z16" s="5254"/>
      <c r="AA16" s="5254"/>
      <c r="AB16" s="5254"/>
      <c r="AC16" s="5254"/>
      <c r="AD16" s="5254"/>
      <c r="AE16" s="5254"/>
      <c r="AF16" s="5254"/>
      <c r="AG16" s="5254"/>
      <c r="AH16" s="5254"/>
      <c r="AI16" s="5255"/>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5252" t="s">
        <v>98</v>
      </c>
      <c r="E17" s="5248" t="s">
        <v>410</v>
      </c>
      <c r="F17" s="5248" t="s">
        <v>412</v>
      </c>
      <c r="G17" s="5240" t="s">
        <v>57</v>
      </c>
      <c r="H17" s="1515"/>
      <c r="I17" s="5250"/>
      <c r="J17" s="5205"/>
      <c r="K17" s="1423"/>
      <c r="L17" s="5188"/>
      <c r="M17" s="5188"/>
      <c r="N17" s="1500"/>
      <c r="O17" s="5188"/>
      <c r="P17" s="5205"/>
      <c r="Q17" s="1501"/>
      <c r="R17" s="5188"/>
      <c r="S17" s="5188"/>
      <c r="T17" s="1502"/>
      <c r="U17" s="5188"/>
      <c r="V17" s="5205"/>
      <c r="W17" s="1503"/>
      <c r="X17" s="5188"/>
      <c r="Y17" s="5188"/>
      <c r="Z17" s="1500"/>
      <c r="AA17" s="5188"/>
      <c r="AB17" s="5205"/>
      <c r="AC17" s="1504"/>
      <c r="AD17" s="5188"/>
      <c r="AE17" s="5188"/>
      <c r="AF17" s="1422"/>
      <c r="AG17" s="1422"/>
      <c r="AH17" s="1505"/>
      <c r="AI17" s="1214"/>
      <c r="AJ17" s="1490"/>
    </row>
    <row r="18" spans="4:64" ht="14.25" customHeight="1">
      <c r="D18" s="5252"/>
      <c r="E18" s="5248"/>
      <c r="F18" s="5248"/>
      <c r="G18" s="5241"/>
      <c r="H18" s="1516"/>
      <c r="I18" s="5251"/>
      <c r="J18" s="5206"/>
      <c r="K18" s="1499"/>
      <c r="L18" s="5189"/>
      <c r="M18" s="5189"/>
      <c r="N18" s="1506"/>
      <c r="O18" s="5189"/>
      <c r="P18" s="5206"/>
      <c r="Q18" s="1507"/>
      <c r="R18" s="5189"/>
      <c r="S18" s="5189"/>
      <c r="T18" s="1508"/>
      <c r="U18" s="5189"/>
      <c r="V18" s="5206"/>
      <c r="W18" s="1509"/>
      <c r="X18" s="5189"/>
      <c r="Y18" s="5189"/>
      <c r="Z18" s="1506"/>
      <c r="AA18" s="5189"/>
      <c r="AB18" s="5206"/>
      <c r="AC18" s="1510"/>
      <c r="AD18" s="5189"/>
      <c r="AE18" s="5189"/>
      <c r="AF18" s="1511"/>
      <c r="AG18" s="1511"/>
      <c r="AH18" s="5246"/>
      <c r="AI18" s="5247"/>
      <c r="AJ18" s="1490"/>
    </row>
    <row r="19" spans="4:64" ht="14.25" customHeight="1">
      <c r="D19" s="5252"/>
      <c r="E19" s="5248"/>
      <c r="F19" s="5248"/>
      <c r="G19" s="5241"/>
      <c r="H19" s="1516"/>
      <c r="I19" s="5251"/>
      <c r="J19" s="5206"/>
      <c r="K19" s="1499"/>
      <c r="L19" s="5189"/>
      <c r="M19" s="5189"/>
      <c r="N19" s="1506"/>
      <c r="O19" s="5189"/>
      <c r="P19" s="5206"/>
      <c r="Q19" s="1507"/>
      <c r="R19" s="5189"/>
      <c r="S19" s="5189"/>
      <c r="T19" s="1508"/>
      <c r="U19" s="5189"/>
      <c r="V19" s="5206"/>
      <c r="W19" s="1509"/>
      <c r="X19" s="5189"/>
      <c r="Y19" s="5189"/>
      <c r="Z19" s="1421"/>
      <c r="AA19" s="1511"/>
      <c r="AB19" s="5246"/>
      <c r="AC19" s="5246"/>
      <c r="AD19" s="5246"/>
      <c r="AE19" s="5246"/>
      <c r="AF19" s="5246"/>
      <c r="AG19" s="5246"/>
      <c r="AH19" s="5246"/>
      <c r="AI19" s="5247"/>
      <c r="AJ19" s="1490"/>
    </row>
    <row r="20" spans="4:64" ht="14.25" customHeight="1">
      <c r="D20" s="5252"/>
      <c r="E20" s="5248"/>
      <c r="F20" s="5248"/>
      <c r="G20" s="5241"/>
      <c r="H20" s="1516"/>
      <c r="I20" s="5251"/>
      <c r="J20" s="5206"/>
      <c r="K20" s="1499"/>
      <c r="L20" s="5189"/>
      <c r="M20" s="5189"/>
      <c r="N20" s="1506"/>
      <c r="O20" s="5189"/>
      <c r="P20" s="5206"/>
      <c r="Q20" s="1507"/>
      <c r="R20" s="5189"/>
      <c r="S20" s="5189"/>
      <c r="T20" s="1512"/>
      <c r="U20" s="1513"/>
      <c r="V20" s="5246"/>
      <c r="W20" s="5246"/>
      <c r="X20" s="5246"/>
      <c r="Y20" s="5246"/>
      <c r="Z20" s="5246"/>
      <c r="AA20" s="5246"/>
      <c r="AB20" s="5246"/>
      <c r="AC20" s="5246"/>
      <c r="AD20" s="5246"/>
      <c r="AE20" s="5246"/>
      <c r="AF20" s="5246"/>
      <c r="AG20" s="5246"/>
      <c r="AH20" s="5246"/>
      <c r="AI20" s="5247"/>
      <c r="AJ20" s="1490"/>
    </row>
    <row r="21" spans="4:64" ht="11.25" customHeight="1">
      <c r="D21" s="5252"/>
      <c r="E21" s="5248"/>
      <c r="F21" s="5248"/>
      <c r="G21" s="5241"/>
      <c r="H21" s="1517"/>
      <c r="I21" s="5251"/>
      <c r="J21" s="5206"/>
      <c r="K21" s="1499"/>
      <c r="L21" s="5189"/>
      <c r="M21" s="5189"/>
      <c r="N21" s="1511"/>
      <c r="O21" s="1511"/>
      <c r="P21" s="5246"/>
      <c r="Q21" s="5246"/>
      <c r="R21" s="5246"/>
      <c r="S21" s="5246"/>
      <c r="T21" s="5246"/>
      <c r="U21" s="5246"/>
      <c r="V21" s="5246"/>
      <c r="W21" s="5246"/>
      <c r="X21" s="5246"/>
      <c r="Y21" s="5246"/>
      <c r="Z21" s="5246"/>
      <c r="AA21" s="5246"/>
      <c r="AB21" s="5246"/>
      <c r="AC21" s="5246"/>
      <c r="AD21" s="5246"/>
      <c r="AE21" s="5246"/>
      <c r="AF21" s="5246"/>
      <c r="AG21" s="5246"/>
      <c r="AH21" s="5246"/>
      <c r="AI21" s="5247"/>
      <c r="AJ21" s="1490"/>
    </row>
    <row r="22" spans="4:64" s="2109" customFormat="1" ht="11.25" customHeight="1">
      <c r="D22" s="5256"/>
      <c r="E22" s="5257"/>
      <c r="F22" s="5249"/>
      <c r="G22" s="5166"/>
      <c r="H22" s="1514"/>
      <c r="I22" s="1518"/>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5254"/>
      <c r="AH22" s="5254"/>
      <c r="AI22" s="5255"/>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5252" t="s">
        <v>85</v>
      </c>
      <c r="E23" s="5248" t="s">
        <v>410</v>
      </c>
      <c r="F23" s="5248" t="s">
        <v>413</v>
      </c>
      <c r="G23" s="5240" t="s">
        <v>57</v>
      </c>
      <c r="H23" s="1515"/>
      <c r="I23" s="5250"/>
      <c r="J23" s="5205"/>
      <c r="K23" s="1423"/>
      <c r="L23" s="5188"/>
      <c r="M23" s="5188"/>
      <c r="N23" s="1500"/>
      <c r="O23" s="5188"/>
      <c r="P23" s="5205"/>
      <c r="Q23" s="1501"/>
      <c r="R23" s="5188"/>
      <c r="S23" s="5188"/>
      <c r="T23" s="1502"/>
      <c r="U23" s="5188"/>
      <c r="V23" s="5205"/>
      <c r="W23" s="1503"/>
      <c r="X23" s="5188"/>
      <c r="Y23" s="5188"/>
      <c r="Z23" s="1500"/>
      <c r="AA23" s="5188"/>
      <c r="AB23" s="5205"/>
      <c r="AC23" s="1504"/>
      <c r="AD23" s="5188"/>
      <c r="AE23" s="5188"/>
      <c r="AF23" s="1422"/>
      <c r="AG23" s="1422"/>
      <c r="AH23" s="1505"/>
      <c r="AI23" s="1214"/>
      <c r="AJ23" s="1490"/>
      <c r="AK23" s="225" t="s">
        <v>93</v>
      </c>
    </row>
    <row r="24" spans="4:64" ht="14.25" customHeight="1">
      <c r="D24" s="5252"/>
      <c r="E24" s="5248"/>
      <c r="F24" s="5248"/>
      <c r="G24" s="5241"/>
      <c r="H24" s="1516"/>
      <c r="I24" s="5251"/>
      <c r="J24" s="5206"/>
      <c r="K24" s="1524"/>
      <c r="L24" s="5189"/>
      <c r="M24" s="5189"/>
      <c r="N24" s="1506"/>
      <c r="O24" s="5189"/>
      <c r="P24" s="5206"/>
      <c r="Q24" s="1507"/>
      <c r="R24" s="5189"/>
      <c r="S24" s="5189"/>
      <c r="T24" s="1508"/>
      <c r="U24" s="5189"/>
      <c r="V24" s="5206"/>
      <c r="W24" s="1509"/>
      <c r="X24" s="5189"/>
      <c r="Y24" s="5189"/>
      <c r="Z24" s="1506"/>
      <c r="AA24" s="5189"/>
      <c r="AB24" s="5206"/>
      <c r="AC24" s="1510"/>
      <c r="AD24" s="5189"/>
      <c r="AE24" s="5189"/>
      <c r="AF24" s="1511"/>
      <c r="AG24" s="1511"/>
      <c r="AH24" s="5246"/>
      <c r="AI24" s="5247"/>
      <c r="AJ24" s="1490"/>
    </row>
    <row r="25" spans="4:64" ht="14.25" customHeight="1">
      <c r="D25" s="5252"/>
      <c r="E25" s="5248"/>
      <c r="F25" s="5248"/>
      <c r="G25" s="5241"/>
      <c r="H25" s="1516"/>
      <c r="I25" s="5251"/>
      <c r="J25" s="5206"/>
      <c r="K25" s="1524"/>
      <c r="L25" s="5189"/>
      <c r="M25" s="5189"/>
      <c r="N25" s="1506"/>
      <c r="O25" s="5189"/>
      <c r="P25" s="5206"/>
      <c r="Q25" s="1507"/>
      <c r="R25" s="5189"/>
      <c r="S25" s="5189"/>
      <c r="T25" s="1508"/>
      <c r="U25" s="5189"/>
      <c r="V25" s="5206"/>
      <c r="W25" s="1509"/>
      <c r="X25" s="5189"/>
      <c r="Y25" s="5189"/>
      <c r="Z25" s="1421"/>
      <c r="AA25" s="1511"/>
      <c r="AB25" s="5246"/>
      <c r="AC25" s="5246"/>
      <c r="AD25" s="5246"/>
      <c r="AE25" s="5246"/>
      <c r="AF25" s="5246"/>
      <c r="AG25" s="5246"/>
      <c r="AH25" s="5246"/>
      <c r="AI25" s="5247"/>
      <c r="AJ25" s="1490"/>
    </row>
    <row r="26" spans="4:64" ht="14.25" customHeight="1">
      <c r="D26" s="5252"/>
      <c r="E26" s="5248"/>
      <c r="F26" s="5248"/>
      <c r="G26" s="5241"/>
      <c r="H26" s="1516"/>
      <c r="I26" s="5251"/>
      <c r="J26" s="5206"/>
      <c r="K26" s="1524"/>
      <c r="L26" s="5189"/>
      <c r="M26" s="5189"/>
      <c r="N26" s="1506"/>
      <c r="O26" s="5189"/>
      <c r="P26" s="5206"/>
      <c r="Q26" s="1507"/>
      <c r="R26" s="5189"/>
      <c r="S26" s="5189"/>
      <c r="T26" s="1512"/>
      <c r="U26" s="1513"/>
      <c r="V26" s="5246"/>
      <c r="W26" s="5246"/>
      <c r="X26" s="5246"/>
      <c r="Y26" s="5246"/>
      <c r="Z26" s="5246"/>
      <c r="AA26" s="5246"/>
      <c r="AB26" s="5246"/>
      <c r="AC26" s="5246"/>
      <c r="AD26" s="5246"/>
      <c r="AE26" s="5246"/>
      <c r="AF26" s="5246"/>
      <c r="AG26" s="5246"/>
      <c r="AH26" s="5246"/>
      <c r="AI26" s="5247"/>
      <c r="AJ26" s="1490"/>
    </row>
    <row r="27" spans="4:64" ht="11.25" customHeight="1">
      <c r="D27" s="5252"/>
      <c r="E27" s="5248"/>
      <c r="F27" s="5248"/>
      <c r="G27" s="5241"/>
      <c r="H27" s="1517"/>
      <c r="I27" s="5251"/>
      <c r="J27" s="5206"/>
      <c r="K27" s="1524"/>
      <c r="L27" s="5189"/>
      <c r="M27" s="5189"/>
      <c r="N27" s="1511"/>
      <c r="O27" s="1511"/>
      <c r="P27" s="5246"/>
      <c r="Q27" s="5246"/>
      <c r="R27" s="5246"/>
      <c r="S27" s="5246"/>
      <c r="T27" s="5246"/>
      <c r="U27" s="5246"/>
      <c r="V27" s="5246"/>
      <c r="W27" s="5246"/>
      <c r="X27" s="5246"/>
      <c r="Y27" s="5246"/>
      <c r="Z27" s="5246"/>
      <c r="AA27" s="5246"/>
      <c r="AB27" s="5246"/>
      <c r="AC27" s="5246"/>
      <c r="AD27" s="5246"/>
      <c r="AE27" s="5246"/>
      <c r="AF27" s="5246"/>
      <c r="AG27" s="5246"/>
      <c r="AH27" s="5246"/>
      <c r="AI27" s="5247"/>
      <c r="AJ27" s="1490"/>
    </row>
    <row r="28" spans="4:64" s="2109" customFormat="1" ht="11.25" customHeight="1">
      <c r="D28" s="5256"/>
      <c r="E28" s="5257"/>
      <c r="F28" s="5249"/>
      <c r="G28" s="5166"/>
      <c r="H28" s="1514"/>
      <c r="I28" s="1518"/>
      <c r="J28" s="5254"/>
      <c r="K28" s="5254"/>
      <c r="L28" s="5254"/>
      <c r="M28" s="5254"/>
      <c r="N28" s="5254"/>
      <c r="O28" s="5254"/>
      <c r="P28" s="5254"/>
      <c r="Q28" s="5254"/>
      <c r="R28" s="5254"/>
      <c r="S28" s="5254"/>
      <c r="T28" s="5254"/>
      <c r="U28" s="5254"/>
      <c r="V28" s="5254"/>
      <c r="W28" s="5254"/>
      <c r="X28" s="5254"/>
      <c r="Y28" s="5254"/>
      <c r="Z28" s="5254"/>
      <c r="AA28" s="5254"/>
      <c r="AB28" s="5254"/>
      <c r="AC28" s="5254"/>
      <c r="AD28" s="5254"/>
      <c r="AE28" s="5254"/>
      <c r="AF28" s="5254"/>
      <c r="AG28" s="5254"/>
      <c r="AH28" s="5254"/>
      <c r="AI28" s="5255"/>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5252" t="s">
        <v>86</v>
      </c>
      <c r="E29" s="5248" t="s">
        <v>410</v>
      </c>
      <c r="F29" s="5248" t="s">
        <v>414</v>
      </c>
      <c r="G29" s="5240" t="s">
        <v>57</v>
      </c>
      <c r="H29" s="1515"/>
      <c r="I29" s="5250"/>
      <c r="J29" s="5205"/>
      <c r="K29" s="1423"/>
      <c r="L29" s="5188"/>
      <c r="M29" s="5188"/>
      <c r="N29" s="1500"/>
      <c r="O29" s="5188"/>
      <c r="P29" s="5205"/>
      <c r="Q29" s="1501"/>
      <c r="R29" s="5188"/>
      <c r="S29" s="5188"/>
      <c r="T29" s="1502"/>
      <c r="U29" s="5188"/>
      <c r="V29" s="5205"/>
      <c r="W29" s="1503"/>
      <c r="X29" s="5188"/>
      <c r="Y29" s="5188"/>
      <c r="Z29" s="1500"/>
      <c r="AA29" s="5188"/>
      <c r="AB29" s="5205"/>
      <c r="AC29" s="1504"/>
      <c r="AD29" s="5188"/>
      <c r="AE29" s="5188"/>
      <c r="AF29" s="1422"/>
      <c r="AG29" s="1422"/>
      <c r="AH29" s="1505"/>
      <c r="AI29" s="1214"/>
      <c r="AJ29" s="1490"/>
    </row>
    <row r="30" spans="4:64" ht="14.25" customHeight="1">
      <c r="D30" s="5252"/>
      <c r="E30" s="5248"/>
      <c r="F30" s="5248"/>
      <c r="G30" s="5241"/>
      <c r="H30" s="1516"/>
      <c r="I30" s="5251"/>
      <c r="J30" s="5206"/>
      <c r="K30" s="1499"/>
      <c r="L30" s="5189"/>
      <c r="M30" s="5189"/>
      <c r="N30" s="1506"/>
      <c r="O30" s="5189"/>
      <c r="P30" s="5206"/>
      <c r="Q30" s="1507"/>
      <c r="R30" s="5189"/>
      <c r="S30" s="5189"/>
      <c r="T30" s="1508"/>
      <c r="U30" s="5189"/>
      <c r="V30" s="5206"/>
      <c r="W30" s="1509"/>
      <c r="X30" s="5189"/>
      <c r="Y30" s="5189"/>
      <c r="Z30" s="1506"/>
      <c r="AA30" s="5189"/>
      <c r="AB30" s="5206"/>
      <c r="AC30" s="1510"/>
      <c r="AD30" s="5189"/>
      <c r="AE30" s="5189"/>
      <c r="AF30" s="1511"/>
      <c r="AG30" s="1511"/>
      <c r="AH30" s="5246"/>
      <c r="AI30" s="5247"/>
      <c r="AJ30" s="1490"/>
    </row>
    <row r="31" spans="4:64" ht="14.25" customHeight="1">
      <c r="D31" s="5252"/>
      <c r="E31" s="5248"/>
      <c r="F31" s="5248"/>
      <c r="G31" s="5241"/>
      <c r="H31" s="1516"/>
      <c r="I31" s="5251"/>
      <c r="J31" s="5206"/>
      <c r="K31" s="1499"/>
      <c r="L31" s="5189"/>
      <c r="M31" s="5189"/>
      <c r="N31" s="1506"/>
      <c r="O31" s="5189"/>
      <c r="P31" s="5206"/>
      <c r="Q31" s="1507"/>
      <c r="R31" s="5189"/>
      <c r="S31" s="5189"/>
      <c r="T31" s="1508"/>
      <c r="U31" s="5189"/>
      <c r="V31" s="5206"/>
      <c r="W31" s="1509"/>
      <c r="X31" s="5189"/>
      <c r="Y31" s="5189"/>
      <c r="Z31" s="1421"/>
      <c r="AA31" s="1511"/>
      <c r="AB31" s="5246"/>
      <c r="AC31" s="5246"/>
      <c r="AD31" s="5246"/>
      <c r="AE31" s="5246"/>
      <c r="AF31" s="5246"/>
      <c r="AG31" s="5246"/>
      <c r="AH31" s="5246"/>
      <c r="AI31" s="5247"/>
      <c r="AJ31" s="1490"/>
    </row>
    <row r="32" spans="4:64" ht="14.25" customHeight="1">
      <c r="D32" s="5252"/>
      <c r="E32" s="5248"/>
      <c r="F32" s="5248"/>
      <c r="G32" s="5241"/>
      <c r="H32" s="1516"/>
      <c r="I32" s="5251"/>
      <c r="J32" s="5206"/>
      <c r="K32" s="1499"/>
      <c r="L32" s="5189"/>
      <c r="M32" s="5189"/>
      <c r="N32" s="1506"/>
      <c r="O32" s="5189"/>
      <c r="P32" s="5206"/>
      <c r="Q32" s="1507"/>
      <c r="R32" s="5189"/>
      <c r="S32" s="5189"/>
      <c r="T32" s="1512"/>
      <c r="U32" s="1513"/>
      <c r="V32" s="5246"/>
      <c r="W32" s="5246"/>
      <c r="X32" s="5246"/>
      <c r="Y32" s="5246"/>
      <c r="Z32" s="5246"/>
      <c r="AA32" s="5246"/>
      <c r="AB32" s="5246"/>
      <c r="AC32" s="5246"/>
      <c r="AD32" s="5246"/>
      <c r="AE32" s="5246"/>
      <c r="AF32" s="5246"/>
      <c r="AG32" s="5246"/>
      <c r="AH32" s="5246"/>
      <c r="AI32" s="5247"/>
      <c r="AJ32" s="1490"/>
    </row>
    <row r="33" spans="4:64" ht="11.25" customHeight="1">
      <c r="D33" s="5252"/>
      <c r="E33" s="5248"/>
      <c r="F33" s="5248"/>
      <c r="G33" s="5241"/>
      <c r="H33" s="1517"/>
      <c r="I33" s="5251"/>
      <c r="J33" s="5206"/>
      <c r="K33" s="1499"/>
      <c r="L33" s="5189"/>
      <c r="M33" s="5189"/>
      <c r="N33" s="1511"/>
      <c r="O33" s="1511"/>
      <c r="P33" s="5246"/>
      <c r="Q33" s="5246"/>
      <c r="R33" s="5246"/>
      <c r="S33" s="5246"/>
      <c r="T33" s="5246"/>
      <c r="U33" s="5246"/>
      <c r="V33" s="5246"/>
      <c r="W33" s="5246"/>
      <c r="X33" s="5246"/>
      <c r="Y33" s="5246"/>
      <c r="Z33" s="5246"/>
      <c r="AA33" s="5246"/>
      <c r="AB33" s="5246"/>
      <c r="AC33" s="5246"/>
      <c r="AD33" s="5246"/>
      <c r="AE33" s="5246"/>
      <c r="AF33" s="5246"/>
      <c r="AG33" s="5246"/>
      <c r="AH33" s="5246"/>
      <c r="AI33" s="5247"/>
      <c r="AJ33" s="1490"/>
    </row>
    <row r="34" spans="4:64" s="2109" customFormat="1" ht="11.25" customHeight="1">
      <c r="D34" s="5256"/>
      <c r="E34" s="5257"/>
      <c r="F34" s="5249"/>
      <c r="G34" s="5166"/>
      <c r="H34" s="1514"/>
      <c r="I34" s="1518"/>
      <c r="J34" s="5254"/>
      <c r="K34" s="5254"/>
      <c r="L34" s="5254"/>
      <c r="M34" s="5254"/>
      <c r="N34" s="5254"/>
      <c r="O34" s="5254"/>
      <c r="P34" s="5254"/>
      <c r="Q34" s="5254"/>
      <c r="R34" s="5254"/>
      <c r="S34" s="5254"/>
      <c r="T34" s="5254"/>
      <c r="U34" s="5254"/>
      <c r="V34" s="5254"/>
      <c r="W34" s="5254"/>
      <c r="X34" s="5254"/>
      <c r="Y34" s="5254"/>
      <c r="Z34" s="5254"/>
      <c r="AA34" s="5254"/>
      <c r="AB34" s="5254"/>
      <c r="AC34" s="5254"/>
      <c r="AD34" s="5254"/>
      <c r="AE34" s="5254"/>
      <c r="AF34" s="5254"/>
      <c r="AG34" s="5254"/>
      <c r="AH34" s="5254"/>
      <c r="AI34" s="5255"/>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5252" t="s">
        <v>115</v>
      </c>
      <c r="E35" s="5248" t="s">
        <v>410</v>
      </c>
      <c r="F35" s="5248" t="s">
        <v>415</v>
      </c>
      <c r="G35" s="5240" t="s">
        <v>57</v>
      </c>
      <c r="H35" s="1515"/>
      <c r="I35" s="5250"/>
      <c r="J35" s="5205"/>
      <c r="K35" s="1423"/>
      <c r="L35" s="5188"/>
      <c r="M35" s="5188"/>
      <c r="N35" s="1500"/>
      <c r="O35" s="5188"/>
      <c r="P35" s="5205"/>
      <c r="Q35" s="1501"/>
      <c r="R35" s="5188"/>
      <c r="S35" s="5188"/>
      <c r="T35" s="1502"/>
      <c r="U35" s="5188"/>
      <c r="V35" s="5205"/>
      <c r="W35" s="1503"/>
      <c r="X35" s="5188"/>
      <c r="Y35" s="5188"/>
      <c r="Z35" s="1500"/>
      <c r="AA35" s="5188"/>
      <c r="AB35" s="5205"/>
      <c r="AC35" s="1504"/>
      <c r="AD35" s="5188"/>
      <c r="AE35" s="5188"/>
      <c r="AF35" s="1422"/>
      <c r="AG35" s="1422"/>
      <c r="AH35" s="1505"/>
      <c r="AI35" s="1214"/>
      <c r="AJ35" s="1490"/>
    </row>
    <row r="36" spans="4:64" ht="14.25" customHeight="1">
      <c r="D36" s="5252"/>
      <c r="E36" s="5248"/>
      <c r="F36" s="5248"/>
      <c r="G36" s="5241"/>
      <c r="H36" s="1516"/>
      <c r="I36" s="5251"/>
      <c r="J36" s="5206"/>
      <c r="K36" s="1499"/>
      <c r="L36" s="5189"/>
      <c r="M36" s="5189"/>
      <c r="N36" s="1506"/>
      <c r="O36" s="5189"/>
      <c r="P36" s="5206"/>
      <c r="Q36" s="1507"/>
      <c r="R36" s="5189"/>
      <c r="S36" s="5189"/>
      <c r="T36" s="1508"/>
      <c r="U36" s="5189"/>
      <c r="V36" s="5206"/>
      <c r="W36" s="1509"/>
      <c r="X36" s="5189"/>
      <c r="Y36" s="5189"/>
      <c r="Z36" s="1506"/>
      <c r="AA36" s="5189"/>
      <c r="AB36" s="5206"/>
      <c r="AC36" s="1510"/>
      <c r="AD36" s="5189"/>
      <c r="AE36" s="5189"/>
      <c r="AF36" s="1511"/>
      <c r="AG36" s="1511"/>
      <c r="AH36" s="5246"/>
      <c r="AI36" s="5247"/>
      <c r="AJ36" s="1490"/>
    </row>
    <row r="37" spans="4:64" ht="14.25" customHeight="1">
      <c r="D37" s="5252"/>
      <c r="E37" s="5248"/>
      <c r="F37" s="5248"/>
      <c r="G37" s="5241"/>
      <c r="H37" s="1516"/>
      <c r="I37" s="5251"/>
      <c r="J37" s="5206"/>
      <c r="K37" s="1499"/>
      <c r="L37" s="5189"/>
      <c r="M37" s="5189"/>
      <c r="N37" s="1506"/>
      <c r="O37" s="5189"/>
      <c r="P37" s="5206"/>
      <c r="Q37" s="1507"/>
      <c r="R37" s="5189"/>
      <c r="S37" s="5189"/>
      <c r="T37" s="1508"/>
      <c r="U37" s="5189"/>
      <c r="V37" s="5206"/>
      <c r="W37" s="1509"/>
      <c r="X37" s="5189"/>
      <c r="Y37" s="5189"/>
      <c r="Z37" s="1421"/>
      <c r="AA37" s="1511"/>
      <c r="AB37" s="5246"/>
      <c r="AC37" s="5246"/>
      <c r="AD37" s="5246"/>
      <c r="AE37" s="5246"/>
      <c r="AF37" s="5246"/>
      <c r="AG37" s="5246"/>
      <c r="AH37" s="5246"/>
      <c r="AI37" s="5247"/>
      <c r="AJ37" s="1490"/>
    </row>
    <row r="38" spans="4:64" ht="14.25" customHeight="1">
      <c r="D38" s="5252"/>
      <c r="E38" s="5248"/>
      <c r="F38" s="5248"/>
      <c r="G38" s="5241"/>
      <c r="H38" s="1516"/>
      <c r="I38" s="5251"/>
      <c r="J38" s="5206"/>
      <c r="K38" s="1499"/>
      <c r="L38" s="5189"/>
      <c r="M38" s="5189"/>
      <c r="N38" s="1506"/>
      <c r="O38" s="5189"/>
      <c r="P38" s="5206"/>
      <c r="Q38" s="1507"/>
      <c r="R38" s="5189"/>
      <c r="S38" s="5189"/>
      <c r="T38" s="1512"/>
      <c r="U38" s="1513"/>
      <c r="V38" s="5246"/>
      <c r="W38" s="5246"/>
      <c r="X38" s="5246"/>
      <c r="Y38" s="5246"/>
      <c r="Z38" s="5246"/>
      <c r="AA38" s="5246"/>
      <c r="AB38" s="5246"/>
      <c r="AC38" s="5246"/>
      <c r="AD38" s="5246"/>
      <c r="AE38" s="5246"/>
      <c r="AF38" s="5246"/>
      <c r="AG38" s="5246"/>
      <c r="AH38" s="5246"/>
      <c r="AI38" s="5247"/>
      <c r="AJ38" s="1490"/>
    </row>
    <row r="39" spans="4:64" ht="11.25" customHeight="1">
      <c r="D39" s="5252"/>
      <c r="E39" s="5248"/>
      <c r="F39" s="5248"/>
      <c r="G39" s="5241"/>
      <c r="H39" s="1517"/>
      <c r="I39" s="5251"/>
      <c r="J39" s="5206"/>
      <c r="K39" s="1499"/>
      <c r="L39" s="5189"/>
      <c r="M39" s="5189"/>
      <c r="N39" s="1511"/>
      <c r="O39" s="1511"/>
      <c r="P39" s="5246"/>
      <c r="Q39" s="5246"/>
      <c r="R39" s="5246"/>
      <c r="S39" s="5246"/>
      <c r="T39" s="5246"/>
      <c r="U39" s="5246"/>
      <c r="V39" s="5246"/>
      <c r="W39" s="5246"/>
      <c r="X39" s="5246"/>
      <c r="Y39" s="5246"/>
      <c r="Z39" s="5246"/>
      <c r="AA39" s="5246"/>
      <c r="AB39" s="5246"/>
      <c r="AC39" s="5246"/>
      <c r="AD39" s="5246"/>
      <c r="AE39" s="5246"/>
      <c r="AF39" s="5246"/>
      <c r="AG39" s="5246"/>
      <c r="AH39" s="5246"/>
      <c r="AI39" s="5247"/>
      <c r="AJ39" s="1490"/>
    </row>
    <row r="40" spans="4:64" s="2109" customFormat="1" ht="11.25" customHeight="1">
      <c r="D40" s="5252"/>
      <c r="E40" s="5248"/>
      <c r="F40" s="5253"/>
      <c r="G40" s="5166"/>
      <c r="H40" s="1514"/>
      <c r="I40" s="1518"/>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5254"/>
      <c r="AH40" s="5254"/>
      <c r="AI40" s="5255"/>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2116" hidden="1" customWidth="1"/>
    <col min="2" max="2" width="15" style="2118" hidden="1" customWidth="1"/>
    <col min="3" max="3" width="3.7109375" style="2121" customWidth="1"/>
    <col min="4" max="4" width="6.85546875" style="2122" customWidth="1"/>
    <col min="5" max="5" width="52.28515625" style="2121" customWidth="1"/>
    <col min="6" max="6" width="48.85546875" style="2121" customWidth="1"/>
    <col min="7" max="7" width="121.7109375" style="2121" customWidth="1"/>
    <col min="8" max="8" width="9.140625" style="2121"/>
    <col min="9" max="9" width="65" style="2121" customWidth="1"/>
  </cols>
  <sheetData>
    <row r="1" spans="1:9" ht="11.25" hidden="1" customHeight="1">
      <c r="A1" s="1596" t="s">
        <v>416</v>
      </c>
    </row>
    <row r="2" spans="1:9" ht="11.25" hidden="1" customHeight="1"/>
    <row r="3" spans="1:9" s="2117" customFormat="1" ht="11.25" customHeight="1">
      <c r="A3" s="1596"/>
      <c r="B3" s="426"/>
      <c r="D3" s="403"/>
    </row>
    <row r="4" spans="1:9" ht="25.5" customHeight="1">
      <c r="D4" s="5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5214"/>
      <c r="F4" s="5215"/>
      <c r="I4" s="633"/>
    </row>
    <row r="5" spans="1:9" ht="17.25" customHeight="1">
      <c r="D5" s="5245" t="str">
        <f>IF(org=0,"Не определено",org)</f>
        <v>ПАО "ТГК-1" (филиал "Кольский")</v>
      </c>
      <c r="E5" s="5245"/>
      <c r="F5" s="5245"/>
      <c r="I5" s="633"/>
    </row>
    <row r="6" spans="1:9" s="2117" customFormat="1" ht="11.25" customHeight="1">
      <c r="A6" s="1596"/>
      <c r="B6" s="426"/>
      <c r="D6" s="632"/>
      <c r="E6" s="632"/>
      <c r="F6" s="668"/>
      <c r="G6" s="632"/>
    </row>
    <row r="7" spans="1:9" ht="11.25" hidden="1" customHeight="1">
      <c r="A7" s="384"/>
      <c r="B7" s="427"/>
      <c r="C7" s="384"/>
      <c r="D7" s="389"/>
      <c r="E7" s="5272"/>
      <c r="F7" s="5272"/>
    </row>
    <row r="8" spans="1:9" ht="11.25" customHeight="1">
      <c r="A8" s="384"/>
      <c r="B8" s="427"/>
      <c r="C8" s="384"/>
      <c r="D8" s="5268" t="s">
        <v>417</v>
      </c>
      <c r="E8" s="5269"/>
      <c r="F8" s="5269"/>
      <c r="G8" s="5273" t="s">
        <v>418</v>
      </c>
    </row>
    <row r="9" spans="1:9" ht="11.25" customHeight="1">
      <c r="A9" s="384"/>
      <c r="B9" s="427"/>
      <c r="C9" s="384"/>
      <c r="D9" s="398" t="s">
        <v>83</v>
      </c>
      <c r="E9" s="377" t="s">
        <v>419</v>
      </c>
      <c r="F9" s="377" t="s">
        <v>420</v>
      </c>
      <c r="G9" s="5274"/>
    </row>
    <row r="10" spans="1:9" ht="12" hidden="1" customHeight="1">
      <c r="A10" s="384"/>
      <c r="B10" s="427"/>
      <c r="C10" s="384"/>
      <c r="D10" s="390"/>
      <c r="E10" s="390"/>
      <c r="F10" s="390"/>
      <c r="G10" s="390"/>
    </row>
    <row r="11" spans="1:9" ht="22.5" hidden="1" customHeight="1">
      <c r="A11" s="384"/>
      <c r="B11" s="427"/>
      <c r="C11" s="384"/>
      <c r="D11" s="915" t="s">
        <v>114</v>
      </c>
      <c r="E11" s="918" t="s">
        <v>421</v>
      </c>
      <c r="F11" s="917" t="str">
        <f>IF(region_name="","",region_name)</f>
        <v>Мурманская область</v>
      </c>
      <c r="G11" s="918" t="s">
        <v>422</v>
      </c>
      <c r="H11" s="401"/>
    </row>
    <row r="12" spans="1:9" ht="22.5" hidden="1" customHeight="1">
      <c r="A12" s="384"/>
      <c r="B12" s="427"/>
      <c r="C12" s="384"/>
      <c r="D12" s="376" t="s">
        <v>114</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423</v>
      </c>
      <c r="G12" s="400"/>
      <c r="H12" s="401"/>
    </row>
    <row r="13" spans="1:9" ht="22.5" customHeight="1">
      <c r="A13" s="384"/>
      <c r="B13" s="427"/>
      <c r="C13" s="384"/>
      <c r="D13" s="376" t="s">
        <v>114</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424</v>
      </c>
      <c r="E14" s="916" t="s">
        <v>425</v>
      </c>
      <c r="F14" s="917" t="str">
        <f>IF(inn="","",inn)</f>
        <v>7841312071</v>
      </c>
      <c r="G14" s="918" t="s">
        <v>426</v>
      </c>
      <c r="H14" s="401"/>
    </row>
    <row r="15" spans="1:9" ht="22.5" hidden="1" customHeight="1">
      <c r="A15" s="384"/>
      <c r="B15" s="427"/>
      <c r="C15" s="384"/>
      <c r="D15" s="915" t="s">
        <v>427</v>
      </c>
      <c r="E15" s="916" t="s">
        <v>428</v>
      </c>
      <c r="F15" s="917" t="str">
        <f>IF(kpp="","",kpp)</f>
        <v>519001001</v>
      </c>
      <c r="G15" s="918" t="s">
        <v>429</v>
      </c>
      <c r="H15" s="401"/>
    </row>
    <row r="16" spans="1:9" ht="36.75" customHeight="1">
      <c r="A16" s="384"/>
      <c r="B16" s="427"/>
      <c r="C16" s="384"/>
      <c r="D16" s="376" t="s">
        <v>98</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85</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86</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customHeight="1">
      <c r="A19" s="5270">
        <v>1</v>
      </c>
      <c r="B19" s="427"/>
      <c r="C19" s="5275"/>
      <c r="D19" s="371">
        <v>5</v>
      </c>
      <c r="E19" s="373" t="s">
        <v>430</v>
      </c>
      <c r="F19" s="374" t="s">
        <v>423</v>
      </c>
      <c r="G19" s="375" t="s">
        <v>431</v>
      </c>
      <c r="H19" s="401"/>
      <c r="I19" s="764"/>
    </row>
    <row r="20" spans="1:9" ht="33.75" customHeight="1">
      <c r="A20" s="5270"/>
      <c r="B20" s="427"/>
      <c r="C20" s="5275"/>
      <c r="D20" s="376" t="s">
        <v>432</v>
      </c>
      <c r="E20" s="370" t="s">
        <v>433</v>
      </c>
      <c r="F20" s="2119" t="s">
        <v>24</v>
      </c>
      <c r="G20" s="400"/>
      <c r="H20" s="401"/>
      <c r="I20" s="764"/>
    </row>
    <row r="21" spans="1:9" ht="22.5" customHeight="1">
      <c r="A21" s="5270"/>
      <c r="B21" s="427"/>
      <c r="C21" s="5275"/>
      <c r="D21" s="376" t="s">
        <v>434</v>
      </c>
      <c r="E21" s="370" t="s">
        <v>435</v>
      </c>
      <c r="F21" s="1810" t="s">
        <v>24</v>
      </c>
      <c r="G21" s="375" t="s">
        <v>436</v>
      </c>
      <c r="H21" s="401"/>
      <c r="I21" s="764"/>
    </row>
    <row r="22" spans="1:9" ht="22.5" customHeight="1">
      <c r="A22" s="5270"/>
      <c r="B22" s="427"/>
      <c r="C22" s="5275"/>
      <c r="D22" s="376" t="s">
        <v>437</v>
      </c>
      <c r="E22" s="370" t="s">
        <v>438</v>
      </c>
      <c r="F22" s="2119" t="s">
        <v>24</v>
      </c>
      <c r="G22" s="400"/>
      <c r="H22" s="401"/>
      <c r="I22" s="764"/>
    </row>
    <row r="23" spans="1:9" ht="22.5" customHeight="1">
      <c r="A23" s="5270"/>
      <c r="B23" s="427"/>
      <c r="C23" s="5275"/>
      <c r="D23" s="376" t="s">
        <v>439</v>
      </c>
      <c r="E23" s="370" t="s">
        <v>440</v>
      </c>
      <c r="F23" s="2119" t="s">
        <v>24</v>
      </c>
      <c r="G23" s="375" t="s">
        <v>441</v>
      </c>
      <c r="H23" s="401"/>
      <c r="I23" s="764"/>
    </row>
    <row r="24" spans="1:9" s="2118" customFormat="1" ht="24.75" hidden="1" customHeight="1">
      <c r="A24" s="384"/>
      <c r="B24" s="427"/>
      <c r="C24" s="427"/>
      <c r="D24" s="912" t="s">
        <v>85</v>
      </c>
      <c r="E24" s="914" t="s">
        <v>442</v>
      </c>
      <c r="F24" s="919" t="s">
        <v>423</v>
      </c>
      <c r="G24" s="914"/>
    </row>
    <row r="25" spans="1:9" s="2118" customFormat="1" ht="11.25" hidden="1" customHeight="1">
      <c r="A25" s="384"/>
      <c r="B25" s="427"/>
      <c r="C25" s="427"/>
      <c r="D25" s="912" t="s">
        <v>443</v>
      </c>
      <c r="E25" s="913" t="s">
        <v>444</v>
      </c>
      <c r="F25" s="919" t="s">
        <v>423</v>
      </c>
      <c r="G25" s="914"/>
    </row>
    <row r="26" spans="1:9" s="2118" customFormat="1" ht="11.25" hidden="1" customHeight="1">
      <c r="A26" s="384"/>
      <c r="B26" s="427"/>
      <c r="C26" s="427"/>
      <c r="D26" s="912" t="s">
        <v>445</v>
      </c>
      <c r="E26" s="920" t="s">
        <v>446</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118" customFormat="1" ht="11.25" hidden="1" customHeight="1">
      <c r="A27" s="384"/>
      <c r="B27" s="427"/>
      <c r="C27" s="427"/>
      <c r="D27" s="912" t="s">
        <v>447</v>
      </c>
      <c r="E27" s="920" t="s">
        <v>448</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118" customFormat="1" ht="11.25" hidden="1" customHeight="1">
      <c r="A28" s="384"/>
      <c r="B28" s="427"/>
      <c r="C28" s="427"/>
      <c r="D28" s="912" t="s">
        <v>449</v>
      </c>
      <c r="E28" s="920" t="s">
        <v>450</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118" customFormat="1" ht="11.25" hidden="1" customHeight="1">
      <c r="A29" s="384"/>
      <c r="B29" s="427"/>
      <c r="C29" s="427"/>
      <c r="D29" s="912" t="s">
        <v>451</v>
      </c>
      <c r="E29" s="913" t="s">
        <v>452</v>
      </c>
      <c r="F29" s="921"/>
      <c r="G29" s="914"/>
    </row>
    <row r="30" spans="1:9" s="2118" customFormat="1" ht="11.25" hidden="1" customHeight="1">
      <c r="A30" s="384"/>
      <c r="B30" s="427"/>
      <c r="C30" s="427"/>
      <c r="D30" s="912" t="s">
        <v>453</v>
      </c>
      <c r="E30" s="913" t="s">
        <v>454</v>
      </c>
      <c r="F30" s="921"/>
      <c r="G30" s="914"/>
    </row>
    <row r="31" spans="1:9" s="2118" customFormat="1" ht="11.25" hidden="1" customHeight="1">
      <c r="A31" s="384"/>
      <c r="B31" s="427"/>
      <c r="C31" s="427"/>
      <c r="D31" s="912" t="s">
        <v>455</v>
      </c>
      <c r="E31" s="913" t="s">
        <v>456</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423</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457</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457</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423</v>
      </c>
      <c r="G38" s="5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5277"/>
      <c r="H39" s="401"/>
    </row>
    <row r="40" spans="1:8" ht="22.5" customHeight="1">
      <c r="A40" s="384"/>
      <c r="B40" s="384"/>
      <c r="C40" s="1598"/>
      <c r="D40" s="371" t="str">
        <f>D38&amp;".1"</f>
        <v>9.1</v>
      </c>
      <c r="E40" s="772"/>
      <c r="F40" s="773"/>
      <c r="G40" s="5277"/>
      <c r="H40" s="401"/>
    </row>
    <row r="41" spans="1:8" ht="15" customHeight="1">
      <c r="A41" s="384"/>
      <c r="B41" s="427"/>
      <c r="C41" s="384"/>
      <c r="D41" s="393"/>
      <c r="E41" s="348" t="s">
        <v>458</v>
      </c>
      <c r="F41" s="395"/>
      <c r="G41" s="5278"/>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459</v>
      </c>
      <c r="H43" s="401"/>
    </row>
    <row r="44" spans="1:8" ht="22.5" customHeight="1">
      <c r="A44" s="384"/>
      <c r="B44" s="427"/>
      <c r="C44" s="384"/>
      <c r="D44" s="371">
        <f>D43+1</f>
        <v>12</v>
      </c>
      <c r="E44" s="369" t="s">
        <v>460</v>
      </c>
      <c r="F44" s="374" t="s">
        <v>423</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461</v>
      </c>
      <c r="H45" s="401"/>
    </row>
    <row r="46" spans="1:8" ht="22.5" customHeight="1">
      <c r="A46" s="5266"/>
      <c r="B46" s="427"/>
      <c r="C46" s="417"/>
      <c r="D46" s="371" t="str">
        <f>D44&amp;".2"</f>
        <v>12.2</v>
      </c>
      <c r="E46" s="373" t="s">
        <v>462</v>
      </c>
      <c r="F46" s="415"/>
      <c r="G46" s="368" t="s">
        <v>463</v>
      </c>
      <c r="H46" s="401"/>
    </row>
    <row r="47" spans="1:8" ht="22.5" customHeight="1">
      <c r="A47" s="5266"/>
      <c r="B47" s="427"/>
      <c r="C47" s="417"/>
      <c r="D47" s="371" t="str">
        <f>D44&amp;".3"</f>
        <v>12.3</v>
      </c>
      <c r="E47" s="373" t="s">
        <v>464</v>
      </c>
      <c r="F47" s="415"/>
      <c r="G47" s="368" t="s">
        <v>465</v>
      </c>
      <c r="H47" s="401"/>
    </row>
    <row r="48" spans="1:8" ht="22.5" customHeight="1">
      <c r="A48" s="5266"/>
      <c r="B48" s="427"/>
      <c r="C48" s="417"/>
      <c r="D48" s="371" t="str">
        <f>IF(TEMPLATE_SPHERE="TKO",D44&amp;".0",D44&amp;".4")</f>
        <v>12.4</v>
      </c>
      <c r="E48" s="367" t="s">
        <v>466</v>
      </c>
      <c r="F48" s="1595"/>
      <c r="G48" s="1669" t="s">
        <v>467</v>
      </c>
      <c r="H48" s="401"/>
    </row>
    <row r="49" spans="1:9" ht="22.5" customHeight="1">
      <c r="A49" s="384"/>
      <c r="B49" s="427"/>
      <c r="C49" s="384"/>
      <c r="D49" s="393"/>
      <c r="E49" s="348" t="s">
        <v>468</v>
      </c>
      <c r="F49" s="394"/>
      <c r="G49" s="1669" t="s">
        <v>469</v>
      </c>
      <c r="H49" s="402"/>
    </row>
    <row r="50" spans="1:9" ht="22.5" customHeight="1">
      <c r="A50" s="770"/>
      <c r="B50" s="427"/>
      <c r="C50" s="417"/>
      <c r="D50" s="371">
        <f>D44+1</f>
        <v>13</v>
      </c>
      <c r="E50" s="453" t="s">
        <v>470</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2120" customFormat="1" ht="30" customHeight="1">
      <c r="A52" s="1597"/>
      <c r="B52" s="428"/>
      <c r="C52" s="5267"/>
      <c r="D52" s="5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5271"/>
      <c r="F52" s="5271"/>
      <c r="G52" s="5271"/>
      <c r="H52" s="383"/>
      <c r="I52" s="383"/>
    </row>
    <row r="53" spans="1:9" s="2120" customFormat="1" ht="39.75" customHeight="1">
      <c r="A53" s="384"/>
      <c r="B53" s="427"/>
      <c r="C53" s="5267"/>
      <c r="D53" s="5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5271"/>
      <c r="F53" s="5271"/>
      <c r="G53" s="5271"/>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28" hidden="1" customWidth="1"/>
    <col min="2" max="2" width="9.140625" style="2127" hidden="1" customWidth="1"/>
    <col min="3" max="3" width="3.7109375" style="2129" customWidth="1"/>
    <col min="4" max="4" width="5.5703125" style="2127" customWidth="1"/>
    <col min="5" max="5" width="48.42578125" style="2127" customWidth="1"/>
    <col min="6" max="6" width="38.140625" style="2127" customWidth="1"/>
    <col min="7" max="7" width="1.7109375" style="1822" hidden="1" customWidth="1"/>
    <col min="8" max="11" width="19.85546875" style="2127" customWidth="1"/>
    <col min="12" max="12" width="9.7109375" style="2127" customWidth="1"/>
    <col min="13" max="18" width="19.85546875" style="2127" customWidth="1"/>
    <col min="19" max="19" width="1.7109375" style="1822" hidden="1" customWidth="1"/>
    <col min="20" max="22" width="19.85546875" style="2130" hidden="1" customWidth="1"/>
    <col min="23" max="23" width="1.7109375" style="1822" hidden="1" customWidth="1"/>
    <col min="24" max="26" width="19.85546875" style="2130" hidden="1" customWidth="1"/>
    <col min="27" max="27" width="1.7109375" style="1822" hidden="1" customWidth="1"/>
    <col min="28" max="29" width="19.85546875" style="2130" hidden="1" customWidth="1"/>
    <col min="30" max="30" width="1.7109375" style="1822" hidden="1" customWidth="1"/>
    <col min="31" max="31" width="103.7109375" style="2127" customWidth="1"/>
    <col min="32" max="34" width="103.7109375" style="2130" hidden="1" customWidth="1"/>
    <col min="35" max="35" width="3.7109375" style="2131" customWidth="1"/>
    <col min="36" max="38" width="10.5703125" style="2126"/>
    <col min="39" max="39" width="13.7109375" style="2126" hidden="1" customWidth="1"/>
    <col min="40" max="40" width="15.42578125" style="2126" customWidth="1"/>
    <col min="41" max="41" width="16.28515625" style="2126" customWidth="1"/>
    <col min="42" max="45" width="10.5703125" style="2126"/>
  </cols>
  <sheetData>
    <row r="1" spans="1:45" ht="14.25" hidden="1" customHeight="1">
      <c r="E1" s="345"/>
      <c r="F1" s="345"/>
      <c r="G1" s="345"/>
      <c r="H1" s="5158" t="s">
        <v>471</v>
      </c>
      <c r="I1" s="5158"/>
      <c r="J1" s="5158"/>
      <c r="K1" s="5158"/>
      <c r="L1" s="5158"/>
      <c r="M1" s="5158"/>
      <c r="N1" s="5158"/>
      <c r="O1" s="5158"/>
      <c r="P1" s="5158"/>
      <c r="Q1" s="5158"/>
      <c r="R1" s="5158"/>
      <c r="T1" s="5158" t="s">
        <v>472</v>
      </c>
      <c r="U1" s="5158"/>
      <c r="V1" s="5158"/>
      <c r="X1" s="5158" t="s">
        <v>473</v>
      </c>
      <c r="Y1" s="5158"/>
      <c r="Z1" s="5158"/>
      <c r="AB1" s="5158" t="s">
        <v>474</v>
      </c>
      <c r="AC1" s="5158"/>
    </row>
    <row r="2" spans="1:45" ht="14.25" hidden="1" customHeight="1"/>
    <row r="3" spans="1:45" s="2123" customFormat="1" ht="6" customHeight="1">
      <c r="C3" s="619"/>
      <c r="D3" s="620"/>
      <c r="E3" s="620"/>
      <c r="F3" s="620"/>
      <c r="G3" s="620"/>
      <c r="H3" s="620" t="s">
        <v>475</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5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5214"/>
      <c r="F4" s="5214"/>
      <c r="G4" s="5214"/>
      <c r="H4" s="5214"/>
      <c r="I4" s="5214"/>
      <c r="J4" s="5214"/>
      <c r="K4" s="5214"/>
      <c r="L4" s="5214"/>
      <c r="M4" s="5214"/>
      <c r="N4" s="5214"/>
      <c r="O4" s="5214"/>
      <c r="P4" s="5214"/>
      <c r="Q4" s="5214"/>
      <c r="R4" s="5215"/>
      <c r="S4" s="765"/>
      <c r="T4" s="618"/>
      <c r="U4" s="618"/>
      <c r="V4" s="618"/>
      <c r="W4" s="618"/>
      <c r="X4" s="618"/>
      <c r="Y4" s="618"/>
      <c r="Z4" s="618"/>
      <c r="AA4" s="618"/>
      <c r="AB4" s="618"/>
      <c r="AC4" s="618"/>
      <c r="AD4" s="618"/>
      <c r="AE4" s="416"/>
      <c r="AF4" s="416"/>
      <c r="AG4" s="416"/>
      <c r="AH4" s="416"/>
      <c r="AI4" s="413"/>
    </row>
    <row r="5" spans="1:45" s="1822" customFormat="1" ht="17.25" customHeight="1">
      <c r="A5" s="675"/>
      <c r="C5" s="738"/>
      <c r="D5" s="5279" t="str">
        <f>IF(org=0,"Не определено",org)</f>
        <v>ПАО "ТГК-1" (филиал "Кольский")</v>
      </c>
      <c r="E5" s="5280"/>
      <c r="F5" s="5280"/>
      <c r="G5" s="5280"/>
      <c r="H5" s="5280"/>
      <c r="I5" s="5280"/>
      <c r="J5" s="5280"/>
      <c r="K5" s="5280"/>
      <c r="L5" s="5280"/>
      <c r="M5" s="5280"/>
      <c r="N5" s="5280"/>
      <c r="O5" s="5280"/>
      <c r="P5" s="5280"/>
      <c r="Q5" s="5280"/>
      <c r="R5" s="5281"/>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2125"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5282" t="s">
        <v>417</v>
      </c>
      <c r="E7" s="5283"/>
      <c r="F7" s="5283"/>
      <c r="G7" s="5283"/>
      <c r="H7" s="5283"/>
      <c r="I7" s="5283"/>
      <c r="J7" s="5283"/>
      <c r="K7" s="5283"/>
      <c r="L7" s="5283"/>
      <c r="M7" s="5283"/>
      <c r="N7" s="5283"/>
      <c r="O7" s="5283"/>
      <c r="P7" s="5283"/>
      <c r="Q7" s="5283"/>
      <c r="R7" s="5283"/>
      <c r="S7" s="5283"/>
      <c r="T7" s="5283"/>
      <c r="U7" s="5283"/>
      <c r="V7" s="5283"/>
      <c r="W7" s="5283"/>
      <c r="X7" s="5283"/>
      <c r="Y7" s="5283"/>
      <c r="Z7" s="5283"/>
      <c r="AA7" s="5283"/>
      <c r="AB7" s="5283"/>
      <c r="AC7" s="5283"/>
      <c r="AD7" s="5284"/>
      <c r="AE7" s="5208" t="s">
        <v>418</v>
      </c>
      <c r="AF7" s="5208" t="s">
        <v>418</v>
      </c>
      <c r="AG7" s="5208" t="s">
        <v>418</v>
      </c>
      <c r="AH7" s="5208" t="s">
        <v>418</v>
      </c>
    </row>
    <row r="8" spans="1:45" ht="25.5" customHeight="1">
      <c r="C8" s="380"/>
      <c r="D8" s="5180" t="s">
        <v>83</v>
      </c>
      <c r="E8" s="5208" t="str">
        <f>"Наименование "&amp;IF(TEMPLATE_SPHERE&lt;&gt;"HEAT","централизованной ","")&amp;"системы "&amp;TEMPLATE_SPHERE_RUS</f>
        <v>Наименование системы теплоснабжения</v>
      </c>
      <c r="F8" s="5208" t="str">
        <f>IF(TEMPLATE_SPHERE&lt;&gt;"HEAT","Регулируемый вид деятельности","Вид регулируемой деятельности")</f>
        <v>Вид регулируемой деятельности</v>
      </c>
      <c r="G8" s="744"/>
      <c r="H8" s="5287" t="s">
        <v>476</v>
      </c>
      <c r="I8" s="5289" t="s">
        <v>477</v>
      </c>
      <c r="J8" s="5208" t="s">
        <v>478</v>
      </c>
      <c r="K8" s="5208"/>
      <c r="L8" s="5208"/>
      <c r="M8" s="5282"/>
      <c r="N8" s="5208" t="s">
        <v>479</v>
      </c>
      <c r="O8" s="5208"/>
      <c r="P8" s="5208" t="s">
        <v>480</v>
      </c>
      <c r="Q8" s="5208"/>
      <c r="R8" s="5291" t="s">
        <v>481</v>
      </c>
      <c r="S8" s="740"/>
      <c r="T8" s="5287" t="s">
        <v>482</v>
      </c>
      <c r="U8" s="5287" t="s">
        <v>483</v>
      </c>
      <c r="V8" s="5287" t="s">
        <v>484</v>
      </c>
      <c r="W8" s="742"/>
      <c r="X8" s="5287" t="s">
        <v>485</v>
      </c>
      <c r="Y8" s="5287" t="s">
        <v>486</v>
      </c>
      <c r="Z8" s="5287" t="s">
        <v>487</v>
      </c>
      <c r="AA8" s="742"/>
      <c r="AB8" s="5287" t="s">
        <v>488</v>
      </c>
      <c r="AC8" s="5287" t="s">
        <v>481</v>
      </c>
      <c r="AD8" s="742"/>
      <c r="AE8" s="5208"/>
      <c r="AF8" s="5208"/>
      <c r="AG8" s="5208"/>
      <c r="AH8" s="5208"/>
    </row>
    <row r="9" spans="1:45" ht="43.5" customHeight="1">
      <c r="C9" s="380"/>
      <c r="D9" s="5180"/>
      <c r="E9" s="5208"/>
      <c r="F9" s="5208"/>
      <c r="G9" s="745"/>
      <c r="H9" s="5288"/>
      <c r="I9" s="5290"/>
      <c r="J9" s="357" t="s">
        <v>489</v>
      </c>
      <c r="K9" s="357" t="s">
        <v>490</v>
      </c>
      <c r="L9" s="357" t="s">
        <v>491</v>
      </c>
      <c r="M9" s="362" t="s">
        <v>492</v>
      </c>
      <c r="N9" s="357" t="s">
        <v>493</v>
      </c>
      <c r="O9" s="357" t="s">
        <v>492</v>
      </c>
      <c r="P9" s="357" t="s">
        <v>494</v>
      </c>
      <c r="Q9" s="357" t="s">
        <v>492</v>
      </c>
      <c r="R9" s="5292"/>
      <c r="S9" s="741"/>
      <c r="T9" s="5288"/>
      <c r="U9" s="5288"/>
      <c r="V9" s="5288"/>
      <c r="W9" s="743"/>
      <c r="X9" s="5288"/>
      <c r="Y9" s="5288"/>
      <c r="Z9" s="5288"/>
      <c r="AA9" s="743"/>
      <c r="AB9" s="5288"/>
      <c r="AC9" s="5288"/>
      <c r="AD9" s="743"/>
      <c r="AE9" s="5208"/>
      <c r="AF9" s="5208"/>
      <c r="AG9" s="5208"/>
      <c r="AH9" s="5208"/>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8" customFormat="1" ht="11.25" hidden="1" customHeight="1">
      <c r="C11" s="423"/>
      <c r="D11" s="424" t="s">
        <v>495</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114</v>
      </c>
      <c r="E12" s="1685" t="s">
        <v>24</v>
      </c>
      <c r="F12" s="767"/>
      <c r="G12" s="768"/>
      <c r="H12" s="1686"/>
      <c r="I12" s="1686"/>
      <c r="J12" s="364"/>
      <c r="K12" s="1771"/>
      <c r="L12" s="363"/>
      <c r="M12" s="1771"/>
      <c r="N12" s="364"/>
      <c r="O12" s="1771"/>
      <c r="P12" s="364"/>
      <c r="Q12" s="1771"/>
      <c r="R12" s="364"/>
      <c r="S12" s="766"/>
      <c r="T12" s="1686"/>
      <c r="U12" s="364"/>
      <c r="V12" s="364"/>
      <c r="W12" s="743"/>
      <c r="X12" s="1686"/>
      <c r="Y12" s="364"/>
      <c r="Z12" s="364"/>
      <c r="AA12" s="743"/>
      <c r="AB12" s="1686"/>
      <c r="AC12" s="364"/>
      <c r="AD12" s="743"/>
      <c r="AE12" s="5285" t="s">
        <v>496</v>
      </c>
      <c r="AF12" s="5285" t="s">
        <v>497</v>
      </c>
      <c r="AG12" s="5285" t="s">
        <v>498</v>
      </c>
      <c r="AH12" s="5285" t="s">
        <v>499</v>
      </c>
      <c r="AI12" s="378"/>
      <c r="AM12" s="436"/>
      <c r="AP12" s="425" t="s">
        <v>500</v>
      </c>
      <c r="AQ12" s="425" t="s">
        <v>500</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5286"/>
      <c r="AF13" s="5286"/>
      <c r="AG13" s="5286"/>
      <c r="AH13" s="5286"/>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37" hidden="1" customWidth="1"/>
    <col min="2" max="2" width="9.140625" style="2136" hidden="1" customWidth="1"/>
    <col min="3" max="3" width="3.7109375" style="2129" customWidth="1"/>
    <col min="4" max="4" width="5.5703125" style="2136" customWidth="1"/>
    <col min="5" max="5" width="38.140625" style="2136" customWidth="1"/>
    <col min="6" max="7" width="3.7109375" style="2136" customWidth="1"/>
    <col min="8" max="8" width="38.28515625" style="2136" customWidth="1"/>
    <col min="9" max="9" width="35.7109375" style="2136" customWidth="1"/>
    <col min="10" max="10" width="103.7109375" style="2136" customWidth="1"/>
    <col min="11" max="11" width="3.7109375" style="2113" customWidth="1"/>
    <col min="12" max="14" width="10.5703125" style="2134"/>
    <col min="15" max="15" width="13.7109375" style="2134" customWidth="1"/>
    <col min="16" max="16" width="15.42578125" style="2134" customWidth="1"/>
    <col min="17" max="17" width="16.28515625" style="2134" customWidth="1"/>
    <col min="18" max="21" width="10.5703125" style="2134"/>
  </cols>
  <sheetData>
    <row r="1" spans="1:21" ht="14.25" hidden="1" customHeight="1">
      <c r="E1" s="345"/>
      <c r="F1" s="345"/>
      <c r="G1" s="345"/>
      <c r="H1" s="5158" t="s">
        <v>471</v>
      </c>
      <c r="I1" s="5158"/>
    </row>
    <row r="2" spans="1:21" s="2132" customFormat="1" ht="14.25" hidden="1" customHeight="1">
      <c r="C2" s="1530"/>
      <c r="D2" s="5294" t="s">
        <v>114</v>
      </c>
      <c r="E2" s="5296"/>
      <c r="F2" s="1536"/>
      <c r="G2" s="1531" t="s">
        <v>114</v>
      </c>
      <c r="H2" s="1534"/>
      <c r="I2" s="1532"/>
      <c r="L2" s="1533"/>
      <c r="M2" s="1533"/>
      <c r="N2" s="1533"/>
      <c r="O2" s="1533" t="s">
        <v>501</v>
      </c>
      <c r="P2" s="1533"/>
      <c r="Q2" s="1533"/>
      <c r="R2" s="1535" t="s">
        <v>500</v>
      </c>
      <c r="S2" s="1535" t="s">
        <v>500</v>
      </c>
      <c r="T2" s="1533"/>
      <c r="U2" s="1533"/>
    </row>
    <row r="3" spans="1:21" s="2132" customFormat="1" ht="14.25" hidden="1" customHeight="1">
      <c r="C3" s="1530"/>
      <c r="D3" s="5295"/>
      <c r="E3" s="5297"/>
      <c r="F3" s="338"/>
      <c r="G3" s="781"/>
      <c r="H3" s="781" t="s">
        <v>502</v>
      </c>
      <c r="I3" s="233"/>
      <c r="L3" s="1533"/>
      <c r="M3" s="1533"/>
      <c r="N3" s="1533"/>
      <c r="O3" s="1533"/>
      <c r="P3" s="1533"/>
      <c r="Q3" s="1533"/>
      <c r="R3" s="1535"/>
      <c r="S3" s="1535"/>
      <c r="T3" s="1533"/>
      <c r="U3" s="1533"/>
    </row>
    <row r="4" spans="1:21" ht="14.25" hidden="1" customHeight="1"/>
    <row r="5" spans="1:21" s="2133" customFormat="1" ht="6" customHeight="1">
      <c r="C5" s="619"/>
      <c r="D5" s="620"/>
      <c r="E5" s="620"/>
      <c r="F5" s="620"/>
      <c r="G5" s="620"/>
      <c r="H5" s="620" t="s">
        <v>475</v>
      </c>
      <c r="I5" s="620"/>
      <c r="J5" s="620"/>
      <c r="L5" s="1526"/>
      <c r="M5" s="1526"/>
      <c r="N5" s="1526"/>
      <c r="O5" s="1526"/>
      <c r="P5" s="1526"/>
      <c r="Q5" s="1526"/>
      <c r="R5" s="1526"/>
      <c r="S5" s="1526"/>
      <c r="T5" s="1526"/>
      <c r="U5" s="1526"/>
    </row>
    <row r="6" spans="1:21" ht="27.75" customHeight="1">
      <c r="C6" s="1425"/>
      <c r="D6" s="5298" t="s">
        <v>503</v>
      </c>
      <c r="E6" s="5298"/>
      <c r="F6" s="5298"/>
      <c r="G6" s="5298"/>
      <c r="H6" s="5298"/>
      <c r="I6" s="5298"/>
      <c r="J6" s="416"/>
      <c r="K6" s="1527"/>
    </row>
    <row r="7" spans="1:21" ht="17.25" customHeight="1">
      <c r="C7" s="1425"/>
      <c r="D7" s="5245" t="str">
        <f>IF(org=0,"Не определено",org)</f>
        <v>ПАО "ТГК-1" (филиал "Кольский")</v>
      </c>
      <c r="E7" s="5245"/>
      <c r="F7" s="5245"/>
      <c r="G7" s="5245"/>
      <c r="H7" s="5245"/>
      <c r="I7" s="5245"/>
      <c r="J7" s="416"/>
      <c r="K7" s="1527"/>
    </row>
    <row r="8" spans="1:21" s="2135" customFormat="1" ht="6" customHeight="1">
      <c r="A8" s="1525"/>
      <c r="C8" s="411"/>
      <c r="D8" s="410"/>
      <c r="E8" s="410"/>
      <c r="F8" s="410"/>
      <c r="G8" s="410"/>
      <c r="H8" s="410"/>
      <c r="I8" s="410"/>
      <c r="J8" s="410"/>
      <c r="L8" s="1526"/>
      <c r="M8" s="1526"/>
      <c r="N8" s="1526"/>
      <c r="O8" s="1526"/>
      <c r="P8" s="1526"/>
      <c r="Q8" s="1526"/>
      <c r="R8" s="1526"/>
      <c r="S8" s="1526"/>
      <c r="T8" s="1526"/>
      <c r="U8" s="1526"/>
    </row>
    <row r="9" spans="1:21" s="2135"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5282" t="s">
        <v>417</v>
      </c>
      <c r="E10" s="5283"/>
      <c r="F10" s="5283"/>
      <c r="G10" s="5283"/>
      <c r="H10" s="5283"/>
      <c r="I10" s="5283"/>
      <c r="J10" s="5208" t="s">
        <v>418</v>
      </c>
    </row>
    <row r="11" spans="1:21" ht="25.5" customHeight="1">
      <c r="C11" s="1425"/>
      <c r="D11" s="5180" t="s">
        <v>83</v>
      </c>
      <c r="E11" s="5208" t="str">
        <f>IF(TEMPLATE_SPHERE&lt;&gt;"HEAT","Регулируемый вид деятельности","Вид регулируемой деятельности")</f>
        <v>Вид регулируемой деятельности</v>
      </c>
      <c r="F11" s="5259" t="s">
        <v>83</v>
      </c>
      <c r="G11" s="5260"/>
      <c r="H11" s="5244" t="s">
        <v>504</v>
      </c>
      <c r="I11" s="5244" t="s">
        <v>505</v>
      </c>
      <c r="J11" s="5208"/>
    </row>
    <row r="12" spans="1:21" ht="14.25" customHeight="1">
      <c r="C12" s="1425"/>
      <c r="D12" s="5180"/>
      <c r="E12" s="5208"/>
      <c r="F12" s="5264"/>
      <c r="G12" s="5265"/>
      <c r="H12" s="5293"/>
      <c r="I12" s="5293"/>
      <c r="J12" s="5208"/>
    </row>
    <row r="13" spans="1:21" s="1818" customFormat="1" ht="11.25" hidden="1" customHeight="1">
      <c r="C13" s="423"/>
      <c r="D13" s="424" t="s">
        <v>495</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5294" t="s">
        <v>114</v>
      </c>
      <c r="E14" s="5296"/>
      <c r="F14" s="1529"/>
      <c r="G14" s="1528" t="s">
        <v>114</v>
      </c>
      <c r="H14" s="1534"/>
      <c r="I14" s="1532"/>
      <c r="J14" s="5225" t="s">
        <v>506</v>
      </c>
      <c r="K14" s="1523"/>
      <c r="R14" s="425" t="s">
        <v>500</v>
      </c>
      <c r="S14" s="425" t="s">
        <v>500</v>
      </c>
    </row>
    <row r="15" spans="1:21" ht="14.25" customHeight="1">
      <c r="A15" s="1523"/>
      <c r="C15" s="1425"/>
      <c r="D15" s="5295"/>
      <c r="E15" s="5297"/>
      <c r="F15" s="338"/>
      <c r="G15" s="781"/>
      <c r="H15" s="781" t="s">
        <v>502</v>
      </c>
      <c r="I15" s="233"/>
      <c r="J15" s="5226"/>
      <c r="K15" s="1523"/>
      <c r="R15" s="425"/>
      <c r="S15" s="425"/>
    </row>
    <row r="16" spans="1:21" ht="14.25" customHeight="1">
      <c r="A16" s="1523"/>
      <c r="C16" s="1425"/>
      <c r="D16" s="338"/>
      <c r="E16" s="781" t="s">
        <v>125</v>
      </c>
      <c r="F16" s="233"/>
      <c r="G16" s="233"/>
      <c r="H16" s="339"/>
      <c r="I16" s="339"/>
      <c r="J16" s="5227"/>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28" hidden="1" customWidth="1"/>
    <col min="2" max="2" width="9.140625" style="2127" hidden="1" customWidth="1"/>
    <col min="3" max="3" width="9.140625" style="1822" hidden="1" customWidth="1"/>
    <col min="4" max="4" width="3.7109375" style="2129" customWidth="1"/>
    <col min="5" max="5" width="6.28515625" style="2127" customWidth="1"/>
    <col min="6" max="6" width="1.7109375" style="1822" hidden="1" customWidth="1"/>
    <col min="7" max="8" width="30.7109375" style="2127" customWidth="1"/>
    <col min="9" max="9" width="9" style="2127" customWidth="1"/>
    <col min="10" max="10" width="12.140625" style="2127" customWidth="1"/>
    <col min="11" max="11" width="46.7109375" style="2127" customWidth="1"/>
    <col min="12" max="12" width="100.28515625" style="2127" customWidth="1"/>
    <col min="13" max="13" width="7.5703125" style="2131" customWidth="1"/>
    <col min="14" max="22" width="10.5703125" style="2127"/>
  </cols>
  <sheetData>
    <row r="1" spans="1:22" s="2126" customFormat="1" ht="5.25" hidden="1" customHeight="1">
      <c r="C1" s="436"/>
      <c r="D1" s="419"/>
      <c r="F1" s="436"/>
      <c r="G1" s="414" t="s">
        <v>78</v>
      </c>
      <c r="H1" s="414" t="s">
        <v>79</v>
      </c>
      <c r="I1" s="414" t="s">
        <v>80</v>
      </c>
      <c r="P1" s="414" t="s">
        <v>78</v>
      </c>
      <c r="Q1" s="414" t="s">
        <v>79</v>
      </c>
      <c r="R1" s="414" t="s">
        <v>80</v>
      </c>
    </row>
    <row r="2" spans="1:22" s="2126" customFormat="1" ht="5.25" hidden="1" customHeight="1">
      <c r="C2" s="436"/>
      <c r="D2" s="419"/>
      <c r="F2" s="436"/>
    </row>
    <row r="3" spans="1:22" s="2125" customFormat="1" ht="6" customHeight="1">
      <c r="A3" s="404"/>
      <c r="D3" s="411"/>
      <c r="E3" s="406"/>
      <c r="F3" s="406"/>
      <c r="G3" s="406"/>
      <c r="H3" s="406"/>
      <c r="I3" s="407"/>
      <c r="J3" s="408"/>
      <c r="K3" s="408"/>
      <c r="L3" s="408"/>
    </row>
    <row r="4" spans="1:22" ht="22.5" customHeight="1">
      <c r="D4" s="380"/>
      <c r="E4" s="5173" t="s">
        <v>507</v>
      </c>
      <c r="F4" s="5173"/>
      <c r="G4" s="5174"/>
      <c r="H4" s="5174"/>
      <c r="I4" s="5175"/>
      <c r="J4" s="416"/>
      <c r="K4" s="382"/>
      <c r="L4" s="382"/>
    </row>
    <row r="5" spans="1:22" s="1822" customFormat="1" ht="17.25" customHeight="1">
      <c r="A5" s="675"/>
      <c r="D5" s="738"/>
      <c r="E5" s="5279" t="str">
        <f>IF(org=0,"Не определено",org)</f>
        <v>ПАО "ТГК-1" (филиал "Кольский")</v>
      </c>
      <c r="F5" s="5279"/>
      <c r="G5" s="5280"/>
      <c r="H5" s="5280"/>
      <c r="I5" s="5281"/>
      <c r="J5" s="416"/>
      <c r="K5" s="382"/>
      <c r="L5" s="382"/>
      <c r="M5" s="432"/>
    </row>
    <row r="6" spans="1:22" s="2125" customFormat="1" ht="11.25" customHeight="1">
      <c r="A6" s="404"/>
      <c r="D6" s="411"/>
      <c r="E6" s="406"/>
      <c r="F6" s="406"/>
      <c r="G6" s="409"/>
      <c r="H6" s="409"/>
      <c r="I6" s="410"/>
      <c r="J6" s="410"/>
      <c r="K6" s="668"/>
      <c r="L6" s="410"/>
    </row>
    <row r="7" spans="1:22" ht="14.25" customHeight="1">
      <c r="D7" s="380"/>
      <c r="E7" s="5273" t="s">
        <v>417</v>
      </c>
      <c r="F7" s="5273"/>
      <c r="G7" s="5274"/>
      <c r="H7" s="5274"/>
      <c r="I7" s="5274"/>
      <c r="J7" s="5274"/>
      <c r="K7" s="5274"/>
      <c r="L7" s="5208" t="s">
        <v>418</v>
      </c>
    </row>
    <row r="8" spans="1:22" ht="45" customHeight="1">
      <c r="D8" s="380"/>
      <c r="E8" s="399" t="s">
        <v>83</v>
      </c>
      <c r="F8" s="739"/>
      <c r="G8" s="391" t="s">
        <v>81</v>
      </c>
      <c r="H8" s="391" t="s">
        <v>82</v>
      </c>
      <c r="I8" s="347" t="s">
        <v>80</v>
      </c>
      <c r="J8" s="347" t="s">
        <v>508</v>
      </c>
      <c r="K8" s="347" t="s">
        <v>509</v>
      </c>
      <c r="L8" s="5208"/>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5285" t="s">
        <v>510</v>
      </c>
      <c r="M10" s="432"/>
      <c r="N10" s="430"/>
      <c r="O10" s="430"/>
      <c r="P10" s="430"/>
      <c r="Q10" s="430"/>
      <c r="R10" s="430"/>
      <c r="S10" s="430"/>
      <c r="T10" s="430"/>
      <c r="U10" s="430"/>
      <c r="V10" s="430"/>
    </row>
    <row r="11" spans="1:22" ht="15" hidden="1" customHeight="1">
      <c r="A11" s="5154"/>
      <c r="B11" s="429"/>
      <c r="C11" s="429"/>
      <c r="D11" s="777"/>
      <c r="E11" s="438"/>
      <c r="F11" s="438"/>
      <c r="G11" s="438"/>
      <c r="H11" s="438"/>
      <c r="I11" s="439"/>
      <c r="J11" s="440"/>
      <c r="K11" s="631"/>
      <c r="L11" s="5299"/>
      <c r="M11" s="436"/>
      <c r="N11" s="436"/>
      <c r="O11" s="436"/>
      <c r="P11" s="441"/>
      <c r="Q11" s="441"/>
      <c r="R11" s="442"/>
      <c r="S11" s="436"/>
      <c r="T11" s="436"/>
      <c r="U11" s="436"/>
      <c r="V11" s="436"/>
    </row>
    <row r="12" spans="1:22" s="2125" customFormat="1" ht="14.25" customHeight="1">
      <c r="A12" s="5154"/>
      <c r="B12" s="429"/>
      <c r="C12" s="429"/>
      <c r="D12" s="778"/>
      <c r="E12" s="739">
        <v>1</v>
      </c>
      <c r="F12" s="776">
        <v>23</v>
      </c>
      <c r="G12" s="775"/>
      <c r="H12" s="709"/>
      <c r="I12" s="707"/>
      <c r="J12" s="445" t="s">
        <v>62</v>
      </c>
      <c r="K12" s="1063" t="s">
        <v>24</v>
      </c>
      <c r="L12" s="5299"/>
      <c r="M12" s="436"/>
      <c r="N12" s="436"/>
      <c r="O12" s="436"/>
      <c r="P12" s="441" t="s">
        <v>511</v>
      </c>
      <c r="Q12" s="441" t="s">
        <v>512</v>
      </c>
      <c r="R12" s="442" t="s">
        <v>513</v>
      </c>
      <c r="S12" s="436" t="s">
        <v>514</v>
      </c>
      <c r="T12" s="436"/>
      <c r="U12" s="436"/>
      <c r="V12" s="436"/>
    </row>
    <row r="13" spans="1:22" ht="15" customHeight="1">
      <c r="A13" s="5154"/>
      <c r="B13" s="430"/>
      <c r="D13" s="431"/>
      <c r="E13" s="338"/>
      <c r="F13" s="454"/>
      <c r="G13" s="349" t="s">
        <v>97</v>
      </c>
      <c r="H13" s="337"/>
      <c r="I13" s="337"/>
      <c r="J13" s="337"/>
      <c r="K13" s="336"/>
      <c r="L13" s="5286"/>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188"/>
  <sheetViews>
    <sheetView showGridLines="0" topLeftCell="P25" zoomScale="95" workbookViewId="0">
      <selection activeCell="AD48" sqref="AD48:AT48"/>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3146" customWidth="1"/>
    <col min="17" max="18" width="3.7109375" style="3147" customWidth="1"/>
    <col min="19" max="19" width="12.7109375" style="3148" customWidth="1"/>
    <col min="20" max="20" width="35.7109375" style="2112" customWidth="1"/>
    <col min="21" max="21" width="0.140625" style="2112" customWidth="1"/>
    <col min="22" max="22" width="24.7109375" style="2112" hidden="1" customWidth="1"/>
    <col min="23" max="23" width="0.140625" style="2112" hidden="1" customWidth="1"/>
    <col min="24" max="25" width="24.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24.7109375" style="2112" customWidth="1"/>
    <col min="31" max="31" width="0.140625" style="2112" customWidth="1"/>
    <col min="32" max="33" width="24.7109375" style="2112" customWidth="1"/>
    <col min="34" max="34" width="11.7109375" style="2112" customWidth="1"/>
    <col min="35" max="35" width="3.7109375" style="2112" customWidth="1"/>
    <col min="36" max="36" width="11.7109375" style="2112" customWidth="1"/>
    <col min="37" max="37" width="8.5703125" style="2112" customWidth="1"/>
    <col min="45" max="45" width="10.5703125" hidden="1"/>
    <col min="46" max="46" width="4.7109375" style="2112" customWidth="1"/>
    <col min="47" max="47" width="115.7109375" style="2112" customWidth="1"/>
    <col min="48" max="49" width="10.5703125" style="1819"/>
    <col min="50" max="50" width="11.140625" style="1819" customWidth="1"/>
    <col min="51" max="52" width="10.5703125" style="1819"/>
  </cols>
  <sheetData>
    <row r="1" spans="1:52" ht="14.25" hidden="1" customHeight="1">
      <c r="Y1" s="253"/>
      <c r="Z1" s="253"/>
      <c r="AG1" s="253"/>
      <c r="AH1" s="253"/>
      <c r="AL1" s="2138"/>
      <c r="AM1" s="2138"/>
      <c r="AN1" s="2138"/>
      <c r="AO1" s="2138"/>
      <c r="AP1" s="2138"/>
      <c r="AQ1" s="2138"/>
      <c r="AR1" s="2138"/>
      <c r="AS1" s="2138"/>
    </row>
    <row r="2" spans="1:52" ht="21" hidden="1" customHeight="1">
      <c r="A2" s="1278"/>
      <c r="B2" s="1278"/>
      <c r="C2" s="1278"/>
      <c r="D2" s="1278"/>
      <c r="E2" s="5314">
        <v>1</v>
      </c>
      <c r="F2" s="1278"/>
      <c r="G2" s="1278"/>
      <c r="H2" s="1278"/>
      <c r="I2" s="1278"/>
      <c r="J2" s="1278"/>
      <c r="K2" s="1278"/>
      <c r="L2" s="1279"/>
      <c r="M2" s="1280"/>
      <c r="N2" s="1280"/>
      <c r="O2" s="1280"/>
      <c r="P2" s="285"/>
      <c r="Q2" s="284"/>
      <c r="R2" s="279"/>
      <c r="S2" s="1226"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0"/>
      <c r="AM2" s="5301"/>
      <c r="AN2" s="5301"/>
      <c r="AO2" s="5301"/>
      <c r="AP2" s="5301"/>
      <c r="AQ2" s="5301"/>
      <c r="AR2" s="5301"/>
      <c r="AS2" s="5302"/>
      <c r="AT2" s="5302"/>
      <c r="AU2" s="1176" t="s">
        <v>515</v>
      </c>
      <c r="AW2" s="425"/>
      <c r="AX2" s="425" t="str">
        <f t="shared" ref="AX2:AX15" si="0">IF(T2="","",T2)</f>
        <v>Наименование тарифа</v>
      </c>
      <c r="AY2" s="425"/>
      <c r="AZ2" s="425"/>
    </row>
    <row r="3" spans="1:52" ht="21" hidden="1" customHeight="1">
      <c r="A3" s="1278"/>
      <c r="B3" s="1278"/>
      <c r="C3" s="1278"/>
      <c r="D3" s="1278"/>
      <c r="E3" s="5315"/>
      <c r="F3" s="5314">
        <v>1</v>
      </c>
      <c r="G3" s="1278"/>
      <c r="H3" s="1278"/>
      <c r="I3" s="1278"/>
      <c r="J3" s="1278"/>
      <c r="K3" s="1278"/>
      <c r="L3" s="1279"/>
      <c r="M3" s="1280"/>
      <c r="N3" s="1280"/>
      <c r="O3" s="1280"/>
      <c r="P3" s="1222"/>
      <c r="Q3" s="276"/>
      <c r="R3" s="277"/>
      <c r="S3" s="1226"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0"/>
      <c r="AM3" s="5301"/>
      <c r="AN3" s="5301"/>
      <c r="AO3" s="5301"/>
      <c r="AP3" s="5301"/>
      <c r="AQ3" s="5301"/>
      <c r="AR3" s="5301"/>
      <c r="AS3" s="5302"/>
      <c r="AT3" s="5302"/>
      <c r="AU3" s="1176" t="s">
        <v>517</v>
      </c>
      <c r="AW3" s="425"/>
      <c r="AX3" s="425" t="str">
        <f t="shared" si="0"/>
        <v>Территория действия тарифа</v>
      </c>
      <c r="AY3" s="425"/>
      <c r="AZ3" s="425"/>
    </row>
    <row r="4" spans="1:52" ht="23.25" hidden="1" customHeight="1">
      <c r="A4" s="1278"/>
      <c r="B4" s="1278"/>
      <c r="C4" s="1278"/>
      <c r="D4" s="1278"/>
      <c r="E4" s="5315"/>
      <c r="F4" s="5315"/>
      <c r="G4" s="5314">
        <v>1</v>
      </c>
      <c r="H4" s="1278"/>
      <c r="I4" s="1278"/>
      <c r="J4" s="1278"/>
      <c r="K4" s="1278"/>
      <c r="L4" s="1279"/>
      <c r="M4" s="1280"/>
      <c r="N4" s="1280"/>
      <c r="O4" s="1280"/>
      <c r="P4" s="278"/>
      <c r="Q4" s="276"/>
      <c r="R4" s="277"/>
      <c r="S4" s="1226"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0"/>
      <c r="AM4" s="5301"/>
      <c r="AN4" s="5301"/>
      <c r="AO4" s="5301"/>
      <c r="AP4" s="5301"/>
      <c r="AQ4" s="5301"/>
      <c r="AR4" s="5301"/>
      <c r="AS4" s="5302"/>
      <c r="AT4" s="5302"/>
      <c r="AU4" s="1176" t="s">
        <v>519</v>
      </c>
      <c r="AW4" s="425"/>
      <c r="AX4" s="425" t="str">
        <f t="shared" si="0"/>
        <v xml:space="preserve">Наименование системы теплоснабжения </v>
      </c>
      <c r="AY4" s="425"/>
      <c r="AZ4" s="425"/>
    </row>
    <row r="5" spans="1:52" ht="21" hidden="1" customHeight="1">
      <c r="A5" s="1278"/>
      <c r="B5" s="1278"/>
      <c r="C5" s="1278"/>
      <c r="D5" s="1278"/>
      <c r="E5" s="5315"/>
      <c r="F5" s="5315"/>
      <c r="G5" s="5315"/>
      <c r="H5" s="5314">
        <v>1</v>
      </c>
      <c r="I5" s="1278"/>
      <c r="J5" s="1278"/>
      <c r="K5" s="1278"/>
      <c r="L5" s="1279"/>
      <c r="M5" s="1280"/>
      <c r="N5" s="1280"/>
      <c r="O5" s="1280"/>
      <c r="P5" s="278"/>
      <c r="Q5" s="276"/>
      <c r="R5" s="277"/>
      <c r="S5" s="1226"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0"/>
      <c r="AM5" s="5301"/>
      <c r="AN5" s="5301"/>
      <c r="AO5" s="5301"/>
      <c r="AP5" s="5301"/>
      <c r="AQ5" s="5301"/>
      <c r="AR5" s="5301"/>
      <c r="AS5" s="5302"/>
      <c r="AT5" s="5302"/>
      <c r="AU5" s="1176" t="s">
        <v>521</v>
      </c>
      <c r="AW5" s="425"/>
      <c r="AX5" s="425" t="str">
        <f t="shared" si="0"/>
        <v xml:space="preserve">Источник тепловой энергии  </v>
      </c>
      <c r="AY5" s="425"/>
      <c r="AZ5" s="425"/>
    </row>
    <row r="6" spans="1:52" ht="47.25" hidden="1" customHeight="1">
      <c r="A6" s="1278"/>
      <c r="B6" s="1278"/>
      <c r="C6" s="1278"/>
      <c r="D6" s="1278"/>
      <c r="E6" s="5315"/>
      <c r="F6" s="5315"/>
      <c r="G6" s="5315"/>
      <c r="H6" s="5315"/>
      <c r="I6" s="5312" t="e">
        <f>S5&amp;".1"</f>
        <v>#N/A</v>
      </c>
      <c r="J6" s="1278"/>
      <c r="K6" s="1278"/>
      <c r="L6" s="1279" t="s">
        <v>522</v>
      </c>
      <c r="M6" s="461"/>
      <c r="P6" s="5313">
        <v>1</v>
      </c>
      <c r="Q6" s="1223"/>
      <c r="R6" s="280"/>
      <c r="S6" s="1226" t="e">
        <f>$I6</f>
        <v>#N/A</v>
      </c>
      <c r="T6" s="203" t="s">
        <v>523</v>
      </c>
      <c r="U6" s="218"/>
      <c r="V6" s="5303"/>
      <c r="W6" s="5304"/>
      <c r="X6" s="5304"/>
      <c r="Y6" s="5304"/>
      <c r="Z6" s="5304"/>
      <c r="AA6" s="5304"/>
      <c r="AB6" s="5304"/>
      <c r="AC6" s="5305"/>
      <c r="AD6" s="5303"/>
      <c r="AE6" s="5304"/>
      <c r="AF6" s="5304"/>
      <c r="AG6" s="5304"/>
      <c r="AH6" s="5304"/>
      <c r="AI6" s="5304"/>
      <c r="AJ6" s="5304"/>
      <c r="AK6" s="5304"/>
      <c r="AL6" s="5303"/>
      <c r="AM6" s="5304"/>
      <c r="AN6" s="5304"/>
      <c r="AO6" s="5304"/>
      <c r="AP6" s="5304"/>
      <c r="AQ6" s="5304"/>
      <c r="AR6" s="5304"/>
      <c r="AS6" s="5305"/>
      <c r="AT6" s="5305"/>
      <c r="AU6" s="1176" t="s">
        <v>524</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5315"/>
      <c r="F7" s="5315"/>
      <c r="G7" s="5315"/>
      <c r="H7" s="5315"/>
      <c r="I7" s="5335"/>
      <c r="J7" s="5312" t="e">
        <f>I6&amp;".1"</f>
        <v>#N/A</v>
      </c>
      <c r="K7" s="1278"/>
      <c r="L7" s="1279" t="s">
        <v>525</v>
      </c>
      <c r="M7" s="461"/>
      <c r="N7" s="1281"/>
      <c r="P7" s="5313"/>
      <c r="Q7" s="5313">
        <v>1</v>
      </c>
      <c r="R7" s="281"/>
      <c r="S7" s="1226" t="e">
        <f>$J7</f>
        <v>#N/A</v>
      </c>
      <c r="T7" s="204" t="s">
        <v>526</v>
      </c>
      <c r="U7" s="218"/>
      <c r="V7" s="5303"/>
      <c r="W7" s="5304"/>
      <c r="X7" s="5304"/>
      <c r="Y7" s="5304"/>
      <c r="Z7" s="5304"/>
      <c r="AA7" s="5304"/>
      <c r="AB7" s="5304"/>
      <c r="AC7" s="5305"/>
      <c r="AD7" s="5303"/>
      <c r="AE7" s="5304"/>
      <c r="AF7" s="5304"/>
      <c r="AG7" s="5304"/>
      <c r="AH7" s="5304"/>
      <c r="AI7" s="5304"/>
      <c r="AJ7" s="5304"/>
      <c r="AK7" s="5304"/>
      <c r="AL7" s="5303"/>
      <c r="AM7" s="5304"/>
      <c r="AN7" s="5304"/>
      <c r="AO7" s="5304"/>
      <c r="AP7" s="5304"/>
      <c r="AQ7" s="5304"/>
      <c r="AR7" s="5304"/>
      <c r="AS7" s="5305"/>
      <c r="AT7" s="5305"/>
      <c r="AU7" s="1176" t="s">
        <v>527</v>
      </c>
      <c r="AW7" s="425"/>
      <c r="AX7" s="425" t="str">
        <f t="shared" si="0"/>
        <v>Группа потребителей</v>
      </c>
      <c r="AY7" s="425"/>
      <c r="AZ7" s="425"/>
    </row>
    <row r="8" spans="1:52"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26" t="e">
        <f>$K8</f>
        <v>#N/A</v>
      </c>
      <c r="T8" s="1263"/>
      <c r="U8" s="218"/>
      <c r="V8" s="667"/>
      <c r="W8" s="250"/>
      <c r="X8" s="667"/>
      <c r="Y8" s="1175"/>
      <c r="Z8" s="5317"/>
      <c r="AA8" s="5161" t="s">
        <v>62</v>
      </c>
      <c r="AB8" s="5317"/>
      <c r="AC8" s="5161" t="s">
        <v>62</v>
      </c>
      <c r="AD8" s="667"/>
      <c r="AE8" s="250"/>
      <c r="AF8" s="667"/>
      <c r="AG8" s="1175"/>
      <c r="AH8" s="5317"/>
      <c r="AI8" s="5161" t="s">
        <v>62</v>
      </c>
      <c r="AJ8" s="5317"/>
      <c r="AK8" s="5161" t="s">
        <v>62</v>
      </c>
      <c r="AL8" s="2139"/>
      <c r="AM8" s="2140"/>
      <c r="AN8" s="2139"/>
      <c r="AO8" s="2141"/>
      <c r="AP8" s="5317"/>
      <c r="AQ8" s="5161" t="s">
        <v>62</v>
      </c>
      <c r="AR8" s="5317"/>
      <c r="AS8" s="5161" t="s">
        <v>62</v>
      </c>
      <c r="AT8" s="250"/>
      <c r="AU8" s="5309" t="s">
        <v>529</v>
      </c>
      <c r="AV8" s="436" t="e">
        <f ca="1">STRCHECKDATE(V9:AT9)</f>
        <v>#NAME?</v>
      </c>
      <c r="AW8" s="425"/>
      <c r="AX8" s="425" t="str">
        <f t="shared" si="0"/>
        <v/>
      </c>
      <c r="AY8" s="425"/>
      <c r="AZ8" s="425"/>
    </row>
    <row r="9" spans="1:52" ht="0.75" hidden="1" customHeight="1">
      <c r="A9" s="1278"/>
      <c r="B9" s="1278"/>
      <c r="C9" s="1278"/>
      <c r="D9" s="1278"/>
      <c r="E9" s="5315"/>
      <c r="F9" s="5315"/>
      <c r="G9" s="5315"/>
      <c r="H9" s="5315"/>
      <c r="I9" s="5335"/>
      <c r="J9" s="5335"/>
      <c r="K9" s="5312"/>
      <c r="L9" s="1279"/>
      <c r="M9" s="461"/>
      <c r="N9" s="1281"/>
      <c r="O9" s="1281"/>
      <c r="P9" s="5313"/>
      <c r="Q9" s="5313"/>
      <c r="R9" s="281"/>
      <c r="S9" s="1224"/>
      <c r="T9" s="218"/>
      <c r="U9" s="218"/>
      <c r="V9" s="250"/>
      <c r="W9" s="250"/>
      <c r="X9" s="250"/>
      <c r="Y9" s="254" t="str">
        <f>Z8&amp;"-"&amp;AB8</f>
        <v>-</v>
      </c>
      <c r="Z9" s="5318"/>
      <c r="AA9" s="5161"/>
      <c r="AB9" s="5318"/>
      <c r="AC9" s="5161"/>
      <c r="AD9" s="250"/>
      <c r="AE9" s="250"/>
      <c r="AF9" s="250"/>
      <c r="AG9" s="254" t="str">
        <f>AH8&amp;"-"&amp;AJ8</f>
        <v>-</v>
      </c>
      <c r="AH9" s="5318"/>
      <c r="AI9" s="5161"/>
      <c r="AJ9" s="5318"/>
      <c r="AK9" s="5161"/>
      <c r="AL9" s="2140"/>
      <c r="AM9" s="2140"/>
      <c r="AN9" s="2140"/>
      <c r="AO9" s="2142" t="str">
        <f>AP8&amp;"-"&amp;AR8</f>
        <v>-</v>
      </c>
      <c r="AP9" s="5318"/>
      <c r="AQ9" s="5161"/>
      <c r="AR9" s="5318"/>
      <c r="AS9" s="5161"/>
      <c r="AT9" s="250"/>
      <c r="AU9" s="5310"/>
      <c r="AW9" s="425"/>
      <c r="AX9" s="425" t="str">
        <f t="shared" si="0"/>
        <v/>
      </c>
      <c r="AY9" s="425"/>
      <c r="AZ9" s="425"/>
    </row>
    <row r="10" spans="1:52" ht="15" hidden="1" customHeight="1">
      <c r="A10" s="1278"/>
      <c r="B10" s="1278"/>
      <c r="C10" s="1278"/>
      <c r="D10" s="1278"/>
      <c r="E10" s="5315"/>
      <c r="F10" s="5315"/>
      <c r="G10" s="5315"/>
      <c r="H10" s="5315"/>
      <c r="I10" s="5335"/>
      <c r="J10" s="5312"/>
      <c r="K10" s="1278"/>
      <c r="L10" s="1279"/>
      <c r="M10" s="461"/>
      <c r="N10" s="1281"/>
      <c r="P10" s="5313"/>
      <c r="Q10" s="5313"/>
      <c r="R10" s="280"/>
      <c r="S10" s="1197"/>
      <c r="T10" s="206" t="s">
        <v>530</v>
      </c>
      <c r="U10" s="294"/>
      <c r="V10" s="294"/>
      <c r="W10" s="294"/>
      <c r="X10" s="294"/>
      <c r="Y10" s="294"/>
      <c r="Z10" s="294"/>
      <c r="AA10" s="294"/>
      <c r="AB10" s="294"/>
      <c r="AC10" s="294"/>
      <c r="AD10" s="294"/>
      <c r="AE10" s="294"/>
      <c r="AF10" s="294"/>
      <c r="AG10" s="294"/>
      <c r="AH10" s="294"/>
      <c r="AI10" s="294"/>
      <c r="AJ10" s="294"/>
      <c r="AK10" s="294"/>
      <c r="AL10" s="2143"/>
      <c r="AM10" s="2144"/>
      <c r="AN10" s="2145"/>
      <c r="AO10" s="2146"/>
      <c r="AP10" s="2147"/>
      <c r="AQ10" s="2148"/>
      <c r="AR10" s="2149"/>
      <c r="AS10" s="2150"/>
      <c r="AT10" s="249"/>
      <c r="AU10" s="5311"/>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5315"/>
      <c r="F11" s="5315"/>
      <c r="G11" s="5315"/>
      <c r="H11" s="5315"/>
      <c r="I11" s="5312"/>
      <c r="J11" s="1278"/>
      <c r="K11" s="1278"/>
      <c r="L11" s="1279"/>
      <c r="M11" s="461"/>
      <c r="P11" s="5313"/>
      <c r="Q11" s="1223"/>
      <c r="R11" s="280"/>
      <c r="S11" s="1197"/>
      <c r="T11" s="205" t="s">
        <v>531</v>
      </c>
      <c r="U11" s="294"/>
      <c r="V11" s="294"/>
      <c r="W11" s="294"/>
      <c r="X11" s="294"/>
      <c r="Y11" s="294"/>
      <c r="Z11" s="294"/>
      <c r="AA11" s="294"/>
      <c r="AB11" s="294"/>
      <c r="AC11" s="293"/>
      <c r="AD11" s="294"/>
      <c r="AE11" s="294"/>
      <c r="AF11" s="294"/>
      <c r="AG11" s="294"/>
      <c r="AH11" s="294"/>
      <c r="AI11" s="294"/>
      <c r="AJ11" s="294"/>
      <c r="AK11" s="293"/>
      <c r="AL11" s="2151"/>
      <c r="AM11" s="2152"/>
      <c r="AN11" s="2153"/>
      <c r="AO11" s="2154"/>
      <c r="AP11" s="2155"/>
      <c r="AQ11" s="2156"/>
      <c r="AR11" s="2157"/>
      <c r="AS11" s="2158"/>
      <c r="AT11" s="294"/>
      <c r="AU11" s="221"/>
      <c r="AW11" s="425"/>
      <c r="AX11" s="425" t="str">
        <f t="shared" si="0"/>
        <v>Добавить группу потребителей</v>
      </c>
      <c r="AY11" s="425"/>
      <c r="AZ11" s="425"/>
    </row>
    <row r="12" spans="1:52" ht="14.25" hidden="1" customHeight="1">
      <c r="A12" s="1278"/>
      <c r="B12" s="1278"/>
      <c r="C12" s="1278"/>
      <c r="D12" s="1278"/>
      <c r="E12" s="5315"/>
      <c r="F12" s="5315"/>
      <c r="G12" s="5315"/>
      <c r="H12" s="5314"/>
      <c r="I12" s="1278"/>
      <c r="J12" s="1278"/>
      <c r="K12" s="1278"/>
      <c r="L12" s="1279"/>
      <c r="M12" s="1280"/>
      <c r="N12" s="1280"/>
      <c r="O12" s="461"/>
      <c r="P12" s="284"/>
      <c r="Q12" s="303"/>
      <c r="R12" s="279"/>
      <c r="S12" s="1197"/>
      <c r="T12" s="291" t="s">
        <v>532</v>
      </c>
      <c r="U12" s="294"/>
      <c r="V12" s="294"/>
      <c r="W12" s="294"/>
      <c r="X12" s="294"/>
      <c r="Y12" s="294"/>
      <c r="Z12" s="294"/>
      <c r="AA12" s="294"/>
      <c r="AB12" s="294"/>
      <c r="AC12" s="293"/>
      <c r="AD12" s="294"/>
      <c r="AE12" s="294"/>
      <c r="AF12" s="294"/>
      <c r="AG12" s="294"/>
      <c r="AH12" s="294"/>
      <c r="AI12" s="294"/>
      <c r="AJ12" s="294"/>
      <c r="AK12" s="293"/>
      <c r="AL12" s="2159"/>
      <c r="AM12" s="2160"/>
      <c r="AN12" s="2161"/>
      <c r="AO12" s="2162"/>
      <c r="AP12" s="2163"/>
      <c r="AQ12" s="2164"/>
      <c r="AR12" s="2165"/>
      <c r="AS12" s="2166"/>
      <c r="AT12" s="294"/>
      <c r="AU12" s="221"/>
      <c r="AW12" s="425"/>
      <c r="AX12" s="425" t="str">
        <f t="shared" si="0"/>
        <v>Добавить схему подключения</v>
      </c>
      <c r="AY12" s="425"/>
      <c r="AZ12" s="425"/>
    </row>
    <row r="13" spans="1:52" s="2167" customFormat="1" ht="0.7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168"/>
      <c r="AM13" s="2168"/>
      <c r="AN13" s="2168"/>
      <c r="AO13" s="2168"/>
      <c r="AP13" s="2168"/>
      <c r="AQ13" s="2168"/>
      <c r="AR13" s="2168"/>
      <c r="AS13" s="2168"/>
      <c r="AT13" s="1237"/>
      <c r="AU13" s="1237"/>
      <c r="AW13" s="705"/>
      <c r="AX13" s="705" t="str">
        <f t="shared" si="0"/>
        <v>Добавить источник для дифференциации</v>
      </c>
      <c r="AY13" s="705"/>
      <c r="AZ13" s="705"/>
    </row>
    <row r="14" spans="1:52" s="2167" customFormat="1" ht="0.7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169"/>
      <c r="AM14" s="2169"/>
      <c r="AN14" s="2169"/>
      <c r="AO14" s="2169"/>
      <c r="AP14" s="2169"/>
      <c r="AQ14" s="2169"/>
      <c r="AR14" s="2169"/>
      <c r="AS14" s="2169"/>
      <c r="AT14" s="1241"/>
      <c r="AU14" s="1241"/>
      <c r="AW14" s="705"/>
      <c r="AX14" s="705" t="str">
        <f t="shared" si="0"/>
        <v>Добавить централизованную систему для дифференциации</v>
      </c>
      <c r="AY14" s="705"/>
      <c r="AZ14" s="705"/>
    </row>
    <row r="15" spans="1:52" s="2167" customFormat="1" ht="0.7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169"/>
      <c r="AM15" s="2169"/>
      <c r="AN15" s="2169"/>
      <c r="AO15" s="2169"/>
      <c r="AP15" s="2169"/>
      <c r="AQ15" s="2169"/>
      <c r="AR15" s="2169"/>
      <c r="AS15" s="2169"/>
      <c r="AT15" s="1241"/>
      <c r="AU15" s="1241"/>
      <c r="AW15" s="705"/>
      <c r="AX15" s="705" t="str">
        <f t="shared" si="0"/>
        <v>Добавить территорию для дифференциации</v>
      </c>
      <c r="AY15" s="705"/>
      <c r="AZ15" s="705"/>
    </row>
    <row r="16" spans="1:52" ht="14.25" hidden="1" customHeight="1">
      <c r="AC16" s="253"/>
      <c r="AK16" s="253"/>
      <c r="AL16" s="2138"/>
      <c r="AM16" s="2138"/>
      <c r="AN16" s="2138"/>
      <c r="AO16" s="2138"/>
      <c r="AP16" s="2138"/>
      <c r="AQ16" s="2138"/>
      <c r="AR16" s="2138"/>
      <c r="AS16" s="2138"/>
    </row>
    <row r="17" spans="1:52" ht="14.25" hidden="1" customHeight="1">
      <c r="P17" s="1228"/>
      <c r="AD17" s="1275"/>
      <c r="AE17" s="1275"/>
      <c r="AF17" s="1275"/>
      <c r="AG17" s="1276"/>
      <c r="AH17" s="5319"/>
      <c r="AI17" s="5320" t="s">
        <v>62</v>
      </c>
      <c r="AJ17" s="5319"/>
      <c r="AK17" s="5320" t="s">
        <v>62</v>
      </c>
      <c r="AL17" s="2138"/>
      <c r="AM17" s="2138"/>
      <c r="AN17" s="2138"/>
      <c r="AO17" s="2138"/>
      <c r="AP17" s="2138"/>
      <c r="AQ17" s="2138"/>
      <c r="AR17" s="2138"/>
      <c r="AS17" s="2138"/>
    </row>
    <row r="18" spans="1:52" ht="14.25" hidden="1" customHeight="1">
      <c r="P18" s="1228"/>
      <c r="AD18" s="1275"/>
      <c r="AE18" s="1275"/>
      <c r="AF18" s="1275"/>
      <c r="AG18" s="254" t="str">
        <f>AH17&amp;"-"&amp;AJ17</f>
        <v>-</v>
      </c>
      <c r="AH18" s="5320"/>
      <c r="AI18" s="5320"/>
      <c r="AJ18" s="5320"/>
      <c r="AK18" s="5320"/>
      <c r="AL18" s="2138"/>
      <c r="AM18" s="2138"/>
      <c r="AN18" s="2138"/>
      <c r="AO18" s="2138"/>
      <c r="AP18" s="2138"/>
      <c r="AQ18" s="2138"/>
      <c r="AR18" s="2138"/>
      <c r="AS18" s="2138"/>
    </row>
    <row r="19" spans="1:52" ht="14.25" hidden="1" customHeight="1">
      <c r="P19" s="1228"/>
      <c r="AK19" s="253"/>
      <c r="AL19" s="2138"/>
      <c r="AM19" s="2138"/>
      <c r="AN19" s="2138"/>
      <c r="AO19" s="2138"/>
      <c r="AP19" s="2138"/>
      <c r="AQ19" s="2138"/>
      <c r="AR19" s="2138"/>
      <c r="AS19" s="2138"/>
    </row>
    <row r="20" spans="1:52" s="1832" customFormat="1" ht="22.5" hidden="1" customHeight="1">
      <c r="L20" s="1245"/>
      <c r="M20" s="1277"/>
      <c r="N20" s="1277"/>
      <c r="O20" s="1282" t="s">
        <v>533</v>
      </c>
      <c r="P20" s="1277"/>
      <c r="Q20" s="1286"/>
      <c r="R20" s="1286"/>
      <c r="S20" s="647"/>
      <c r="Z20" s="1282"/>
      <c r="AB20" s="1282"/>
      <c r="AC20" s="1281"/>
      <c r="AH20" s="1282"/>
      <c r="AJ20" s="1282"/>
      <c r="AK20" s="1281"/>
      <c r="AL20" s="2174"/>
      <c r="AM20" s="2174"/>
      <c r="AN20" s="2174"/>
      <c r="AO20" s="2174"/>
      <c r="AP20" s="2175"/>
      <c r="AQ20" s="2174"/>
      <c r="AR20" s="2175"/>
      <c r="AS20" s="2174"/>
      <c r="AV20" s="436"/>
      <c r="AW20" s="436"/>
      <c r="AX20" s="436"/>
      <c r="AY20" s="436"/>
      <c r="AZ20" s="436"/>
    </row>
    <row r="21" spans="1:52" s="1832" customFormat="1" ht="14.25" hidden="1" customHeight="1">
      <c r="L21" s="1245"/>
      <c r="M21" s="1277"/>
      <c r="N21" s="1277"/>
      <c r="O21" s="1277"/>
      <c r="P21" s="1277"/>
      <c r="Q21" s="1286"/>
      <c r="R21" s="1286"/>
      <c r="S21" s="647"/>
      <c r="AC21" s="1281"/>
      <c r="AK21" s="1281"/>
      <c r="AL21" s="2174"/>
      <c r="AM21" s="2174"/>
      <c r="AN21" s="2174"/>
      <c r="AO21" s="2174"/>
      <c r="AP21" s="2174"/>
      <c r="AQ21" s="2174"/>
      <c r="AR21" s="2174"/>
      <c r="AS21" s="2174"/>
      <c r="AV21" s="436"/>
      <c r="AW21" s="436"/>
      <c r="AX21" s="436"/>
      <c r="AY21" s="436"/>
      <c r="AZ21" s="436"/>
    </row>
    <row r="22" spans="1:52" s="1832" customFormat="1" ht="14.2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L22" s="2174"/>
      <c r="AM22" s="2174"/>
      <c r="AN22" s="2174"/>
      <c r="AO22" s="2174"/>
      <c r="AP22" s="2174"/>
      <c r="AQ22" s="2176" t="s">
        <v>536</v>
      </c>
      <c r="AR22" s="2174"/>
      <c r="AS22" s="2176" t="s">
        <v>537</v>
      </c>
      <c r="AV22" s="436"/>
      <c r="AW22" s="436"/>
      <c r="AX22" s="436"/>
      <c r="AY22" s="436"/>
      <c r="AZ22" s="436"/>
    </row>
    <row r="23" spans="1:52" ht="14.25" hidden="1" customHeight="1">
      <c r="O23" s="1279"/>
      <c r="P23" s="1228"/>
      <c r="AL23" s="2138"/>
      <c r="AM23" s="2138"/>
      <c r="AN23" s="2138"/>
      <c r="AO23" s="2138"/>
      <c r="AP23" s="2138"/>
      <c r="AQ23" s="2138"/>
      <c r="AR23" s="2138"/>
      <c r="AS23" s="2138"/>
    </row>
    <row r="24" spans="1:52" ht="14.25" hidden="1" customHeight="1">
      <c r="O24" s="1279"/>
      <c r="P24" s="1228"/>
      <c r="AL24" s="2138"/>
      <c r="AM24" s="2138"/>
      <c r="AN24" s="2138"/>
      <c r="AO24" s="2138"/>
      <c r="AP24" s="2138"/>
      <c r="AQ24" s="2138"/>
      <c r="AR24" s="2138"/>
      <c r="AS24" s="2138"/>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138"/>
      <c r="AM25" s="2138"/>
      <c r="AN25" s="2138"/>
      <c r="AO25" s="2138"/>
      <c r="AP25" s="2138"/>
      <c r="AQ25" s="2138"/>
      <c r="AR25" s="2138"/>
      <c r="AS25" s="2138"/>
    </row>
    <row r="26" spans="1:52" ht="14.25" customHeight="1">
      <c r="Q26" s="304"/>
      <c r="R26" s="304"/>
      <c r="S26" s="5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298"/>
      <c r="U26" s="5298"/>
      <c r="V26" s="5298"/>
      <c r="W26" s="5298"/>
      <c r="X26" s="5298"/>
      <c r="Y26" s="5298"/>
      <c r="Z26" s="5298"/>
      <c r="AA26" s="5298"/>
      <c r="AB26" s="5298"/>
      <c r="AC26" s="5298"/>
      <c r="AD26" s="5298"/>
      <c r="AE26" s="5298"/>
      <c r="AF26" s="5298"/>
      <c r="AG26" s="5298"/>
      <c r="AH26" s="5298"/>
      <c r="AI26" s="5298"/>
      <c r="AJ26" s="5298"/>
      <c r="AK26" s="1151"/>
      <c r="AL26" s="2177"/>
      <c r="AM26" s="2177"/>
      <c r="AN26" s="2177"/>
      <c r="AO26" s="2177"/>
      <c r="AP26" s="2177"/>
      <c r="AQ26" s="2177"/>
      <c r="AR26" s="2177"/>
      <c r="AS26" s="2177"/>
    </row>
    <row r="27" spans="1:52"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c r="AL27" s="2178"/>
      <c r="AM27" s="2178"/>
      <c r="AN27" s="2178"/>
      <c r="AO27" s="2178"/>
      <c r="AP27" s="2178"/>
      <c r="AQ27" s="2178"/>
      <c r="AR27" s="2178"/>
      <c r="AS27" s="2178"/>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179"/>
      <c r="AM28" s="2179"/>
      <c r="AN28" s="2179"/>
      <c r="AO28" s="2179"/>
      <c r="AP28" s="2179"/>
      <c r="AQ28" s="2179"/>
      <c r="AR28" s="2179"/>
      <c r="AS28" s="2179"/>
      <c r="AT28" s="434"/>
    </row>
    <row r="29" spans="1:52"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5307" t="str">
        <f>IF(TITLE_NAME_OR_PR_CHANGE="",IF(TITLE_NAME_OR_PR="","",TITLE_NAME_OR_PR),TITLE_NAME_OR_PR_CHANGE)</f>
        <v>Комитет по тарифному регулированию Мурманской области</v>
      </c>
      <c r="AM29" s="5307"/>
      <c r="AN29" s="5307"/>
      <c r="AO29" s="5307"/>
      <c r="AP29" s="5307"/>
      <c r="AQ29" s="5307"/>
      <c r="AR29" s="5307"/>
      <c r="AS29" s="2138"/>
      <c r="AT29" s="252"/>
      <c r="AU29" s="199"/>
      <c r="AV29" s="295"/>
      <c r="AW29" s="295"/>
      <c r="AX29" s="295"/>
      <c r="AY29" s="295"/>
      <c r="AZ29" s="295"/>
    </row>
    <row r="30" spans="1:52"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5316">
        <f>IF(TITLE_DATE_PR_CHANGE="",IF(TITLE_DATE_PR="","",TITLE_DATE_PR),TITLE_DATE_PR_CHANGE)</f>
        <v>45646.340555555558</v>
      </c>
      <c r="AM30" s="5316"/>
      <c r="AN30" s="5316"/>
      <c r="AO30" s="5316"/>
      <c r="AP30" s="5316"/>
      <c r="AQ30" s="5316"/>
      <c r="AR30" s="5316"/>
      <c r="AS30" s="2138"/>
      <c r="AT30" s="252"/>
      <c r="AU30" s="199"/>
      <c r="AV30" s="295"/>
      <c r="AW30" s="295"/>
      <c r="AX30" s="295"/>
      <c r="AY30" s="295"/>
      <c r="AZ30" s="295"/>
    </row>
    <row r="31" spans="1:52"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5307" t="str">
        <f>IF(TITLE_NUMBER_PR_CHANGE="",IF(TITLE_NUMBER_PR="","",TITLE_NUMBER_PR),TITLE_NUMBER_PR_CHANGE)</f>
        <v>51/6; 51/7</v>
      </c>
      <c r="AM31" s="5307"/>
      <c r="AN31" s="5307"/>
      <c r="AO31" s="5307"/>
      <c r="AP31" s="5307"/>
      <c r="AQ31" s="5307"/>
      <c r="AR31" s="5307"/>
      <c r="AS31" s="2138"/>
      <c r="AT31" s="252"/>
      <c r="AU31" s="199"/>
      <c r="AV31" s="295"/>
      <c r="AW31" s="295"/>
      <c r="AX31" s="295"/>
      <c r="AY31" s="295"/>
      <c r="AZ31" s="295"/>
    </row>
    <row r="32" spans="1:52"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5307" t="str">
        <f>IF(TITLE_IST_PUB_CHANGE="",IF(TITLE_IST_PUB="","",TITLE_IST_PUB),TITLE_IST_PUB_CHANGE)</f>
        <v>Официальный электронный бюллетень Правительства Мурманской области</v>
      </c>
      <c r="AM32" s="5307"/>
      <c r="AN32" s="5307"/>
      <c r="AO32" s="5307"/>
      <c r="AP32" s="5307"/>
      <c r="AQ32" s="5307"/>
      <c r="AR32" s="5307"/>
      <c r="AS32" s="2138"/>
      <c r="AT32" s="252"/>
      <c r="AU32" s="199"/>
      <c r="AV32" s="295"/>
      <c r="AW32" s="295"/>
      <c r="AX32" s="295"/>
      <c r="AY32" s="295"/>
      <c r="AZ32" s="295"/>
    </row>
    <row r="33" spans="1:52"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2179"/>
      <c r="AM33" s="2179"/>
      <c r="AN33" s="2179"/>
      <c r="AO33" s="2179"/>
      <c r="AP33" s="2179"/>
      <c r="AQ33" s="2179"/>
      <c r="AR33" s="2179"/>
      <c r="AS33" s="2179"/>
      <c r="AT33" s="434"/>
    </row>
    <row r="34" spans="1:52"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5316">
        <f>IF(TITLE_DATE_PR_CHANGE="",IF(TITLE_DATE_PR="","",TITLE_DATE_PR),TITLE_DATE_PR_CHANGE)</f>
        <v>45646.340555555558</v>
      </c>
      <c r="AM34" s="5316"/>
      <c r="AN34" s="5316"/>
      <c r="AO34" s="5316"/>
      <c r="AP34" s="5316"/>
      <c r="AQ34" s="5316"/>
      <c r="AR34" s="5316"/>
      <c r="AS34" s="2138"/>
      <c r="AT34" s="252"/>
      <c r="AU34" s="199"/>
      <c r="AV34" s="295"/>
      <c r="AW34" s="295"/>
      <c r="AX34" s="295"/>
      <c r="AY34" s="295"/>
      <c r="AZ34" s="295"/>
    </row>
    <row r="35" spans="1:52" s="2180" customFormat="1" ht="18.7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5307" t="str">
        <f>IF(TITLE_NUMBER_PR_CHANGE="",IF(TITLE_NUMBER_PR="","",TITLE_NUMBER_PR),TITLE_NUMBER_PR_CHANGE)</f>
        <v>51/6; 51/7</v>
      </c>
      <c r="AM35" s="5307"/>
      <c r="AN35" s="5307"/>
      <c r="AO35" s="5307"/>
      <c r="AP35" s="5307"/>
      <c r="AQ35" s="5307"/>
      <c r="AR35" s="5307"/>
      <c r="AS35" s="2138"/>
      <c r="AT35" s="252"/>
      <c r="AU35" s="199"/>
      <c r="AV35" s="295"/>
      <c r="AW35" s="295"/>
      <c r="AX35" s="295"/>
      <c r="AY35" s="295"/>
      <c r="AZ35" s="295"/>
    </row>
    <row r="36" spans="1:52" s="2180"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543</v>
      </c>
      <c r="AD36" s="252"/>
      <c r="AE36" s="252"/>
      <c r="AF36" s="252"/>
      <c r="AG36" s="252"/>
      <c r="AH36" s="252"/>
      <c r="AI36" s="252"/>
      <c r="AJ36" s="252"/>
      <c r="AK36" s="197" t="s">
        <v>543</v>
      </c>
      <c r="AL36" s="2138"/>
      <c r="AM36" s="2138"/>
      <c r="AN36" s="2138"/>
      <c r="AO36" s="2138"/>
      <c r="AP36" s="2138"/>
      <c r="AQ36" s="2138"/>
      <c r="AR36" s="2138"/>
      <c r="AS36" s="2182" t="s">
        <v>543</v>
      </c>
      <c r="AV36" s="295"/>
      <c r="AW36" s="295"/>
      <c r="AX36" s="295"/>
      <c r="AY36" s="295"/>
      <c r="AZ36" s="295"/>
    </row>
    <row r="37" spans="1:52"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c r="AL37" s="5308" t="s">
        <v>99</v>
      </c>
      <c r="AM37" s="5308"/>
      <c r="AN37" s="5308"/>
      <c r="AO37" s="5308"/>
      <c r="AP37" s="5308"/>
      <c r="AQ37" s="5308"/>
      <c r="AR37" s="5308"/>
      <c r="AS37" s="5308"/>
    </row>
    <row r="38" spans="1:52"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t="s">
        <v>417</v>
      </c>
      <c r="AM38" s="5180"/>
      <c r="AN38" s="5180"/>
      <c r="AO38" s="5180"/>
      <c r="AP38" s="5180"/>
      <c r="AQ38" s="5180"/>
      <c r="AR38" s="5180"/>
      <c r="AS38" s="5180"/>
      <c r="AT38" s="5180"/>
      <c r="AU38" s="5180"/>
    </row>
    <row r="39" spans="1:52" ht="14.25" customHeight="1">
      <c r="Q39" s="304"/>
      <c r="R39" s="304"/>
      <c r="S39" s="5322" t="s">
        <v>83</v>
      </c>
      <c r="T39" s="5274" t="s">
        <v>544</v>
      </c>
      <c r="U39" s="219"/>
      <c r="V39" s="5323" t="s">
        <v>545</v>
      </c>
      <c r="W39" s="5324"/>
      <c r="X39" s="5324"/>
      <c r="Y39" s="5324"/>
      <c r="Z39" s="5324"/>
      <c r="AA39" s="5324"/>
      <c r="AB39" s="5325"/>
      <c r="AC39" s="5326" t="s">
        <v>546</v>
      </c>
      <c r="AD39" s="5323" t="s">
        <v>545</v>
      </c>
      <c r="AE39" s="5324"/>
      <c r="AF39" s="5324"/>
      <c r="AG39" s="5324"/>
      <c r="AH39" s="5324"/>
      <c r="AI39" s="5324"/>
      <c r="AJ39" s="5325"/>
      <c r="AK39" s="5326" t="s">
        <v>547</v>
      </c>
      <c r="AL39" s="5323" t="s">
        <v>545</v>
      </c>
      <c r="AM39" s="5324"/>
      <c r="AN39" s="5324"/>
      <c r="AO39" s="5324"/>
      <c r="AP39" s="5324"/>
      <c r="AQ39" s="5324"/>
      <c r="AR39" s="5325"/>
      <c r="AS39" s="5326" t="s">
        <v>546</v>
      </c>
      <c r="AT39" s="5329" t="s">
        <v>548</v>
      </c>
      <c r="AU39" s="5180"/>
    </row>
    <row r="40" spans="1:52" ht="33.75" customHeight="1">
      <c r="Q40" s="304"/>
      <c r="R40" s="304"/>
      <c r="S40" s="5322"/>
      <c r="T40" s="5274"/>
      <c r="U40" s="937"/>
      <c r="V40" s="5244" t="s">
        <v>549</v>
      </c>
      <c r="W40" s="5332" t="s">
        <v>550</v>
      </c>
      <c r="X40" s="5151" t="s">
        <v>551</v>
      </c>
      <c r="Y40" s="5150"/>
      <c r="Z40" s="5151" t="s">
        <v>552</v>
      </c>
      <c r="AA40" s="5156"/>
      <c r="AB40" s="5150"/>
      <c r="AC40" s="5327"/>
      <c r="AD40" s="5244" t="s">
        <v>549</v>
      </c>
      <c r="AE40" s="5332" t="s">
        <v>550</v>
      </c>
      <c r="AF40" s="5151" t="s">
        <v>551</v>
      </c>
      <c r="AG40" s="5150"/>
      <c r="AH40" s="5151" t="s">
        <v>552</v>
      </c>
      <c r="AI40" s="5156"/>
      <c r="AJ40" s="5150"/>
      <c r="AK40" s="5327"/>
      <c r="AL40" s="5244" t="s">
        <v>549</v>
      </c>
      <c r="AM40" s="5332" t="s">
        <v>550</v>
      </c>
      <c r="AN40" s="5151" t="s">
        <v>551</v>
      </c>
      <c r="AO40" s="5150"/>
      <c r="AP40" s="5151" t="s">
        <v>552</v>
      </c>
      <c r="AQ40" s="5156"/>
      <c r="AR40" s="5150"/>
      <c r="AS40" s="5327"/>
      <c r="AT40" s="5330"/>
      <c r="AU40" s="5180"/>
    </row>
    <row r="41" spans="1:52" ht="33.7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Q41" s="304"/>
      <c r="R41" s="304"/>
      <c r="S41" s="5322"/>
      <c r="T41" s="5274"/>
      <c r="U41" s="220"/>
      <c r="V41" s="5293"/>
      <c r="W41" s="5333"/>
      <c r="X41" s="1127" t="s">
        <v>560</v>
      </c>
      <c r="Y41" s="1127" t="s">
        <v>561</v>
      </c>
      <c r="Z41" s="1126" t="s">
        <v>562</v>
      </c>
      <c r="AA41" s="5282" t="s">
        <v>563</v>
      </c>
      <c r="AB41" s="5284"/>
      <c r="AC41" s="5328"/>
      <c r="AD41" s="5293"/>
      <c r="AE41" s="5333"/>
      <c r="AF41" s="1127" t="s">
        <v>560</v>
      </c>
      <c r="AG41" s="1127" t="s">
        <v>561</v>
      </c>
      <c r="AH41" s="1230" t="s">
        <v>562</v>
      </c>
      <c r="AI41" s="5282" t="s">
        <v>563</v>
      </c>
      <c r="AJ41" s="5284"/>
      <c r="AK41" s="5328"/>
      <c r="AL41" s="5293"/>
      <c r="AM41" s="5333"/>
      <c r="AN41" s="2183" t="s">
        <v>560</v>
      </c>
      <c r="AO41" s="2183" t="s">
        <v>561</v>
      </c>
      <c r="AP41" s="2183" t="s">
        <v>562</v>
      </c>
      <c r="AQ41" s="5282" t="s">
        <v>563</v>
      </c>
      <c r="AR41" s="5284"/>
      <c r="AS41" s="5328"/>
      <c r="AT41" s="5331"/>
      <c r="AU41" s="5180"/>
    </row>
    <row r="42" spans="1:52"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172">
        <f ca="1">OFFSET(V42,0,-1)+1</f>
        <v>3</v>
      </c>
      <c r="W42" s="1172"/>
      <c r="X42" s="1172">
        <f ca="1">OFFSET(X42,0,-1)+1</f>
        <v>1</v>
      </c>
      <c r="Y42" s="1172">
        <f ca="1">OFFSET(Y42,0,-1)+1</f>
        <v>2</v>
      </c>
      <c r="Z42" s="1172">
        <f ca="1">OFFSET(Z42,0,-1)+1</f>
        <v>3</v>
      </c>
      <c r="AA42" s="5321">
        <f ca="1">OFFSET(AA42,0,-1)+1</f>
        <v>4</v>
      </c>
      <c r="AB42" s="5321"/>
      <c r="AC42" s="1172">
        <f ca="1">OFFSET(AC42,0,-2)+1</f>
        <v>5</v>
      </c>
      <c r="AD42" s="1229">
        <f ca="1">OFFSET(AD42,0,-1)+1</f>
        <v>6</v>
      </c>
      <c r="AE42" s="1229"/>
      <c r="AF42" s="1229">
        <f ca="1">OFFSET(AF42,0,-1)+1</f>
        <v>1</v>
      </c>
      <c r="AG42" s="1229">
        <f ca="1">OFFSET(AG42,0,-1)+1</f>
        <v>2</v>
      </c>
      <c r="AH42" s="1229">
        <f ca="1">OFFSET(AH42,0,-1)+1</f>
        <v>3</v>
      </c>
      <c r="AI42" s="5321">
        <f ca="1">OFFSET(AI42,0,-1)+1</f>
        <v>4</v>
      </c>
      <c r="AJ42" s="5321"/>
      <c r="AK42" s="1229">
        <f ca="1">OFFSET(AK42,0,-2)+1</f>
        <v>5</v>
      </c>
      <c r="AL42" s="2185">
        <f ca="1">OFFSET(AL42,0,-1)+1</f>
        <v>6</v>
      </c>
      <c r="AM42" s="2185"/>
      <c r="AN42" s="2185">
        <f ca="1">OFFSET(AN42,0,-1)+1</f>
        <v>1</v>
      </c>
      <c r="AO42" s="2185">
        <f ca="1">OFFSET(AO42,0,-1)+1</f>
        <v>2</v>
      </c>
      <c r="AP42" s="2185">
        <f ca="1">OFFSET(AP42,0,-1)+1</f>
        <v>3</v>
      </c>
      <c r="AQ42" s="5321">
        <f ca="1">OFFSET(AQ42,0,-1)+1</f>
        <v>4</v>
      </c>
      <c r="AR42" s="5321"/>
      <c r="AS42" s="2185">
        <f ca="1">OFFSET(AS42,0,-2)+1</f>
        <v>5</v>
      </c>
      <c r="AT42" s="1153">
        <f ca="1">OFFSET(AT42,0,-1)</f>
        <v>5</v>
      </c>
      <c r="AU42" s="1172">
        <f ca="1">OFFSET(AU42,0,-1)+1</f>
        <v>6</v>
      </c>
      <c r="AV42" s="436"/>
      <c r="AW42" s="436"/>
      <c r="AX42" s="436"/>
      <c r="AY42" s="436"/>
      <c r="AZ42" s="436"/>
    </row>
    <row r="43" spans="1:52" ht="23.25" customHeight="1">
      <c r="A43" s="1278" t="s">
        <v>164</v>
      </c>
      <c r="B43" s="1278"/>
      <c r="C43" s="1278"/>
      <c r="D43" s="1278"/>
      <c r="E43" s="5314">
        <v>1</v>
      </c>
      <c r="F43" s="1278"/>
      <c r="G43" s="1278"/>
      <c r="H43" s="1278"/>
      <c r="I43" s="1278"/>
      <c r="J43" s="1278"/>
      <c r="K43" s="1278"/>
      <c r="L43" s="1279"/>
      <c r="M43" s="1280"/>
      <c r="N43" s="1280"/>
      <c r="O43" s="1280"/>
      <c r="P43" s="285"/>
      <c r="Q43" s="284"/>
      <c r="R43" s="279"/>
      <c r="S43" s="1131">
        <f>INDEX(PT_DIFFERENTIATION_NUM_NTAR,MATCH(A43,PT_DIFFERENTIATION_NTAR_ID,0))</f>
        <v>1</v>
      </c>
      <c r="T43" s="216" t="s">
        <v>127</v>
      </c>
      <c r="U43" s="218"/>
      <c r="V43" s="5300"/>
      <c r="W43" s="5301"/>
      <c r="X43" s="5301"/>
      <c r="Y43" s="5301"/>
      <c r="Z43" s="5301"/>
      <c r="AA43" s="5301"/>
      <c r="AB43" s="5301"/>
      <c r="AC43" s="5302"/>
      <c r="AD43" s="5300" t="str">
        <f>INDEX(PT_DIFFERENTIATION_NTAR,MATCH(A43,PT_DIFFERENTIATION_NTAR_ID,0))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E43" s="5301"/>
      <c r="AF43" s="5301"/>
      <c r="AG43" s="5301"/>
      <c r="AH43" s="5301"/>
      <c r="AI43" s="5301"/>
      <c r="AJ43" s="5301"/>
      <c r="AK43" s="5301"/>
      <c r="AL43" s="5300"/>
      <c r="AM43" s="5301"/>
      <c r="AN43" s="5301"/>
      <c r="AO43" s="5301"/>
      <c r="AP43" s="5301"/>
      <c r="AQ43" s="5301"/>
      <c r="AR43" s="5301"/>
      <c r="AS43" s="5302"/>
      <c r="AT43" s="5302"/>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74" si="1">IF(T43="","",T43)</f>
        <v>Наименование тарифа</v>
      </c>
      <c r="AY43" s="425"/>
      <c r="AZ43" s="425"/>
    </row>
    <row r="44" spans="1:52" ht="23.25" customHeight="1">
      <c r="A44" s="1278" t="s">
        <v>164</v>
      </c>
      <c r="B44" s="1278" t="s">
        <v>165</v>
      </c>
      <c r="C44" s="1278"/>
      <c r="D44" s="1278"/>
      <c r="E44" s="5315"/>
      <c r="F44" s="5314">
        <v>1</v>
      </c>
      <c r="G44" s="1278"/>
      <c r="H44" s="1278"/>
      <c r="I44" s="1278"/>
      <c r="J44" s="1278"/>
      <c r="K44" s="1278"/>
      <c r="L44" s="1279"/>
      <c r="M44" s="1280"/>
      <c r="N44" s="1280"/>
      <c r="O44" s="1280"/>
      <c r="P44" s="447"/>
      <c r="Q44" s="276"/>
      <c r="R44" s="277"/>
      <c r="S44" s="1131" t="str">
        <f>INDEX(PT_DIFFERENTIATION_NUM_TER,MATCH(B44,PT_DIFFERENTIATION_TER_ID,0))</f>
        <v>1.1</v>
      </c>
      <c r="T44" s="228" t="s">
        <v>516</v>
      </c>
      <c r="U44" s="218"/>
      <c r="V44" s="5300"/>
      <c r="W44" s="5301"/>
      <c r="X44" s="5301"/>
      <c r="Y44" s="5301"/>
      <c r="Z44" s="5301"/>
      <c r="AA44" s="5301"/>
      <c r="AB44" s="5301"/>
      <c r="AC44" s="5302"/>
      <c r="AD44" s="5300" t="str">
        <f>INDEX(PT_DIFFERENTIATION_TER,MATCH(B44,PT_DIFFERENTIATION_TER_ID,0))</f>
        <v>Территория 1</v>
      </c>
      <c r="AE44" s="5301"/>
      <c r="AF44" s="5301"/>
      <c r="AG44" s="5301"/>
      <c r="AH44" s="5301"/>
      <c r="AI44" s="5301"/>
      <c r="AJ44" s="5301"/>
      <c r="AK44" s="5301"/>
      <c r="AL44" s="5300"/>
      <c r="AM44" s="5301"/>
      <c r="AN44" s="5301"/>
      <c r="AO44" s="5301"/>
      <c r="AP44" s="5301"/>
      <c r="AQ44" s="5301"/>
      <c r="AR44" s="5301"/>
      <c r="AS44" s="5302"/>
      <c r="AT44" s="5302"/>
      <c r="AU44" s="1176" t="s">
        <v>517</v>
      </c>
      <c r="AW44" s="425"/>
      <c r="AX44" s="425" t="str">
        <f t="shared" si="1"/>
        <v>Территория действия тарифа</v>
      </c>
      <c r="AY44" s="425"/>
      <c r="AZ44" s="425"/>
    </row>
    <row r="45" spans="1:52" ht="23.25" customHeight="1">
      <c r="A45" s="1278" t="s">
        <v>164</v>
      </c>
      <c r="B45" s="1278" t="s">
        <v>165</v>
      </c>
      <c r="C45" s="1278" t="s">
        <v>166</v>
      </c>
      <c r="D45" s="1278"/>
      <c r="E45" s="5315"/>
      <c r="F45" s="5315"/>
      <c r="G45" s="5314">
        <v>1</v>
      </c>
      <c r="H45" s="1278"/>
      <c r="I45" s="1278"/>
      <c r="J45" s="1278"/>
      <c r="K45" s="1278"/>
      <c r="L45" s="1279"/>
      <c r="M45" s="1280"/>
      <c r="N45" s="1280"/>
      <c r="O45" s="1280"/>
      <c r="P45" s="278"/>
      <c r="Q45" s="276"/>
      <c r="R45" s="277"/>
      <c r="S45" s="1131" t="str">
        <f>INDEX(PT_DIFFERENTIATION_NUM_CS,MATCH(C45,PT_DIFFERENTIATION_CS_ID,0))</f>
        <v>1.1.1</v>
      </c>
      <c r="T45" s="229" t="s">
        <v>518</v>
      </c>
      <c r="U45" s="218"/>
      <c r="V45" s="5300"/>
      <c r="W45" s="5301"/>
      <c r="X45" s="5301"/>
      <c r="Y45" s="5301"/>
      <c r="Z45" s="5301"/>
      <c r="AA45" s="5301"/>
      <c r="AB45" s="5301"/>
      <c r="AC45" s="5302"/>
      <c r="AD45" s="5300" t="str">
        <f>INDEX(PT_DIFFERENTIATION_CS,MATCH(C45,PT_DIFFERENTIATION_CS_ID,0))</f>
        <v xml:space="preserve">открытая система теплоснабжения г. Апатиты
</v>
      </c>
      <c r="AE45" s="5301"/>
      <c r="AF45" s="5301"/>
      <c r="AG45" s="5301"/>
      <c r="AH45" s="5301"/>
      <c r="AI45" s="5301"/>
      <c r="AJ45" s="5301"/>
      <c r="AK45" s="5301"/>
      <c r="AL45" s="5300"/>
      <c r="AM45" s="5301"/>
      <c r="AN45" s="5301"/>
      <c r="AO45" s="5301"/>
      <c r="AP45" s="5301"/>
      <c r="AQ45" s="5301"/>
      <c r="AR45" s="5301"/>
      <c r="AS45" s="5302"/>
      <c r="AT45" s="5302"/>
      <c r="AU45" s="1176" t="s">
        <v>519</v>
      </c>
      <c r="AW45" s="425"/>
      <c r="AX45" s="425" t="str">
        <f t="shared" si="1"/>
        <v xml:space="preserve">Наименование системы теплоснабжения </v>
      </c>
      <c r="AY45" s="425"/>
      <c r="AZ45" s="425"/>
    </row>
    <row r="46" spans="1:52" ht="23.25" customHeight="1">
      <c r="A46" s="1278" t="s">
        <v>164</v>
      </c>
      <c r="B46" s="1278" t="s">
        <v>165</v>
      </c>
      <c r="C46" s="1278" t="s">
        <v>166</v>
      </c>
      <c r="D46" s="1278" t="s">
        <v>167</v>
      </c>
      <c r="E46" s="5315"/>
      <c r="F46" s="5315"/>
      <c r="G46" s="5315"/>
      <c r="H46" s="5314">
        <v>1</v>
      </c>
      <c r="I46" s="1278"/>
      <c r="J46" s="1278"/>
      <c r="K46" s="1278"/>
      <c r="L46" s="1279"/>
      <c r="M46" s="1280"/>
      <c r="N46" s="1280"/>
      <c r="O46" s="1280"/>
      <c r="P46" s="278"/>
      <c r="Q46" s="276"/>
      <c r="R46" s="277"/>
      <c r="S46" s="1131" t="str">
        <f>INDEX(PT_DIFFERENTIATION_NUM_IST_TE,MATCH(D46,PT_DIFFERENTIATION_IST_TE_ID,0))</f>
        <v>1.1.1.1</v>
      </c>
      <c r="T46" s="230" t="s">
        <v>520</v>
      </c>
      <c r="U46" s="218"/>
      <c r="V46" s="5300"/>
      <c r="W46" s="5301"/>
      <c r="X46" s="5301"/>
      <c r="Y46" s="5301"/>
      <c r="Z46" s="5301"/>
      <c r="AA46" s="5301"/>
      <c r="AB46" s="5301"/>
      <c r="AC46" s="5302"/>
      <c r="AD46" s="5300" t="str">
        <f>INDEX(PT_DIFFERENTIATION_IST_TE,MATCH(D46,PT_DIFFERENTIATION_IST_TE_ID,0))</f>
        <v>Апатитская ТЭЦ</v>
      </c>
      <c r="AE46" s="5301"/>
      <c r="AF46" s="5301"/>
      <c r="AG46" s="5301"/>
      <c r="AH46" s="5301"/>
      <c r="AI46" s="5301"/>
      <c r="AJ46" s="5301"/>
      <c r="AK46" s="5301"/>
      <c r="AL46" s="5300"/>
      <c r="AM46" s="5301"/>
      <c r="AN46" s="5301"/>
      <c r="AO46" s="5301"/>
      <c r="AP46" s="5301"/>
      <c r="AQ46" s="5301"/>
      <c r="AR46" s="5301"/>
      <c r="AS46" s="5302"/>
      <c r="AT46" s="5302"/>
      <c r="AU46" s="1176" t="s">
        <v>521</v>
      </c>
      <c r="AW46" s="425"/>
      <c r="AX46" s="425" t="str">
        <f t="shared" si="1"/>
        <v xml:space="preserve">Источник тепловой энергии  </v>
      </c>
      <c r="AY46" s="425"/>
      <c r="AZ46" s="425"/>
    </row>
    <row r="47" spans="1:52" ht="47.25" customHeight="1">
      <c r="A47" s="1278" t="s">
        <v>164</v>
      </c>
      <c r="B47" s="1278" t="s">
        <v>165</v>
      </c>
      <c r="C47" s="1278" t="s">
        <v>166</v>
      </c>
      <c r="D47" s="1278" t="s">
        <v>167</v>
      </c>
      <c r="E47" s="5315"/>
      <c r="F47" s="5315"/>
      <c r="G47" s="5315"/>
      <c r="H47" s="5315"/>
      <c r="I47" s="5312" t="str">
        <f>S46&amp;".1"</f>
        <v>1.1.1.1.1</v>
      </c>
      <c r="J47" s="1278"/>
      <c r="K47" s="1278"/>
      <c r="L47" s="1279" t="s">
        <v>522</v>
      </c>
      <c r="P47" s="5313">
        <v>1</v>
      </c>
      <c r="Q47" s="1125"/>
      <c r="R47" s="280"/>
      <c r="S47" s="1131" t="str">
        <f>$I47</f>
        <v>1.1.1.1.1</v>
      </c>
      <c r="T47" s="203" t="s">
        <v>523</v>
      </c>
      <c r="U47" s="218"/>
      <c r="V47" s="5303"/>
      <c r="W47" s="5304"/>
      <c r="X47" s="5304"/>
      <c r="Y47" s="5304"/>
      <c r="Z47" s="5304"/>
      <c r="AA47" s="5304"/>
      <c r="AB47" s="5304"/>
      <c r="AC47" s="5305"/>
      <c r="AD47" s="5303" t="s">
        <v>564</v>
      </c>
      <c r="AE47" s="5304"/>
      <c r="AF47" s="5304"/>
      <c r="AG47" s="5304"/>
      <c r="AH47" s="5304"/>
      <c r="AI47" s="5304"/>
      <c r="AJ47" s="5304"/>
      <c r="AK47" s="5304"/>
      <c r="AL47" s="5303"/>
      <c r="AM47" s="5304"/>
      <c r="AN47" s="5304"/>
      <c r="AO47" s="5304"/>
      <c r="AP47" s="5304"/>
      <c r="AQ47" s="5304"/>
      <c r="AR47" s="5304"/>
      <c r="AS47" s="5305"/>
      <c r="AT47" s="5305"/>
      <c r="AU47" s="1176" t="s">
        <v>524</v>
      </c>
      <c r="AW47" s="425"/>
      <c r="AX47" s="425" t="str">
        <f t="shared" si="1"/>
        <v>Схема подключения теплопотребляющей установки к коллектору источника тепловой энергии</v>
      </c>
      <c r="AY47" s="425"/>
      <c r="AZ47" s="425"/>
    </row>
    <row r="48" spans="1:52" ht="23.25" customHeight="1">
      <c r="A48" s="1278" t="s">
        <v>164</v>
      </c>
      <c r="B48" s="1278" t="s">
        <v>165</v>
      </c>
      <c r="C48" s="1278" t="s">
        <v>166</v>
      </c>
      <c r="D48" s="1278" t="s">
        <v>167</v>
      </c>
      <c r="E48" s="5315"/>
      <c r="F48" s="5315"/>
      <c r="G48" s="5315"/>
      <c r="H48" s="5315"/>
      <c r="I48" s="5335"/>
      <c r="J48" s="5312" t="str">
        <f>I47&amp;".1"</f>
        <v>1.1.1.1.1.1</v>
      </c>
      <c r="K48" s="1278"/>
      <c r="L48" s="1279" t="s">
        <v>525</v>
      </c>
      <c r="P48" s="5313"/>
      <c r="Q48" s="5313">
        <v>1</v>
      </c>
      <c r="R48" s="281"/>
      <c r="S48" s="1131" t="str">
        <f>$J48</f>
        <v>1.1.1.1.1.1</v>
      </c>
      <c r="T48" s="204" t="s">
        <v>526</v>
      </c>
      <c r="U48" s="218"/>
      <c r="V48" s="5303"/>
      <c r="W48" s="5304"/>
      <c r="X48" s="5304"/>
      <c r="Y48" s="5304"/>
      <c r="Z48" s="5304"/>
      <c r="AA48" s="5304"/>
      <c r="AB48" s="5304"/>
      <c r="AC48" s="5305"/>
      <c r="AD48" s="5303" t="s">
        <v>565</v>
      </c>
      <c r="AE48" s="5304"/>
      <c r="AF48" s="5304"/>
      <c r="AG48" s="5304"/>
      <c r="AH48" s="5304"/>
      <c r="AI48" s="5304"/>
      <c r="AJ48" s="5304"/>
      <c r="AK48" s="5304"/>
      <c r="AL48" s="5303"/>
      <c r="AM48" s="5304"/>
      <c r="AN48" s="5304"/>
      <c r="AO48" s="5304"/>
      <c r="AP48" s="5304"/>
      <c r="AQ48" s="5304"/>
      <c r="AR48" s="5304"/>
      <c r="AS48" s="5305"/>
      <c r="AT48" s="5305"/>
      <c r="AU48" s="1176" t="s">
        <v>527</v>
      </c>
      <c r="AW48" s="425"/>
      <c r="AX48" s="425" t="str">
        <f t="shared" si="1"/>
        <v>Группа потребителей</v>
      </c>
      <c r="AY48" s="425"/>
      <c r="AZ48" s="425"/>
    </row>
    <row r="49" spans="1:52" ht="23.25" customHeight="1">
      <c r="A49" s="1278" t="s">
        <v>164</v>
      </c>
      <c r="B49" s="1278" t="s">
        <v>165</v>
      </c>
      <c r="C49" s="1278" t="s">
        <v>166</v>
      </c>
      <c r="D49" s="1278" t="s">
        <v>167</v>
      </c>
      <c r="E49" s="5315"/>
      <c r="F49" s="5315"/>
      <c r="G49" s="5315"/>
      <c r="H49" s="5315"/>
      <c r="I49" s="5335"/>
      <c r="J49" s="5335"/>
      <c r="K49" s="5312" t="str">
        <f>J48&amp;".1"</f>
        <v>1.1.1.1.1.1.1</v>
      </c>
      <c r="L49" s="1279" t="s">
        <v>528</v>
      </c>
      <c r="P49" s="5313"/>
      <c r="Q49" s="5313"/>
      <c r="R49" s="281">
        <v>1</v>
      </c>
      <c r="S49" s="1131" t="str">
        <f>$K49</f>
        <v>1.1.1.1.1.1.1</v>
      </c>
      <c r="T49" s="1263" t="s">
        <v>566</v>
      </c>
      <c r="U49" s="218"/>
      <c r="V49" s="667"/>
      <c r="W49" s="250"/>
      <c r="X49" s="667"/>
      <c r="Y49" s="1175"/>
      <c r="Z49" s="5317"/>
      <c r="AA49" s="5161" t="s">
        <v>62</v>
      </c>
      <c r="AB49" s="5317"/>
      <c r="AC49" s="5161" t="s">
        <v>62</v>
      </c>
      <c r="AD49" s="667">
        <v>1642.09</v>
      </c>
      <c r="AE49" s="250"/>
      <c r="AF49" s="667"/>
      <c r="AG49" s="1175"/>
      <c r="AH49" s="5317">
        <v>45658.461423611108</v>
      </c>
      <c r="AI49" s="5161" t="s">
        <v>62</v>
      </c>
      <c r="AJ49" s="5336">
        <v>45838.461550925924</v>
      </c>
      <c r="AK49" s="5161" t="s">
        <v>62</v>
      </c>
      <c r="AL49" s="2139">
        <v>2453.1999999999998</v>
      </c>
      <c r="AM49" s="2140"/>
      <c r="AN49" s="2139"/>
      <c r="AO49" s="2141"/>
      <c r="AP49" s="5317">
        <v>45839.46199074074</v>
      </c>
      <c r="AQ49" s="5161" t="s">
        <v>62</v>
      </c>
      <c r="AR49" s="5317">
        <v>46022.462164351855</v>
      </c>
      <c r="AS49" s="5161" t="s">
        <v>62</v>
      </c>
      <c r="AT49" s="1264"/>
      <c r="AU49" s="5309" t="s">
        <v>529</v>
      </c>
      <c r="AV49" s="436" t="e">
        <f ca="1">STRCHECKDATE(V50:AT50)</f>
        <v>#NAME?</v>
      </c>
      <c r="AW49" s="425"/>
      <c r="AX49" s="425" t="str">
        <f t="shared" si="1"/>
        <v>вода</v>
      </c>
      <c r="AY49" s="425"/>
      <c r="AZ49" s="425"/>
    </row>
    <row r="50" spans="1:52" ht="0.75" customHeight="1">
      <c r="A50" s="1278" t="s">
        <v>164</v>
      </c>
      <c r="B50" s="1278" t="s">
        <v>165</v>
      </c>
      <c r="C50" s="1278" t="s">
        <v>166</v>
      </c>
      <c r="D50" s="1278" t="s">
        <v>167</v>
      </c>
      <c r="E50" s="5315"/>
      <c r="F50" s="5315"/>
      <c r="G50" s="5315"/>
      <c r="H50" s="5315"/>
      <c r="I50" s="5335"/>
      <c r="J50" s="5335"/>
      <c r="K50" s="5312"/>
      <c r="L50" s="1279"/>
      <c r="P50" s="5313"/>
      <c r="Q50" s="5313"/>
      <c r="R50" s="281"/>
      <c r="S50" s="1129"/>
      <c r="T50" s="218"/>
      <c r="U50" s="218"/>
      <c r="V50" s="250"/>
      <c r="W50" s="250"/>
      <c r="X50" s="250"/>
      <c r="Y50" s="254" t="str">
        <f>Z49&amp;"-"&amp;AB49</f>
        <v>-</v>
      </c>
      <c r="Z50" s="5318"/>
      <c r="AA50" s="5161"/>
      <c r="AB50" s="5318"/>
      <c r="AC50" s="5161"/>
      <c r="AD50" s="250"/>
      <c r="AE50" s="250"/>
      <c r="AF50" s="250"/>
      <c r="AG50" s="254" t="str">
        <f>AH49&amp;"-"&amp;AJ49</f>
        <v>45658,4614236111-45838,4615509259</v>
      </c>
      <c r="AH50" s="5318"/>
      <c r="AI50" s="5161"/>
      <c r="AJ50" s="5337"/>
      <c r="AK50" s="5161"/>
      <c r="AL50" s="2140"/>
      <c r="AM50" s="2140"/>
      <c r="AN50" s="2140"/>
      <c r="AO50" s="2142" t="str">
        <f>AP49&amp;"-"&amp;AR49</f>
        <v>45839,4619907407-46022,4621643519</v>
      </c>
      <c r="AP50" s="5318"/>
      <c r="AQ50" s="5161"/>
      <c r="AR50" s="5318"/>
      <c r="AS50" s="5161"/>
      <c r="AT50" s="1265"/>
      <c r="AU50" s="5310"/>
      <c r="AW50" s="425"/>
      <c r="AX50" s="425" t="str">
        <f t="shared" si="1"/>
        <v/>
      </c>
      <c r="AY50" s="425"/>
      <c r="AZ50" s="425"/>
    </row>
    <row r="51" spans="1:52" ht="11.25" customHeight="1">
      <c r="A51" s="1278" t="s">
        <v>164</v>
      </c>
      <c r="B51" s="1278" t="s">
        <v>165</v>
      </c>
      <c r="C51" s="1278" t="s">
        <v>166</v>
      </c>
      <c r="D51" s="1278" t="s">
        <v>167</v>
      </c>
      <c r="E51" s="5315"/>
      <c r="F51" s="5315"/>
      <c r="G51" s="5315"/>
      <c r="H51" s="5315"/>
      <c r="I51" s="5335"/>
      <c r="J51" s="5312"/>
      <c r="K51" s="1278"/>
      <c r="L51" s="1279"/>
      <c r="P51" s="5313"/>
      <c r="Q51" s="5313"/>
      <c r="R51" s="280"/>
      <c r="S51" s="1197"/>
      <c r="T51" s="206" t="s">
        <v>530</v>
      </c>
      <c r="U51" s="294"/>
      <c r="V51" s="294"/>
      <c r="W51" s="294"/>
      <c r="X51" s="294"/>
      <c r="Y51" s="294"/>
      <c r="Z51" s="294"/>
      <c r="AA51" s="294"/>
      <c r="AB51" s="294"/>
      <c r="AC51" s="294"/>
      <c r="AD51" s="294"/>
      <c r="AE51" s="294"/>
      <c r="AF51" s="294"/>
      <c r="AG51" s="294"/>
      <c r="AH51" s="294"/>
      <c r="AI51" s="294"/>
      <c r="AJ51" s="294"/>
      <c r="AK51" s="294"/>
      <c r="AL51" s="2186"/>
      <c r="AM51" s="2187"/>
      <c r="AN51" s="2188"/>
      <c r="AO51" s="2189"/>
      <c r="AP51" s="2190"/>
      <c r="AQ51" s="2191"/>
      <c r="AR51" s="2192"/>
      <c r="AS51" s="2193"/>
      <c r="AT51" s="249"/>
      <c r="AU51" s="5311"/>
      <c r="AW51" s="425"/>
      <c r="AX51" s="425" t="str">
        <f t="shared" si="1"/>
        <v>Добавить вид теплоносителя (параметры теплоносителя)</v>
      </c>
      <c r="AY51" s="425"/>
      <c r="AZ51" s="425"/>
    </row>
    <row r="52" spans="1:52" ht="11.25" customHeight="1">
      <c r="A52" s="1278" t="s">
        <v>164</v>
      </c>
      <c r="B52" s="1278" t="s">
        <v>165</v>
      </c>
      <c r="C52" s="1278" t="s">
        <v>166</v>
      </c>
      <c r="D52" s="1278" t="s">
        <v>167</v>
      </c>
      <c r="E52" s="5315"/>
      <c r="F52" s="5315"/>
      <c r="G52" s="5315"/>
      <c r="H52" s="5315"/>
      <c r="I52" s="5312"/>
      <c r="J52" s="1278"/>
      <c r="K52" s="1278"/>
      <c r="L52" s="1279"/>
      <c r="P52" s="5313"/>
      <c r="Q52" s="1125"/>
      <c r="R52" s="280"/>
      <c r="S52" s="1197"/>
      <c r="T52" s="205" t="s">
        <v>531</v>
      </c>
      <c r="U52" s="294"/>
      <c r="V52" s="294"/>
      <c r="W52" s="294"/>
      <c r="X52" s="294"/>
      <c r="Y52" s="294"/>
      <c r="Z52" s="294"/>
      <c r="AA52" s="294"/>
      <c r="AB52" s="294"/>
      <c r="AC52" s="293"/>
      <c r="AD52" s="294"/>
      <c r="AE52" s="294"/>
      <c r="AF52" s="294"/>
      <c r="AG52" s="294"/>
      <c r="AH52" s="294"/>
      <c r="AI52" s="294"/>
      <c r="AJ52" s="294"/>
      <c r="AK52" s="293"/>
      <c r="AL52" s="2194"/>
      <c r="AM52" s="2195"/>
      <c r="AN52" s="2196"/>
      <c r="AO52" s="2197"/>
      <c r="AP52" s="2198"/>
      <c r="AQ52" s="2199"/>
      <c r="AR52" s="2200"/>
      <c r="AS52" s="2201"/>
      <c r="AT52" s="294"/>
      <c r="AU52" s="221"/>
      <c r="AW52" s="425"/>
      <c r="AX52" s="425" t="str">
        <f t="shared" si="1"/>
        <v>Добавить группу потребителей</v>
      </c>
      <c r="AY52" s="425"/>
      <c r="AZ52" s="425"/>
    </row>
    <row r="53" spans="1:52" ht="14.25" customHeight="1">
      <c r="A53" s="1278" t="s">
        <v>164</v>
      </c>
      <c r="B53" s="1278" t="s">
        <v>165</v>
      </c>
      <c r="C53" s="1278" t="s">
        <v>166</v>
      </c>
      <c r="D53" s="1278" t="s">
        <v>167</v>
      </c>
      <c r="E53" s="5315"/>
      <c r="F53" s="5315"/>
      <c r="G53" s="5315"/>
      <c r="H53" s="5314"/>
      <c r="I53" s="1278"/>
      <c r="J53" s="1278"/>
      <c r="K53" s="1278"/>
      <c r="L53" s="1279"/>
      <c r="M53" s="1280"/>
      <c r="N53" s="1280"/>
      <c r="O53" s="461"/>
      <c r="P53" s="284"/>
      <c r="Q53" s="303"/>
      <c r="R53" s="279"/>
      <c r="S53" s="1197"/>
      <c r="T53" s="291" t="s">
        <v>532</v>
      </c>
      <c r="U53" s="294"/>
      <c r="V53" s="294"/>
      <c r="W53" s="294"/>
      <c r="X53" s="294"/>
      <c r="Y53" s="294"/>
      <c r="Z53" s="294"/>
      <c r="AA53" s="294"/>
      <c r="AB53" s="294"/>
      <c r="AC53" s="293"/>
      <c r="AD53" s="294"/>
      <c r="AE53" s="294"/>
      <c r="AF53" s="294"/>
      <c r="AG53" s="294"/>
      <c r="AH53" s="294"/>
      <c r="AI53" s="294"/>
      <c r="AJ53" s="294"/>
      <c r="AK53" s="293"/>
      <c r="AL53" s="2202"/>
      <c r="AM53" s="2203"/>
      <c r="AN53" s="2204"/>
      <c r="AO53" s="2205"/>
      <c r="AP53" s="2206"/>
      <c r="AQ53" s="2207"/>
      <c r="AR53" s="2208"/>
      <c r="AS53" s="2209"/>
      <c r="AT53" s="294"/>
      <c r="AU53" s="221"/>
      <c r="AW53" s="425"/>
      <c r="AX53" s="425" t="str">
        <f t="shared" si="1"/>
        <v>Добавить схему подключения</v>
      </c>
      <c r="AY53" s="425"/>
      <c r="AZ53" s="425"/>
    </row>
    <row r="54" spans="1:52" s="2167" customFormat="1" ht="0.75" customHeight="1">
      <c r="A54" s="1259" t="s">
        <v>164</v>
      </c>
      <c r="B54" s="1259" t="s">
        <v>165</v>
      </c>
      <c r="C54" s="1259" t="s">
        <v>166</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169"/>
      <c r="AM54" s="2169"/>
      <c r="AN54" s="2169"/>
      <c r="AO54" s="2169"/>
      <c r="AP54" s="2169"/>
      <c r="AQ54" s="2169"/>
      <c r="AR54" s="2169"/>
      <c r="AS54" s="2169"/>
      <c r="AT54" s="1241"/>
      <c r="AU54" s="1241"/>
      <c r="AW54" s="705"/>
      <c r="AX54" s="705" t="str">
        <f t="shared" si="1"/>
        <v>Добавить источник для дифференциации</v>
      </c>
      <c r="AY54" s="705"/>
      <c r="AZ54" s="705"/>
    </row>
    <row r="55" spans="1:52" s="2167" customFormat="1" ht="0.75" customHeight="1">
      <c r="A55" s="1259" t="s">
        <v>164</v>
      </c>
      <c r="B55" s="1259" t="s">
        <v>165</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169"/>
      <c r="AM55" s="2169"/>
      <c r="AN55" s="2169"/>
      <c r="AO55" s="2169"/>
      <c r="AP55" s="2169"/>
      <c r="AQ55" s="2169"/>
      <c r="AR55" s="2169"/>
      <c r="AS55" s="2169"/>
      <c r="AT55" s="1241"/>
      <c r="AU55" s="1241"/>
      <c r="AW55" s="705"/>
      <c r="AX55" s="705" t="str">
        <f t="shared" si="1"/>
        <v>Добавить централизованную систему для дифференциации</v>
      </c>
      <c r="AY55" s="705"/>
      <c r="AZ55" s="705"/>
    </row>
    <row r="56" spans="1:52" s="2210" customFormat="1" ht="21" customHeight="1">
      <c r="A56" s="2211"/>
      <c r="B56" s="2211" t="s">
        <v>171</v>
      </c>
      <c r="C56" s="2211"/>
      <c r="D56" s="2211"/>
      <c r="E56" s="5315"/>
      <c r="F56" s="5314" t="s">
        <v>98</v>
      </c>
      <c r="G56" s="2211"/>
      <c r="H56" s="2211"/>
      <c r="I56" s="2211"/>
      <c r="J56" s="2211"/>
      <c r="K56" s="2211"/>
      <c r="L56" s="2212"/>
      <c r="M56" s="2213"/>
      <c r="N56" s="2213"/>
      <c r="O56" s="2213"/>
      <c r="P56" s="2214"/>
      <c r="Q56" s="2215"/>
      <c r="R56" s="2216"/>
      <c r="S56" s="2217" t="str">
        <f>INDEX(PT_DIFFERENTIATION_NUM_TER,MATCH(B56,PT_DIFFERENTIATION_TER_ID,0))</f>
        <v>1.2</v>
      </c>
      <c r="T56" s="2218" t="s">
        <v>516</v>
      </c>
      <c r="U56" s="2219"/>
      <c r="V56" s="5300"/>
      <c r="W56" s="5301"/>
      <c r="X56" s="5301"/>
      <c r="Y56" s="5301"/>
      <c r="Z56" s="5301"/>
      <c r="AA56" s="5301"/>
      <c r="AB56" s="5301"/>
      <c r="AC56" s="5302"/>
      <c r="AD56" s="5300" t="str">
        <f>INDEX(PT_DIFFERENTIATION_TER,MATCH(B56,PT_DIFFERENTIATION_TER_ID,0))</f>
        <v>Территория 2</v>
      </c>
      <c r="AE56" s="5301"/>
      <c r="AF56" s="5301"/>
      <c r="AG56" s="5301"/>
      <c r="AH56" s="5301"/>
      <c r="AI56" s="5301"/>
      <c r="AJ56" s="5301"/>
      <c r="AK56" s="5301"/>
      <c r="AL56" s="5300"/>
      <c r="AM56" s="5301"/>
      <c r="AN56" s="5301"/>
      <c r="AO56" s="5301"/>
      <c r="AP56" s="5301"/>
      <c r="AQ56" s="5301"/>
      <c r="AR56" s="5301"/>
      <c r="AS56" s="5302"/>
      <c r="AT56" s="5302"/>
      <c r="AU56" s="2220" t="s">
        <v>517</v>
      </c>
      <c r="AV56" s="2182"/>
      <c r="AW56" s="2221"/>
      <c r="AX56" s="2221" t="str">
        <f t="shared" si="1"/>
        <v>Территория действия тарифа</v>
      </c>
      <c r="AY56" s="2221"/>
      <c r="AZ56" s="2221"/>
    </row>
    <row r="57" spans="1:52" s="2222" customFormat="1" ht="23.25" customHeight="1">
      <c r="A57" s="2211"/>
      <c r="B57" s="2211"/>
      <c r="C57" s="2211" t="s">
        <v>172</v>
      </c>
      <c r="D57" s="2211"/>
      <c r="E57" s="5315"/>
      <c r="F57" s="5315">
        <v>1</v>
      </c>
      <c r="G57" s="5314">
        <v>1</v>
      </c>
      <c r="H57" s="2211"/>
      <c r="I57" s="2211"/>
      <c r="J57" s="2211"/>
      <c r="K57" s="2211"/>
      <c r="L57" s="2212"/>
      <c r="M57" s="2213"/>
      <c r="N57" s="2213"/>
      <c r="O57" s="2213"/>
      <c r="P57" s="2223"/>
      <c r="Q57" s="2215"/>
      <c r="R57" s="2216"/>
      <c r="S57" s="2217" t="str">
        <f>INDEX(PT_DIFFERENTIATION_NUM_CS,MATCH(C57,PT_DIFFERENTIATION_CS_ID,0))</f>
        <v>1.2.1</v>
      </c>
      <c r="T57" s="2224" t="s">
        <v>518</v>
      </c>
      <c r="U57" s="2219"/>
      <c r="V57" s="5300"/>
      <c r="W57" s="5301"/>
      <c r="X57" s="5301"/>
      <c r="Y57" s="5301"/>
      <c r="Z57" s="5301"/>
      <c r="AA57" s="5301"/>
      <c r="AB57" s="5301"/>
      <c r="AC57" s="5302"/>
      <c r="AD57" s="5300" t="str">
        <f>INDEX(PT_DIFFERENTIATION_CS,MATCH(C57,PT_DIFFERENTIATION_CS_ID,0))</f>
        <v>открытая система теплоснабжения г. Кировск</v>
      </c>
      <c r="AE57" s="5301"/>
      <c r="AF57" s="5301"/>
      <c r="AG57" s="5301"/>
      <c r="AH57" s="5301"/>
      <c r="AI57" s="5301"/>
      <c r="AJ57" s="5301"/>
      <c r="AK57" s="5301"/>
      <c r="AL57" s="5300"/>
      <c r="AM57" s="5301"/>
      <c r="AN57" s="5301"/>
      <c r="AO57" s="5301"/>
      <c r="AP57" s="5301"/>
      <c r="AQ57" s="5301"/>
      <c r="AR57" s="5301"/>
      <c r="AS57" s="5302"/>
      <c r="AT57" s="5302"/>
      <c r="AU57" s="2220" t="s">
        <v>519</v>
      </c>
      <c r="AV57" s="2182"/>
      <c r="AW57" s="2221"/>
      <c r="AX57" s="2221" t="str">
        <f t="shared" si="1"/>
        <v xml:space="preserve">Наименование системы теплоснабжения </v>
      </c>
      <c r="AY57" s="2221"/>
      <c r="AZ57" s="2221"/>
    </row>
    <row r="58" spans="1:52" s="2225" customFormat="1" ht="21" customHeight="1">
      <c r="A58" s="2211"/>
      <c r="B58" s="2211"/>
      <c r="C58" s="2211"/>
      <c r="D58" s="2211" t="s">
        <v>173</v>
      </c>
      <c r="E58" s="5315"/>
      <c r="F58" s="5315">
        <v>1</v>
      </c>
      <c r="G58" s="5315"/>
      <c r="H58" s="5314">
        <v>1</v>
      </c>
      <c r="I58" s="2211"/>
      <c r="J58" s="2211"/>
      <c r="K58" s="2211"/>
      <c r="L58" s="2212"/>
      <c r="M58" s="2213"/>
      <c r="N58" s="2213"/>
      <c r="O58" s="2213"/>
      <c r="P58" s="2223"/>
      <c r="Q58" s="2215"/>
      <c r="R58" s="2216"/>
      <c r="S58" s="2217" t="str">
        <f>INDEX(PT_DIFFERENTIATION_NUM_IST_TE,MATCH(D58,PT_DIFFERENTIATION_IST_TE_ID,0))</f>
        <v>1.2.1.1</v>
      </c>
      <c r="T58" s="2226" t="s">
        <v>520</v>
      </c>
      <c r="U58" s="2219"/>
      <c r="V58" s="5300"/>
      <c r="W58" s="5301"/>
      <c r="X58" s="5301"/>
      <c r="Y58" s="5301"/>
      <c r="Z58" s="5301"/>
      <c r="AA58" s="5301"/>
      <c r="AB58" s="5301"/>
      <c r="AC58" s="5302"/>
      <c r="AD58" s="5300" t="str">
        <f>INDEX(PT_DIFFERENTIATION_IST_TE,MATCH(D58,PT_DIFFERENTIATION_IST_TE_ID,0))</f>
        <v>Апатитская ТЭЦ</v>
      </c>
      <c r="AE58" s="5301"/>
      <c r="AF58" s="5301"/>
      <c r="AG58" s="5301"/>
      <c r="AH58" s="5301"/>
      <c r="AI58" s="5301"/>
      <c r="AJ58" s="5301"/>
      <c r="AK58" s="5301"/>
      <c r="AL58" s="5300"/>
      <c r="AM58" s="5301"/>
      <c r="AN58" s="5301"/>
      <c r="AO58" s="5301"/>
      <c r="AP58" s="5301"/>
      <c r="AQ58" s="5301"/>
      <c r="AR58" s="5301"/>
      <c r="AS58" s="5302"/>
      <c r="AT58" s="5302"/>
      <c r="AU58" s="2220" t="s">
        <v>521</v>
      </c>
      <c r="AV58" s="2182"/>
      <c r="AW58" s="2221"/>
      <c r="AX58" s="2221" t="str">
        <f t="shared" si="1"/>
        <v xml:space="preserve">Источник тепловой энергии  </v>
      </c>
      <c r="AY58" s="2221"/>
      <c r="AZ58" s="2221"/>
    </row>
    <row r="59" spans="1:52" s="2227" customFormat="1" ht="47.25" customHeight="1">
      <c r="A59" s="2211"/>
      <c r="B59" s="2211"/>
      <c r="C59" s="2211"/>
      <c r="D59" s="2211"/>
      <c r="E59" s="5315"/>
      <c r="F59" s="5315">
        <v>1</v>
      </c>
      <c r="G59" s="5315"/>
      <c r="H59" s="5315"/>
      <c r="I59" s="5312" t="str">
        <f>S58&amp;".1"</f>
        <v>1.2.1.1.1</v>
      </c>
      <c r="J59" s="2211"/>
      <c r="K59" s="2211"/>
      <c r="L59" s="2212" t="s">
        <v>522</v>
      </c>
      <c r="M59" s="2174"/>
      <c r="N59" s="2228"/>
      <c r="O59" s="2228"/>
      <c r="P59" s="5313">
        <v>1</v>
      </c>
      <c r="Q59" s="2229"/>
      <c r="R59" s="2230"/>
      <c r="S59" s="2217" t="str">
        <f>$I59</f>
        <v>1.2.1.1.1</v>
      </c>
      <c r="T59" s="2231" t="s">
        <v>523</v>
      </c>
      <c r="U59" s="2219"/>
      <c r="V59" s="5303"/>
      <c r="W59" s="5304"/>
      <c r="X59" s="5304"/>
      <c r="Y59" s="5304"/>
      <c r="Z59" s="5304"/>
      <c r="AA59" s="5304"/>
      <c r="AB59" s="5304"/>
      <c r="AC59" s="5305"/>
      <c r="AD59" s="5303" t="s">
        <v>564</v>
      </c>
      <c r="AE59" s="5304"/>
      <c r="AF59" s="5304"/>
      <c r="AG59" s="5304"/>
      <c r="AH59" s="5304"/>
      <c r="AI59" s="5304"/>
      <c r="AJ59" s="5304"/>
      <c r="AK59" s="5304"/>
      <c r="AL59" s="5303"/>
      <c r="AM59" s="5304"/>
      <c r="AN59" s="5304"/>
      <c r="AO59" s="5304"/>
      <c r="AP59" s="5304"/>
      <c r="AQ59" s="5304"/>
      <c r="AR59" s="5304"/>
      <c r="AS59" s="5305"/>
      <c r="AT59" s="5305"/>
      <c r="AU59" s="2220" t="s">
        <v>524</v>
      </c>
      <c r="AV59" s="2182"/>
      <c r="AW59" s="2221"/>
      <c r="AX59" s="2221" t="str">
        <f t="shared" si="1"/>
        <v>Схема подключения теплопотребляющей установки к коллектору источника тепловой энергии</v>
      </c>
      <c r="AY59" s="2221"/>
      <c r="AZ59" s="2221"/>
    </row>
    <row r="60" spans="1:52" s="2232" customFormat="1" ht="21" customHeight="1">
      <c r="A60" s="2211"/>
      <c r="B60" s="2211"/>
      <c r="C60" s="2211"/>
      <c r="D60" s="2211"/>
      <c r="E60" s="5315"/>
      <c r="F60" s="5315">
        <v>1</v>
      </c>
      <c r="G60" s="5315"/>
      <c r="H60" s="5315"/>
      <c r="I60" s="5335"/>
      <c r="J60" s="5312" t="str">
        <f>I59&amp;".1"</f>
        <v>1.2.1.1.1.1</v>
      </c>
      <c r="K60" s="2211"/>
      <c r="L60" s="2212" t="s">
        <v>525</v>
      </c>
      <c r="M60" s="2174"/>
      <c r="N60" s="2174"/>
      <c r="O60" s="2228"/>
      <c r="P60" s="5313"/>
      <c r="Q60" s="5313">
        <v>1</v>
      </c>
      <c r="R60" s="2233"/>
      <c r="S60" s="2217" t="str">
        <f>$J60</f>
        <v>1.2.1.1.1.1</v>
      </c>
      <c r="T60" s="2234" t="s">
        <v>526</v>
      </c>
      <c r="U60" s="2219"/>
      <c r="V60" s="5303"/>
      <c r="W60" s="5304"/>
      <c r="X60" s="5304"/>
      <c r="Y60" s="5304"/>
      <c r="Z60" s="5304"/>
      <c r="AA60" s="5304"/>
      <c r="AB60" s="5304"/>
      <c r="AC60" s="5305"/>
      <c r="AD60" s="5303" t="s">
        <v>565</v>
      </c>
      <c r="AE60" s="5304"/>
      <c r="AF60" s="5304"/>
      <c r="AG60" s="5304"/>
      <c r="AH60" s="5304"/>
      <c r="AI60" s="5304"/>
      <c r="AJ60" s="5304"/>
      <c r="AK60" s="5304"/>
      <c r="AL60" s="5303"/>
      <c r="AM60" s="5304"/>
      <c r="AN60" s="5304"/>
      <c r="AO60" s="5304"/>
      <c r="AP60" s="5304"/>
      <c r="AQ60" s="5304"/>
      <c r="AR60" s="5304"/>
      <c r="AS60" s="5305"/>
      <c r="AT60" s="5305"/>
      <c r="AU60" s="2220" t="s">
        <v>527</v>
      </c>
      <c r="AV60" s="2182"/>
      <c r="AW60" s="2221"/>
      <c r="AX60" s="2221" t="str">
        <f t="shared" si="1"/>
        <v>Группа потребителей</v>
      </c>
      <c r="AY60" s="2221"/>
      <c r="AZ60" s="2221"/>
    </row>
    <row r="61" spans="1:52" s="2235" customFormat="1" ht="21" customHeight="1">
      <c r="A61" s="2211"/>
      <c r="B61" s="2211"/>
      <c r="C61" s="2211"/>
      <c r="D61" s="2211"/>
      <c r="E61" s="5315"/>
      <c r="F61" s="5315">
        <v>1</v>
      </c>
      <c r="G61" s="5315"/>
      <c r="H61" s="5315"/>
      <c r="I61" s="5335"/>
      <c r="J61" s="5335"/>
      <c r="K61" s="5312" t="str">
        <f>J60&amp;".1"</f>
        <v>1.2.1.1.1.1.1</v>
      </c>
      <c r="L61" s="2212" t="s">
        <v>528</v>
      </c>
      <c r="M61" s="2174"/>
      <c r="N61" s="2174"/>
      <c r="O61" s="2174"/>
      <c r="P61" s="5313"/>
      <c r="Q61" s="5313"/>
      <c r="R61" s="2233">
        <v>1</v>
      </c>
      <c r="S61" s="2217" t="str">
        <f>$K61</f>
        <v>1.2.1.1.1.1.1</v>
      </c>
      <c r="T61" s="2236" t="s">
        <v>566</v>
      </c>
      <c r="U61" s="2219"/>
      <c r="V61" s="2139"/>
      <c r="W61" s="2140"/>
      <c r="X61" s="2139"/>
      <c r="Y61" s="2141"/>
      <c r="Z61" s="5317"/>
      <c r="AA61" s="5161" t="s">
        <v>62</v>
      </c>
      <c r="AB61" s="5317"/>
      <c r="AC61" s="5161" t="s">
        <v>62</v>
      </c>
      <c r="AD61" s="2139">
        <v>1642.09</v>
      </c>
      <c r="AE61" s="2140"/>
      <c r="AF61" s="2139"/>
      <c r="AG61" s="2141"/>
      <c r="AH61" s="5317">
        <v>45658.462777777779</v>
      </c>
      <c r="AI61" s="5161" t="s">
        <v>62</v>
      </c>
      <c r="AJ61" s="5317">
        <v>45838.462847222225</v>
      </c>
      <c r="AK61" s="5161" t="s">
        <v>62</v>
      </c>
      <c r="AL61" s="2139">
        <v>2453.1999999999998</v>
      </c>
      <c r="AM61" s="2140"/>
      <c r="AN61" s="2139"/>
      <c r="AO61" s="2141"/>
      <c r="AP61" s="5317">
        <v>45839.463738425926</v>
      </c>
      <c r="AQ61" s="5161" t="s">
        <v>62</v>
      </c>
      <c r="AR61" s="5317">
        <v>46022.463877314818</v>
      </c>
      <c r="AS61" s="5161" t="s">
        <v>62</v>
      </c>
      <c r="AT61" s="2140"/>
      <c r="AU61" s="5309" t="s">
        <v>529</v>
      </c>
      <c r="AV61" s="2182" t="e">
        <f ca="1">STRCHECKDATE(V62:AT62)</f>
        <v>#NAME?</v>
      </c>
      <c r="AW61" s="2221"/>
      <c r="AX61" s="2221" t="str">
        <f t="shared" si="1"/>
        <v>вода</v>
      </c>
      <c r="AY61" s="2221"/>
      <c r="AZ61" s="2221"/>
    </row>
    <row r="62" spans="1:52" s="2237" customFormat="1" ht="0.75" customHeight="1">
      <c r="A62" s="2211"/>
      <c r="B62" s="2211"/>
      <c r="C62" s="2211"/>
      <c r="D62" s="2211"/>
      <c r="E62" s="5315"/>
      <c r="F62" s="5315">
        <v>1</v>
      </c>
      <c r="G62" s="5315"/>
      <c r="H62" s="5315"/>
      <c r="I62" s="5335"/>
      <c r="J62" s="5335"/>
      <c r="K62" s="5312"/>
      <c r="L62" s="2212"/>
      <c r="M62" s="2174"/>
      <c r="N62" s="2174"/>
      <c r="O62" s="2174"/>
      <c r="P62" s="5313"/>
      <c r="Q62" s="5313"/>
      <c r="R62" s="2233"/>
      <c r="S62" s="2238"/>
      <c r="T62" s="2219"/>
      <c r="U62" s="2219"/>
      <c r="V62" s="2140"/>
      <c r="W62" s="2140"/>
      <c r="X62" s="2140"/>
      <c r="Y62" s="2142" t="str">
        <f>Z61&amp;"-"&amp;AB61</f>
        <v>-</v>
      </c>
      <c r="Z62" s="5318"/>
      <c r="AA62" s="5161"/>
      <c r="AB62" s="5318"/>
      <c r="AC62" s="5161"/>
      <c r="AD62" s="2140"/>
      <c r="AE62" s="2140"/>
      <c r="AF62" s="2140"/>
      <c r="AG62" s="2142" t="str">
        <f>AH61&amp;"-"&amp;AJ61</f>
        <v>45658,4627777778-45838,4628472222</v>
      </c>
      <c r="AH62" s="5318"/>
      <c r="AI62" s="5161"/>
      <c r="AJ62" s="5318"/>
      <c r="AK62" s="5161"/>
      <c r="AL62" s="2140"/>
      <c r="AM62" s="2140"/>
      <c r="AN62" s="2140"/>
      <c r="AO62" s="2142" t="str">
        <f>AP61&amp;"-"&amp;AR61</f>
        <v>45839,4637384259-46022,4638773148</v>
      </c>
      <c r="AP62" s="5318"/>
      <c r="AQ62" s="5161"/>
      <c r="AR62" s="5318"/>
      <c r="AS62" s="5161"/>
      <c r="AT62" s="2140"/>
      <c r="AU62" s="5310"/>
      <c r="AV62" s="2182"/>
      <c r="AW62" s="2221"/>
      <c r="AX62" s="2221" t="str">
        <f t="shared" si="1"/>
        <v/>
      </c>
      <c r="AY62" s="2221"/>
      <c r="AZ62" s="2221"/>
    </row>
    <row r="63" spans="1:52" s="2239" customFormat="1" ht="15" customHeight="1">
      <c r="A63" s="2211"/>
      <c r="B63" s="2211"/>
      <c r="C63" s="2211"/>
      <c r="D63" s="2211"/>
      <c r="E63" s="5315"/>
      <c r="F63" s="5315">
        <v>1</v>
      </c>
      <c r="G63" s="5315"/>
      <c r="H63" s="5315"/>
      <c r="I63" s="5335"/>
      <c r="J63" s="5312"/>
      <c r="K63" s="2211"/>
      <c r="L63" s="2212"/>
      <c r="M63" s="2174"/>
      <c r="N63" s="2174"/>
      <c r="O63" s="2228"/>
      <c r="P63" s="5313"/>
      <c r="Q63" s="5313"/>
      <c r="R63" s="2230"/>
      <c r="S63" s="2240"/>
      <c r="T63" s="2241" t="s">
        <v>530</v>
      </c>
      <c r="U63" s="2242"/>
      <c r="V63" s="2243"/>
      <c r="W63" s="2244"/>
      <c r="X63" s="2245"/>
      <c r="Y63" s="2246"/>
      <c r="Z63" s="2247"/>
      <c r="AA63" s="2248"/>
      <c r="AB63" s="2249"/>
      <c r="AC63" s="2250"/>
      <c r="AD63" s="2251"/>
      <c r="AE63" s="2252"/>
      <c r="AF63" s="2253"/>
      <c r="AG63" s="2254"/>
      <c r="AH63" s="2255"/>
      <c r="AI63" s="2256"/>
      <c r="AJ63" s="2257"/>
      <c r="AK63" s="2258"/>
      <c r="AL63" s="2259"/>
      <c r="AM63" s="2260"/>
      <c r="AN63" s="2261"/>
      <c r="AO63" s="2262"/>
      <c r="AP63" s="2263"/>
      <c r="AQ63" s="2264"/>
      <c r="AR63" s="2265"/>
      <c r="AS63" s="2266"/>
      <c r="AT63" s="2267"/>
      <c r="AU63" s="5311"/>
      <c r="AV63" s="2182"/>
      <c r="AW63" s="2221"/>
      <c r="AX63" s="2221" t="str">
        <f t="shared" si="1"/>
        <v>Добавить вид теплоносителя (параметры теплоносителя)</v>
      </c>
      <c r="AY63" s="2221"/>
      <c r="AZ63" s="2221"/>
    </row>
    <row r="64" spans="1:52" s="2268" customFormat="1" ht="15" customHeight="1">
      <c r="A64" s="2211"/>
      <c r="B64" s="2211"/>
      <c r="C64" s="2211"/>
      <c r="D64" s="2211"/>
      <c r="E64" s="5315"/>
      <c r="F64" s="5315">
        <v>1</v>
      </c>
      <c r="G64" s="5315"/>
      <c r="H64" s="5315"/>
      <c r="I64" s="5312"/>
      <c r="J64" s="2211"/>
      <c r="K64" s="2211"/>
      <c r="L64" s="2212"/>
      <c r="M64" s="2174"/>
      <c r="N64" s="2228"/>
      <c r="O64" s="2228"/>
      <c r="P64" s="5313"/>
      <c r="Q64" s="2229"/>
      <c r="R64" s="2230"/>
      <c r="S64" s="2269"/>
      <c r="T64" s="2270" t="s">
        <v>531</v>
      </c>
      <c r="U64" s="2271"/>
      <c r="V64" s="2272"/>
      <c r="W64" s="2273"/>
      <c r="X64" s="2274"/>
      <c r="Y64" s="2275"/>
      <c r="Z64" s="2276"/>
      <c r="AA64" s="2277"/>
      <c r="AB64" s="2278"/>
      <c r="AC64" s="2279"/>
      <c r="AD64" s="2280"/>
      <c r="AE64" s="2281"/>
      <c r="AF64" s="2282"/>
      <c r="AG64" s="2283"/>
      <c r="AH64" s="2284"/>
      <c r="AI64" s="2285"/>
      <c r="AJ64" s="2286"/>
      <c r="AK64" s="2287"/>
      <c r="AL64" s="2288"/>
      <c r="AM64" s="2289"/>
      <c r="AN64" s="2290"/>
      <c r="AO64" s="2291"/>
      <c r="AP64" s="2292"/>
      <c r="AQ64" s="2293"/>
      <c r="AR64" s="2294"/>
      <c r="AS64" s="2295"/>
      <c r="AT64" s="2296"/>
      <c r="AU64" s="2297"/>
      <c r="AV64" s="2182"/>
      <c r="AW64" s="2221"/>
      <c r="AX64" s="2221" t="str">
        <f t="shared" si="1"/>
        <v>Добавить группу потребителей</v>
      </c>
      <c r="AY64" s="2221"/>
      <c r="AZ64" s="2221"/>
    </row>
    <row r="65" spans="1:52" s="2298" customFormat="1" ht="14.25" customHeight="1">
      <c r="A65" s="2211"/>
      <c r="B65" s="2211"/>
      <c r="C65" s="2211"/>
      <c r="D65" s="2211"/>
      <c r="E65" s="5315"/>
      <c r="F65" s="5315">
        <v>1</v>
      </c>
      <c r="G65" s="5315"/>
      <c r="H65" s="5314"/>
      <c r="I65" s="2211"/>
      <c r="J65" s="2211"/>
      <c r="K65" s="2211"/>
      <c r="L65" s="2212"/>
      <c r="M65" s="2213"/>
      <c r="N65" s="2213"/>
      <c r="O65" s="2174"/>
      <c r="P65" s="2299"/>
      <c r="Q65" s="2300"/>
      <c r="R65" s="2301"/>
      <c r="S65" s="2302"/>
      <c r="T65" s="2303" t="s">
        <v>532</v>
      </c>
      <c r="U65" s="2304"/>
      <c r="V65" s="2305"/>
      <c r="W65" s="2306"/>
      <c r="X65" s="2307"/>
      <c r="Y65" s="2308"/>
      <c r="Z65" s="2309"/>
      <c r="AA65" s="2310"/>
      <c r="AB65" s="2311"/>
      <c r="AC65" s="2312"/>
      <c r="AD65" s="2313"/>
      <c r="AE65" s="2314"/>
      <c r="AF65" s="2315"/>
      <c r="AG65" s="2316"/>
      <c r="AH65" s="2317"/>
      <c r="AI65" s="2318"/>
      <c r="AJ65" s="2319"/>
      <c r="AK65" s="2320"/>
      <c r="AL65" s="2321"/>
      <c r="AM65" s="2322"/>
      <c r="AN65" s="2323"/>
      <c r="AO65" s="2324"/>
      <c r="AP65" s="2325"/>
      <c r="AQ65" s="2326"/>
      <c r="AR65" s="2327"/>
      <c r="AS65" s="2328"/>
      <c r="AT65" s="2329"/>
      <c r="AU65" s="2330"/>
      <c r="AV65" s="2182"/>
      <c r="AW65" s="2221"/>
      <c r="AX65" s="2221" t="str">
        <f t="shared" si="1"/>
        <v>Добавить схему подключения</v>
      </c>
      <c r="AY65" s="2221"/>
      <c r="AZ65" s="2221"/>
    </row>
    <row r="66" spans="1:52" s="2331" customFormat="1" ht="0.75" customHeight="1">
      <c r="A66" s="2332"/>
      <c r="B66" s="2332"/>
      <c r="C66" s="2332"/>
      <c r="D66" s="2332"/>
      <c r="E66" s="5315"/>
      <c r="F66" s="5315">
        <v>1</v>
      </c>
      <c r="G66" s="5314"/>
      <c r="H66" s="2332"/>
      <c r="I66" s="2332"/>
      <c r="J66" s="2332"/>
      <c r="K66" s="2332"/>
      <c r="L66" s="2333"/>
      <c r="M66" s="2334"/>
      <c r="N66" s="2334"/>
      <c r="O66" s="2182"/>
      <c r="P66" s="2335"/>
      <c r="Q66" s="2336"/>
      <c r="R66" s="2335"/>
      <c r="S66" s="2337"/>
      <c r="T66" s="2338" t="s">
        <v>168</v>
      </c>
      <c r="U66" s="2168"/>
      <c r="V66" s="2168"/>
      <c r="W66" s="2168"/>
      <c r="X66" s="2168"/>
      <c r="Y66" s="2168"/>
      <c r="Z66" s="2168"/>
      <c r="AA66" s="2168"/>
      <c r="AB66" s="2168"/>
      <c r="AC66" s="2168"/>
      <c r="AD66" s="2168"/>
      <c r="AE66" s="2168"/>
      <c r="AF66" s="2168"/>
      <c r="AG66" s="2168"/>
      <c r="AH66" s="2168"/>
      <c r="AI66" s="2168"/>
      <c r="AJ66" s="2168"/>
      <c r="AK66" s="2168"/>
      <c r="AL66" s="2168"/>
      <c r="AM66" s="2168"/>
      <c r="AN66" s="2168"/>
      <c r="AO66" s="2168"/>
      <c r="AP66" s="2168"/>
      <c r="AQ66" s="2168"/>
      <c r="AR66" s="2168"/>
      <c r="AS66" s="2168"/>
      <c r="AT66" s="2168"/>
      <c r="AU66" s="2168"/>
      <c r="AV66" s="2182"/>
      <c r="AW66" s="2221"/>
      <c r="AX66" s="2221" t="str">
        <f t="shared" si="1"/>
        <v>Добавить источник для дифференциации</v>
      </c>
      <c r="AY66" s="2221"/>
      <c r="AZ66" s="2221"/>
    </row>
    <row r="67" spans="1:52" s="2339" customFormat="1" ht="0.75" customHeight="1">
      <c r="A67" s="2332"/>
      <c r="B67" s="2332"/>
      <c r="C67" s="2332"/>
      <c r="D67" s="2332"/>
      <c r="E67" s="5315"/>
      <c r="F67" s="5314">
        <v>1</v>
      </c>
      <c r="G67" s="2332"/>
      <c r="H67" s="2332"/>
      <c r="I67" s="2332"/>
      <c r="J67" s="2332"/>
      <c r="K67" s="2332"/>
      <c r="L67" s="2333"/>
      <c r="M67" s="2340"/>
      <c r="N67" s="2340"/>
      <c r="O67" s="2182"/>
      <c r="P67" s="2335"/>
      <c r="Q67" s="2336"/>
      <c r="R67" s="2335"/>
      <c r="S67" s="2341"/>
      <c r="T67" s="2342" t="s">
        <v>169</v>
      </c>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82"/>
      <c r="AW67" s="2221"/>
      <c r="AX67" s="2221" t="str">
        <f t="shared" si="1"/>
        <v>Добавить централизованную систему для дифференциации</v>
      </c>
      <c r="AY67" s="2221"/>
      <c r="AZ67" s="2221"/>
    </row>
    <row r="68" spans="1:52" s="1819" customFormat="1" ht="0.75" customHeight="1">
      <c r="A68" s="1259" t="s">
        <v>164</v>
      </c>
      <c r="B68" s="1259"/>
      <c r="C68" s="1259"/>
      <c r="D68" s="1259"/>
      <c r="E68" s="5314"/>
      <c r="F68" s="1259"/>
      <c r="G68" s="1259"/>
      <c r="H68" s="1259"/>
      <c r="I68" s="1259"/>
      <c r="J68" s="1259"/>
      <c r="K68" s="1259"/>
      <c r="L68" s="1262"/>
      <c r="M68" s="1238"/>
      <c r="N68" s="1238"/>
      <c r="O68" s="443"/>
      <c r="P68" s="312"/>
      <c r="Q68" s="1260"/>
      <c r="R68" s="312"/>
      <c r="S68" s="1239"/>
      <c r="T68" s="1242" t="s">
        <v>174</v>
      </c>
      <c r="U68" s="1241"/>
      <c r="V68" s="1241"/>
      <c r="W68" s="1241"/>
      <c r="X68" s="1241"/>
      <c r="Y68" s="1241"/>
      <c r="Z68" s="1241"/>
      <c r="AA68" s="1241"/>
      <c r="AB68" s="1241"/>
      <c r="AC68" s="1241"/>
      <c r="AD68" s="1241"/>
      <c r="AE68" s="1241"/>
      <c r="AF68" s="1241"/>
      <c r="AG68" s="1241"/>
      <c r="AH68" s="1241"/>
      <c r="AI68" s="1241"/>
      <c r="AJ68" s="1241"/>
      <c r="AK68" s="1241"/>
      <c r="AL68" s="2169"/>
      <c r="AM68" s="2169"/>
      <c r="AN68" s="2169"/>
      <c r="AO68" s="2169"/>
      <c r="AP68" s="2169"/>
      <c r="AQ68" s="2169"/>
      <c r="AR68" s="2169"/>
      <c r="AS68" s="2169"/>
      <c r="AT68" s="1241"/>
      <c r="AU68" s="1241"/>
      <c r="AW68" s="425"/>
      <c r="AX68" s="425" t="str">
        <f t="shared" si="1"/>
        <v>Добавить территорию для дифференциации</v>
      </c>
      <c r="AY68" s="425"/>
      <c r="AZ68" s="425"/>
    </row>
    <row r="69" spans="1:52" s="2343" customFormat="1" ht="21" customHeight="1">
      <c r="A69" s="2211" t="s">
        <v>176</v>
      </c>
      <c r="B69" s="2211"/>
      <c r="C69" s="2211"/>
      <c r="D69" s="2211"/>
      <c r="E69" s="5314" t="s">
        <v>98</v>
      </c>
      <c r="F69" s="2211"/>
      <c r="G69" s="2211"/>
      <c r="H69" s="2211"/>
      <c r="I69" s="2211"/>
      <c r="J69" s="2211"/>
      <c r="K69" s="2211"/>
      <c r="L69" s="2212"/>
      <c r="M69" s="2213"/>
      <c r="N69" s="2213"/>
      <c r="O69" s="2213"/>
      <c r="P69" s="2344"/>
      <c r="Q69" s="2299"/>
      <c r="R69" s="2301"/>
      <c r="S69" s="2217" t="str">
        <f>INDEX(PT_DIFFERENTIATION_NUM_NTAR,MATCH(A69,PT_DIFFERENTIATION_NTAR_ID,0))</f>
        <v>2</v>
      </c>
      <c r="T69" s="2345" t="s">
        <v>127</v>
      </c>
      <c r="U69" s="2219"/>
      <c r="V69" s="5300"/>
      <c r="W69" s="5301"/>
      <c r="X69" s="5301"/>
      <c r="Y69" s="5301"/>
      <c r="Z69" s="5301"/>
      <c r="AA69" s="5301"/>
      <c r="AB69" s="5301"/>
      <c r="AC69" s="5302"/>
      <c r="AD69" s="5300" t="str">
        <f>INDEX(PT_DIFFERENTIATION_NTAR,MATCH(A69,PT_DIFFERENTIATION_NTAR_ID,0))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AE69" s="5301"/>
      <c r="AF69" s="5301"/>
      <c r="AG69" s="5301"/>
      <c r="AH69" s="5301"/>
      <c r="AI69" s="5301"/>
      <c r="AJ69" s="5301"/>
      <c r="AK69" s="5301"/>
      <c r="AL69" s="5300"/>
      <c r="AM69" s="5301"/>
      <c r="AN69" s="5301"/>
      <c r="AO69" s="5301"/>
      <c r="AP69" s="5301"/>
      <c r="AQ69" s="5301"/>
      <c r="AR69" s="5301"/>
      <c r="AS69" s="5302"/>
      <c r="AT69" s="5302"/>
      <c r="AU69" s="2220" t="s">
        <v>515</v>
      </c>
      <c r="AV69" s="2182"/>
      <c r="AW69" s="2221"/>
      <c r="AX69" s="2221" t="str">
        <f t="shared" si="1"/>
        <v>Наименование тарифа</v>
      </c>
      <c r="AY69" s="2221"/>
      <c r="AZ69" s="2221"/>
    </row>
    <row r="70" spans="1:52" s="2346" customFormat="1" ht="21" customHeight="1">
      <c r="A70" s="2211"/>
      <c r="B70" s="2211" t="s">
        <v>177</v>
      </c>
      <c r="C70" s="2211"/>
      <c r="D70" s="2211"/>
      <c r="E70" s="5315">
        <v>1</v>
      </c>
      <c r="F70" s="5314">
        <v>1</v>
      </c>
      <c r="G70" s="2211"/>
      <c r="H70" s="2211"/>
      <c r="I70" s="2211"/>
      <c r="J70" s="2211"/>
      <c r="K70" s="2211"/>
      <c r="L70" s="2212"/>
      <c r="M70" s="2213"/>
      <c r="N70" s="2213"/>
      <c r="O70" s="2213"/>
      <c r="P70" s="2214"/>
      <c r="Q70" s="2215"/>
      <c r="R70" s="2216"/>
      <c r="S70" s="2217" t="str">
        <f>INDEX(PT_DIFFERENTIATION_NUM_TER,MATCH(B70,PT_DIFFERENTIATION_TER_ID,0))</f>
        <v>2.1</v>
      </c>
      <c r="T70" s="2218" t="s">
        <v>516</v>
      </c>
      <c r="U70" s="2219"/>
      <c r="V70" s="5300"/>
      <c r="W70" s="5301"/>
      <c r="X70" s="5301"/>
      <c r="Y70" s="5301"/>
      <c r="Z70" s="5301"/>
      <c r="AA70" s="5301"/>
      <c r="AB70" s="5301"/>
      <c r="AC70" s="5302"/>
      <c r="AD70" s="5300" t="str">
        <f>INDEX(PT_DIFFERENTIATION_TER,MATCH(B70,PT_DIFFERENTIATION_TER_ID,0))</f>
        <v>Территория 1</v>
      </c>
      <c r="AE70" s="5301"/>
      <c r="AF70" s="5301"/>
      <c r="AG70" s="5301"/>
      <c r="AH70" s="5301"/>
      <c r="AI70" s="5301"/>
      <c r="AJ70" s="5301"/>
      <c r="AK70" s="5301"/>
      <c r="AL70" s="5300"/>
      <c r="AM70" s="5301"/>
      <c r="AN70" s="5301"/>
      <c r="AO70" s="5301"/>
      <c r="AP70" s="5301"/>
      <c r="AQ70" s="5301"/>
      <c r="AR70" s="5301"/>
      <c r="AS70" s="5302"/>
      <c r="AT70" s="5302"/>
      <c r="AU70" s="2220" t="s">
        <v>517</v>
      </c>
      <c r="AV70" s="2182"/>
      <c r="AW70" s="2221"/>
      <c r="AX70" s="2221" t="str">
        <f t="shared" si="1"/>
        <v>Территория действия тарифа</v>
      </c>
      <c r="AY70" s="2221"/>
      <c r="AZ70" s="2221"/>
    </row>
    <row r="71" spans="1:52" s="2347" customFormat="1" ht="23.25" customHeight="1">
      <c r="A71" s="2211"/>
      <c r="B71" s="2211"/>
      <c r="C71" s="2211" t="s">
        <v>178</v>
      </c>
      <c r="D71" s="2211"/>
      <c r="E71" s="5315">
        <v>1</v>
      </c>
      <c r="F71" s="5315"/>
      <c r="G71" s="5314">
        <v>1</v>
      </c>
      <c r="H71" s="2211"/>
      <c r="I71" s="2211"/>
      <c r="J71" s="2211"/>
      <c r="K71" s="2211"/>
      <c r="L71" s="2212"/>
      <c r="M71" s="2213"/>
      <c r="N71" s="2213"/>
      <c r="O71" s="2213"/>
      <c r="P71" s="2223"/>
      <c r="Q71" s="2215"/>
      <c r="R71" s="2216"/>
      <c r="S71" s="2217" t="str">
        <f>INDEX(PT_DIFFERENTIATION_NUM_CS,MATCH(C71,PT_DIFFERENTIATION_CS_ID,0))</f>
        <v>2.1.1</v>
      </c>
      <c r="T71" s="2224" t="s">
        <v>518</v>
      </c>
      <c r="U71" s="2219"/>
      <c r="V71" s="5300"/>
      <c r="W71" s="5301"/>
      <c r="X71" s="5301"/>
      <c r="Y71" s="5301"/>
      <c r="Z71" s="5301"/>
      <c r="AA71" s="5301"/>
      <c r="AB71" s="5301"/>
      <c r="AC71" s="5302"/>
      <c r="AD71" s="5300" t="str">
        <f>INDEX(PT_DIFFERENTIATION_CS,MATCH(C71,PT_DIFFERENTIATION_CS_ID,0))</f>
        <v xml:space="preserve">открытая система теплоснабжения г. Апатиты
</v>
      </c>
      <c r="AE71" s="5301"/>
      <c r="AF71" s="5301"/>
      <c r="AG71" s="5301"/>
      <c r="AH71" s="5301"/>
      <c r="AI71" s="5301"/>
      <c r="AJ71" s="5301"/>
      <c r="AK71" s="5301"/>
      <c r="AL71" s="5300"/>
      <c r="AM71" s="5301"/>
      <c r="AN71" s="5301"/>
      <c r="AO71" s="5301"/>
      <c r="AP71" s="5301"/>
      <c r="AQ71" s="5301"/>
      <c r="AR71" s="5301"/>
      <c r="AS71" s="5302"/>
      <c r="AT71" s="5302"/>
      <c r="AU71" s="2220" t="s">
        <v>519</v>
      </c>
      <c r="AV71" s="2182"/>
      <c r="AW71" s="2221"/>
      <c r="AX71" s="2221" t="str">
        <f t="shared" si="1"/>
        <v xml:space="preserve">Наименование системы теплоснабжения </v>
      </c>
      <c r="AY71" s="2221"/>
      <c r="AZ71" s="2221"/>
    </row>
    <row r="72" spans="1:52" s="2348" customFormat="1" ht="21" customHeight="1">
      <c r="A72" s="2211"/>
      <c r="B72" s="2211"/>
      <c r="C72" s="2211"/>
      <c r="D72" s="2211" t="s">
        <v>179</v>
      </c>
      <c r="E72" s="5315">
        <v>1</v>
      </c>
      <c r="F72" s="5315"/>
      <c r="G72" s="5315"/>
      <c r="H72" s="5314">
        <v>1</v>
      </c>
      <c r="I72" s="2211"/>
      <c r="J72" s="2211"/>
      <c r="K72" s="2211"/>
      <c r="L72" s="2212"/>
      <c r="M72" s="2213"/>
      <c r="N72" s="2213"/>
      <c r="O72" s="2213"/>
      <c r="P72" s="2223"/>
      <c r="Q72" s="2215"/>
      <c r="R72" s="2216"/>
      <c r="S72" s="2217" t="str">
        <f>INDEX(PT_DIFFERENTIATION_NUM_IST_TE,MATCH(D72,PT_DIFFERENTIATION_IST_TE_ID,0))</f>
        <v>2.1.1.1</v>
      </c>
      <c r="T72" s="2226" t="s">
        <v>520</v>
      </c>
      <c r="U72" s="2219"/>
      <c r="V72" s="5300"/>
      <c r="W72" s="5301"/>
      <c r="X72" s="5301"/>
      <c r="Y72" s="5301"/>
      <c r="Z72" s="5301"/>
      <c r="AA72" s="5301"/>
      <c r="AB72" s="5301"/>
      <c r="AC72" s="5302"/>
      <c r="AD72" s="5300" t="str">
        <f>INDEX(PT_DIFFERENTIATION_IST_TE,MATCH(D72,PT_DIFFERENTIATION_IST_TE_ID,0))</f>
        <v>Апатитская ТЭЦ</v>
      </c>
      <c r="AE72" s="5301"/>
      <c r="AF72" s="5301"/>
      <c r="AG72" s="5301"/>
      <c r="AH72" s="5301"/>
      <c r="AI72" s="5301"/>
      <c r="AJ72" s="5301"/>
      <c r="AK72" s="5301"/>
      <c r="AL72" s="5300"/>
      <c r="AM72" s="5301"/>
      <c r="AN72" s="5301"/>
      <c r="AO72" s="5301"/>
      <c r="AP72" s="5301"/>
      <c r="AQ72" s="5301"/>
      <c r="AR72" s="5301"/>
      <c r="AS72" s="5302"/>
      <c r="AT72" s="5302"/>
      <c r="AU72" s="2220" t="s">
        <v>521</v>
      </c>
      <c r="AV72" s="2182"/>
      <c r="AW72" s="2221"/>
      <c r="AX72" s="2221" t="str">
        <f t="shared" si="1"/>
        <v xml:space="preserve">Источник тепловой энергии  </v>
      </c>
      <c r="AY72" s="2221"/>
      <c r="AZ72" s="2221"/>
    </row>
    <row r="73" spans="1:52" s="2349" customFormat="1" ht="47.25" customHeight="1">
      <c r="A73" s="2211"/>
      <c r="B73" s="2211"/>
      <c r="C73" s="2211"/>
      <c r="D73" s="2211"/>
      <c r="E73" s="5315">
        <v>1</v>
      </c>
      <c r="F73" s="5315"/>
      <c r="G73" s="5315"/>
      <c r="H73" s="5315"/>
      <c r="I73" s="5312" t="str">
        <f>S72&amp;".1"</f>
        <v>2.1.1.1.1</v>
      </c>
      <c r="J73" s="2211"/>
      <c r="K73" s="2211"/>
      <c r="L73" s="2212" t="s">
        <v>522</v>
      </c>
      <c r="M73" s="2174"/>
      <c r="N73" s="2228"/>
      <c r="O73" s="2228"/>
      <c r="P73" s="5313">
        <v>1</v>
      </c>
      <c r="Q73" s="2229"/>
      <c r="R73" s="2230"/>
      <c r="S73" s="2217" t="str">
        <f>$I73</f>
        <v>2.1.1.1.1</v>
      </c>
      <c r="T73" s="2231" t="s">
        <v>523</v>
      </c>
      <c r="U73" s="2219"/>
      <c r="V73" s="5303"/>
      <c r="W73" s="5304"/>
      <c r="X73" s="5304"/>
      <c r="Y73" s="5304"/>
      <c r="Z73" s="5304"/>
      <c r="AA73" s="5304"/>
      <c r="AB73" s="5304"/>
      <c r="AC73" s="5305"/>
      <c r="AD73" s="5303" t="s">
        <v>565</v>
      </c>
      <c r="AE73" s="5304"/>
      <c r="AF73" s="5304"/>
      <c r="AG73" s="5304"/>
      <c r="AH73" s="5304"/>
      <c r="AI73" s="5304"/>
      <c r="AJ73" s="5304"/>
      <c r="AK73" s="5304"/>
      <c r="AL73" s="5303"/>
      <c r="AM73" s="5304"/>
      <c r="AN73" s="5304"/>
      <c r="AO73" s="5304"/>
      <c r="AP73" s="5304"/>
      <c r="AQ73" s="5304"/>
      <c r="AR73" s="5304"/>
      <c r="AS73" s="5305"/>
      <c r="AT73" s="5305"/>
      <c r="AU73" s="2220" t="s">
        <v>524</v>
      </c>
      <c r="AV73" s="2182"/>
      <c r="AW73" s="2221"/>
      <c r="AX73" s="2221" t="str">
        <f t="shared" si="1"/>
        <v>Схема подключения теплопотребляющей установки к коллектору источника тепловой энергии</v>
      </c>
      <c r="AY73" s="2221"/>
      <c r="AZ73" s="2221"/>
    </row>
    <row r="74" spans="1:52" s="2350" customFormat="1" ht="21" customHeight="1">
      <c r="A74" s="2211"/>
      <c r="B74" s="2211"/>
      <c r="C74" s="2211"/>
      <c r="D74" s="2211"/>
      <c r="E74" s="5315">
        <v>1</v>
      </c>
      <c r="F74" s="5315"/>
      <c r="G74" s="5315"/>
      <c r="H74" s="5315"/>
      <c r="I74" s="5335"/>
      <c r="J74" s="5312" t="str">
        <f>I73&amp;".1"</f>
        <v>2.1.1.1.1.1</v>
      </c>
      <c r="K74" s="2211"/>
      <c r="L74" s="2212" t="s">
        <v>525</v>
      </c>
      <c r="M74" s="2174"/>
      <c r="N74" s="2174"/>
      <c r="O74" s="2228"/>
      <c r="P74" s="5313"/>
      <c r="Q74" s="5313">
        <v>1</v>
      </c>
      <c r="R74" s="2233"/>
      <c r="S74" s="2217" t="str">
        <f>$J74</f>
        <v>2.1.1.1.1.1</v>
      </c>
      <c r="T74" s="2234" t="s">
        <v>526</v>
      </c>
      <c r="U74" s="2219"/>
      <c r="V74" s="5303"/>
      <c r="W74" s="5304"/>
      <c r="X74" s="5304"/>
      <c r="Y74" s="5304"/>
      <c r="Z74" s="5304"/>
      <c r="AA74" s="5304"/>
      <c r="AB74" s="5304"/>
      <c r="AC74" s="5305"/>
      <c r="AD74" s="5303" t="s">
        <v>565</v>
      </c>
      <c r="AE74" s="5304"/>
      <c r="AF74" s="5304"/>
      <c r="AG74" s="5304"/>
      <c r="AH74" s="5304"/>
      <c r="AI74" s="5304"/>
      <c r="AJ74" s="5304"/>
      <c r="AK74" s="5304"/>
      <c r="AL74" s="5303"/>
      <c r="AM74" s="5304"/>
      <c r="AN74" s="5304"/>
      <c r="AO74" s="5304"/>
      <c r="AP74" s="5304"/>
      <c r="AQ74" s="5304"/>
      <c r="AR74" s="5304"/>
      <c r="AS74" s="5305"/>
      <c r="AT74" s="5305"/>
      <c r="AU74" s="2220" t="s">
        <v>527</v>
      </c>
      <c r="AV74" s="2182"/>
      <c r="AW74" s="2221"/>
      <c r="AX74" s="2221" t="str">
        <f t="shared" si="1"/>
        <v>Группа потребителей</v>
      </c>
      <c r="AY74" s="2221"/>
      <c r="AZ74" s="2221"/>
    </row>
    <row r="75" spans="1:52" s="2351" customFormat="1" ht="21" customHeight="1">
      <c r="A75" s="2211"/>
      <c r="B75" s="2211"/>
      <c r="C75" s="2211"/>
      <c r="D75" s="2211"/>
      <c r="E75" s="5315">
        <v>1</v>
      </c>
      <c r="F75" s="5315"/>
      <c r="G75" s="5315"/>
      <c r="H75" s="5315"/>
      <c r="I75" s="5335"/>
      <c r="J75" s="5335"/>
      <c r="K75" s="5312" t="str">
        <f>J74&amp;".1"</f>
        <v>2.1.1.1.1.1.1</v>
      </c>
      <c r="L75" s="2212" t="s">
        <v>528</v>
      </c>
      <c r="M75" s="2174"/>
      <c r="N75" s="2174"/>
      <c r="O75" s="2174"/>
      <c r="P75" s="5313"/>
      <c r="Q75" s="5313"/>
      <c r="R75" s="2233">
        <v>1</v>
      </c>
      <c r="S75" s="2217" t="str">
        <f>$K75</f>
        <v>2.1.1.1.1.1.1</v>
      </c>
      <c r="T75" s="2236" t="s">
        <v>566</v>
      </c>
      <c r="U75" s="2219"/>
      <c r="V75" s="2139"/>
      <c r="W75" s="2140"/>
      <c r="X75" s="2139"/>
      <c r="Y75" s="2141"/>
      <c r="Z75" s="5317"/>
      <c r="AA75" s="5161" t="s">
        <v>62</v>
      </c>
      <c r="AB75" s="5317"/>
      <c r="AC75" s="5161" t="s">
        <v>62</v>
      </c>
      <c r="AD75" s="2139">
        <v>1803.93</v>
      </c>
      <c r="AE75" s="2140"/>
      <c r="AF75" s="2139"/>
      <c r="AG75" s="2141"/>
      <c r="AH75" s="5317">
        <v>45658.544293981482</v>
      </c>
      <c r="AI75" s="5161" t="s">
        <v>62</v>
      </c>
      <c r="AJ75" s="5317">
        <v>45838.544386574074</v>
      </c>
      <c r="AK75" s="5161" t="s">
        <v>62</v>
      </c>
      <c r="AL75" s="2139">
        <v>2633.01</v>
      </c>
      <c r="AM75" s="2140"/>
      <c r="AN75" s="2139"/>
      <c r="AO75" s="2141"/>
      <c r="AP75" s="5317">
        <v>45839.544652777775</v>
      </c>
      <c r="AQ75" s="5161" t="s">
        <v>62</v>
      </c>
      <c r="AR75" s="5317">
        <v>46022.54478009259</v>
      </c>
      <c r="AS75" s="5161" t="s">
        <v>62</v>
      </c>
      <c r="AT75" s="2140"/>
      <c r="AU75" s="5309" t="s">
        <v>529</v>
      </c>
      <c r="AV75" s="2182" t="e">
        <f ca="1">STRCHECKDATE(V76:AT76)</f>
        <v>#NAME?</v>
      </c>
      <c r="AW75" s="2221"/>
      <c r="AX75" s="2221" t="str">
        <f t="shared" ref="AX75:AX106" si="2">IF(T75="","",T75)</f>
        <v>вода</v>
      </c>
      <c r="AY75" s="2221"/>
      <c r="AZ75" s="2221"/>
    </row>
    <row r="76" spans="1:52" s="2352" customFormat="1" ht="0.75" customHeight="1">
      <c r="A76" s="2211"/>
      <c r="B76" s="2211"/>
      <c r="C76" s="2211"/>
      <c r="D76" s="2211"/>
      <c r="E76" s="5315">
        <v>1</v>
      </c>
      <c r="F76" s="5315"/>
      <c r="G76" s="5315"/>
      <c r="H76" s="5315"/>
      <c r="I76" s="5335"/>
      <c r="J76" s="5335"/>
      <c r="K76" s="5312"/>
      <c r="L76" s="2212"/>
      <c r="M76" s="2174"/>
      <c r="N76" s="2174"/>
      <c r="O76" s="2174"/>
      <c r="P76" s="5313"/>
      <c r="Q76" s="5313"/>
      <c r="R76" s="2233"/>
      <c r="S76" s="2238"/>
      <c r="T76" s="2219"/>
      <c r="U76" s="2219"/>
      <c r="V76" s="2140"/>
      <c r="W76" s="2140"/>
      <c r="X76" s="2140"/>
      <c r="Y76" s="2142" t="str">
        <f>Z75&amp;"-"&amp;AB75</f>
        <v>-</v>
      </c>
      <c r="Z76" s="5318"/>
      <c r="AA76" s="5161"/>
      <c r="AB76" s="5318"/>
      <c r="AC76" s="5161"/>
      <c r="AD76" s="2140"/>
      <c r="AE76" s="2140"/>
      <c r="AF76" s="2140"/>
      <c r="AG76" s="2142" t="str">
        <f>AH75&amp;"-"&amp;AJ75</f>
        <v>45658,5442939815-45838,5443865741</v>
      </c>
      <c r="AH76" s="5318"/>
      <c r="AI76" s="5161"/>
      <c r="AJ76" s="5318"/>
      <c r="AK76" s="5161"/>
      <c r="AL76" s="2140"/>
      <c r="AM76" s="2140"/>
      <c r="AN76" s="2140"/>
      <c r="AO76" s="2142" t="str">
        <f>AP75&amp;"-"&amp;AR75</f>
        <v>45839,5446527778-46022,5447800926</v>
      </c>
      <c r="AP76" s="5318"/>
      <c r="AQ76" s="5161"/>
      <c r="AR76" s="5318"/>
      <c r="AS76" s="5161"/>
      <c r="AT76" s="2140"/>
      <c r="AU76" s="5310"/>
      <c r="AV76" s="2182"/>
      <c r="AW76" s="2221"/>
      <c r="AX76" s="2221" t="str">
        <f t="shared" si="2"/>
        <v/>
      </c>
      <c r="AY76" s="2221"/>
      <c r="AZ76" s="2221"/>
    </row>
    <row r="77" spans="1:52" s="2353" customFormat="1" ht="15" customHeight="1">
      <c r="A77" s="2211"/>
      <c r="B77" s="2211"/>
      <c r="C77" s="2211"/>
      <c r="D77" s="2211"/>
      <c r="E77" s="5315">
        <v>1</v>
      </c>
      <c r="F77" s="5315"/>
      <c r="G77" s="5315"/>
      <c r="H77" s="5315"/>
      <c r="I77" s="5335"/>
      <c r="J77" s="5312"/>
      <c r="K77" s="2211"/>
      <c r="L77" s="2212"/>
      <c r="M77" s="2174"/>
      <c r="N77" s="2174"/>
      <c r="O77" s="2228"/>
      <c r="P77" s="5313"/>
      <c r="Q77" s="5313"/>
      <c r="R77" s="2230"/>
      <c r="S77" s="2354"/>
      <c r="T77" s="2355" t="s">
        <v>530</v>
      </c>
      <c r="U77" s="2356"/>
      <c r="V77" s="2357"/>
      <c r="W77" s="2358"/>
      <c r="X77" s="2359"/>
      <c r="Y77" s="2360"/>
      <c r="Z77" s="2361"/>
      <c r="AA77" s="2362"/>
      <c r="AB77" s="2363"/>
      <c r="AC77" s="2364"/>
      <c r="AD77" s="2365"/>
      <c r="AE77" s="2366"/>
      <c r="AF77" s="2367"/>
      <c r="AG77" s="2368"/>
      <c r="AH77" s="2369"/>
      <c r="AI77" s="2370"/>
      <c r="AJ77" s="2371"/>
      <c r="AK77" s="2372"/>
      <c r="AL77" s="2373"/>
      <c r="AM77" s="2374"/>
      <c r="AN77" s="2375"/>
      <c r="AO77" s="2376"/>
      <c r="AP77" s="2377"/>
      <c r="AQ77" s="2378"/>
      <c r="AR77" s="2379"/>
      <c r="AS77" s="2380"/>
      <c r="AT77" s="2381"/>
      <c r="AU77" s="5311"/>
      <c r="AV77" s="2182"/>
      <c r="AW77" s="2221"/>
      <c r="AX77" s="2221" t="str">
        <f t="shared" si="2"/>
        <v>Добавить вид теплоносителя (параметры теплоносителя)</v>
      </c>
      <c r="AY77" s="2221"/>
      <c r="AZ77" s="2221"/>
    </row>
    <row r="78" spans="1:52" s="2382" customFormat="1" ht="15" customHeight="1">
      <c r="A78" s="2211"/>
      <c r="B78" s="2211"/>
      <c r="C78" s="2211"/>
      <c r="D78" s="2211"/>
      <c r="E78" s="5315">
        <v>1</v>
      </c>
      <c r="F78" s="5315"/>
      <c r="G78" s="5315"/>
      <c r="H78" s="5315"/>
      <c r="I78" s="5312"/>
      <c r="J78" s="2211"/>
      <c r="K78" s="2211"/>
      <c r="L78" s="2212"/>
      <c r="M78" s="2174"/>
      <c r="N78" s="2228"/>
      <c r="O78" s="2228"/>
      <c r="P78" s="5313"/>
      <c r="Q78" s="2229"/>
      <c r="R78" s="2230"/>
      <c r="S78" s="2383"/>
      <c r="T78" s="2384" t="s">
        <v>531</v>
      </c>
      <c r="U78" s="2385"/>
      <c r="V78" s="2386"/>
      <c r="W78" s="2387"/>
      <c r="X78" s="2388"/>
      <c r="Y78" s="2389"/>
      <c r="Z78" s="2390"/>
      <c r="AA78" s="2391"/>
      <c r="AB78" s="2392"/>
      <c r="AC78" s="2393"/>
      <c r="AD78" s="2394"/>
      <c r="AE78" s="2395"/>
      <c r="AF78" s="2396"/>
      <c r="AG78" s="2397"/>
      <c r="AH78" s="2398"/>
      <c r="AI78" s="2399"/>
      <c r="AJ78" s="2400"/>
      <c r="AK78" s="2401"/>
      <c r="AL78" s="2402"/>
      <c r="AM78" s="2403"/>
      <c r="AN78" s="2404"/>
      <c r="AO78" s="2405"/>
      <c r="AP78" s="2406"/>
      <c r="AQ78" s="2407"/>
      <c r="AR78" s="2408"/>
      <c r="AS78" s="2409"/>
      <c r="AT78" s="2410"/>
      <c r="AU78" s="2411"/>
      <c r="AV78" s="2182"/>
      <c r="AW78" s="2221"/>
      <c r="AX78" s="2221" t="str">
        <f t="shared" si="2"/>
        <v>Добавить группу потребителей</v>
      </c>
      <c r="AY78" s="2221"/>
      <c r="AZ78" s="2221"/>
    </row>
    <row r="79" spans="1:52" s="2412" customFormat="1" ht="14.25" customHeight="1">
      <c r="A79" s="2211"/>
      <c r="B79" s="2211"/>
      <c r="C79" s="2211"/>
      <c r="D79" s="2211"/>
      <c r="E79" s="5315">
        <v>1</v>
      </c>
      <c r="F79" s="5315"/>
      <c r="G79" s="5315"/>
      <c r="H79" s="5314"/>
      <c r="I79" s="2211"/>
      <c r="J79" s="2211"/>
      <c r="K79" s="2211"/>
      <c r="L79" s="2212"/>
      <c r="M79" s="2213"/>
      <c r="N79" s="2213"/>
      <c r="O79" s="2174"/>
      <c r="P79" s="2299"/>
      <c r="Q79" s="2300"/>
      <c r="R79" s="2301"/>
      <c r="S79" s="2413"/>
      <c r="T79" s="2414" t="s">
        <v>532</v>
      </c>
      <c r="U79" s="2415"/>
      <c r="V79" s="2416"/>
      <c r="W79" s="2417"/>
      <c r="X79" s="2418"/>
      <c r="Y79" s="2419"/>
      <c r="Z79" s="2420"/>
      <c r="AA79" s="2421"/>
      <c r="AB79" s="2422"/>
      <c r="AC79" s="2423"/>
      <c r="AD79" s="2424"/>
      <c r="AE79" s="2425"/>
      <c r="AF79" s="2426"/>
      <c r="AG79" s="2427"/>
      <c r="AH79" s="2428"/>
      <c r="AI79" s="2429"/>
      <c r="AJ79" s="2430"/>
      <c r="AK79" s="2431"/>
      <c r="AL79" s="2432"/>
      <c r="AM79" s="2433"/>
      <c r="AN79" s="2434"/>
      <c r="AO79" s="2435"/>
      <c r="AP79" s="2436"/>
      <c r="AQ79" s="2437"/>
      <c r="AR79" s="2438"/>
      <c r="AS79" s="2439"/>
      <c r="AT79" s="2440"/>
      <c r="AU79" s="2441"/>
      <c r="AV79" s="2182"/>
      <c r="AW79" s="2221"/>
      <c r="AX79" s="2221" t="str">
        <f t="shared" si="2"/>
        <v>Добавить схему подключения</v>
      </c>
      <c r="AY79" s="2221"/>
      <c r="AZ79" s="2221"/>
    </row>
    <row r="80" spans="1:52" s="2442" customFormat="1" ht="0.75" customHeight="1">
      <c r="A80" s="2332"/>
      <c r="B80" s="2332"/>
      <c r="C80" s="2332"/>
      <c r="D80" s="2332"/>
      <c r="E80" s="5315">
        <v>1</v>
      </c>
      <c r="F80" s="5315"/>
      <c r="G80" s="5314"/>
      <c r="H80" s="2332"/>
      <c r="I80" s="2332"/>
      <c r="J80" s="2332"/>
      <c r="K80" s="2332"/>
      <c r="L80" s="2333"/>
      <c r="M80" s="2334"/>
      <c r="N80" s="2334"/>
      <c r="O80" s="2182"/>
      <c r="P80" s="2335"/>
      <c r="Q80" s="2336"/>
      <c r="R80" s="2335"/>
      <c r="S80" s="2337"/>
      <c r="T80" s="2338" t="s">
        <v>168</v>
      </c>
      <c r="U80" s="2168"/>
      <c r="V80" s="2168"/>
      <c r="W80" s="2168"/>
      <c r="X80" s="2168"/>
      <c r="Y80" s="2168"/>
      <c r="Z80" s="2168"/>
      <c r="AA80" s="2168"/>
      <c r="AB80" s="2168"/>
      <c r="AC80" s="2168"/>
      <c r="AD80" s="2168"/>
      <c r="AE80" s="2168"/>
      <c r="AF80" s="2168"/>
      <c r="AG80" s="2168"/>
      <c r="AH80" s="2168"/>
      <c r="AI80" s="2168"/>
      <c r="AJ80" s="2168"/>
      <c r="AK80" s="2168"/>
      <c r="AL80" s="2168"/>
      <c r="AM80" s="2168"/>
      <c r="AN80" s="2168"/>
      <c r="AO80" s="2168"/>
      <c r="AP80" s="2168"/>
      <c r="AQ80" s="2168"/>
      <c r="AR80" s="2168"/>
      <c r="AS80" s="2168"/>
      <c r="AT80" s="2168"/>
      <c r="AU80" s="2168"/>
      <c r="AV80" s="2182"/>
      <c r="AW80" s="2221"/>
      <c r="AX80" s="2221" t="str">
        <f t="shared" si="2"/>
        <v>Добавить источник для дифференциации</v>
      </c>
      <c r="AY80" s="2221"/>
      <c r="AZ80" s="2221"/>
    </row>
    <row r="81" spans="1:52" s="2443" customFormat="1" ht="0.75" customHeight="1">
      <c r="A81" s="2332"/>
      <c r="B81" s="2332"/>
      <c r="C81" s="2332"/>
      <c r="D81" s="2332"/>
      <c r="E81" s="5315">
        <v>1</v>
      </c>
      <c r="F81" s="5314"/>
      <c r="G81" s="2332"/>
      <c r="H81" s="2332"/>
      <c r="I81" s="2332"/>
      <c r="J81" s="2332"/>
      <c r="K81" s="2332"/>
      <c r="L81" s="2333"/>
      <c r="M81" s="2340"/>
      <c r="N81" s="2340"/>
      <c r="O81" s="2182"/>
      <c r="P81" s="2335"/>
      <c r="Q81" s="2336"/>
      <c r="R81" s="2335"/>
      <c r="S81" s="2341"/>
      <c r="T81" s="2342" t="s">
        <v>169</v>
      </c>
      <c r="U81" s="2169"/>
      <c r="V81" s="2169"/>
      <c r="W81" s="2169"/>
      <c r="X81" s="2169"/>
      <c r="Y81" s="2169"/>
      <c r="Z81" s="2169"/>
      <c r="AA81" s="2169"/>
      <c r="AB81" s="2169"/>
      <c r="AC81" s="2169"/>
      <c r="AD81" s="2169"/>
      <c r="AE81" s="2169"/>
      <c r="AF81" s="2169"/>
      <c r="AG81" s="2169"/>
      <c r="AH81" s="2169"/>
      <c r="AI81" s="2169"/>
      <c r="AJ81" s="2169"/>
      <c r="AK81" s="2169"/>
      <c r="AL81" s="2169"/>
      <c r="AM81" s="2169"/>
      <c r="AN81" s="2169"/>
      <c r="AO81" s="2169"/>
      <c r="AP81" s="2169"/>
      <c r="AQ81" s="2169"/>
      <c r="AR81" s="2169"/>
      <c r="AS81" s="2169"/>
      <c r="AT81" s="2169"/>
      <c r="AU81" s="2169"/>
      <c r="AV81" s="2182"/>
      <c r="AW81" s="2221"/>
      <c r="AX81" s="2221" t="str">
        <f t="shared" si="2"/>
        <v>Добавить централизованную систему для дифференциации</v>
      </c>
      <c r="AY81" s="2221"/>
      <c r="AZ81" s="2221"/>
    </row>
    <row r="82" spans="1:52" s="2444" customFormat="1" ht="0.75" customHeight="1">
      <c r="A82" s="2332"/>
      <c r="B82" s="2332"/>
      <c r="C82" s="2332"/>
      <c r="D82" s="2332"/>
      <c r="E82" s="5314">
        <v>1</v>
      </c>
      <c r="F82" s="2332"/>
      <c r="G82" s="2332"/>
      <c r="H82" s="2332"/>
      <c r="I82" s="2332"/>
      <c r="J82" s="2332"/>
      <c r="K82" s="2332"/>
      <c r="L82" s="2333"/>
      <c r="M82" s="2340"/>
      <c r="N82" s="2340"/>
      <c r="O82" s="2182"/>
      <c r="P82" s="2335"/>
      <c r="Q82" s="2336"/>
      <c r="R82" s="2335"/>
      <c r="S82" s="2341"/>
      <c r="T82" s="2445" t="s">
        <v>174</v>
      </c>
      <c r="U82" s="2169"/>
      <c r="V82" s="2169"/>
      <c r="W82" s="2169"/>
      <c r="X82" s="2169"/>
      <c r="Y82" s="2169"/>
      <c r="Z82" s="2169"/>
      <c r="AA82" s="2169"/>
      <c r="AB82" s="2169"/>
      <c r="AC82" s="2169"/>
      <c r="AD82" s="2169"/>
      <c r="AE82" s="2169"/>
      <c r="AF82" s="2169"/>
      <c r="AG82" s="2169"/>
      <c r="AH82" s="2169"/>
      <c r="AI82" s="2169"/>
      <c r="AJ82" s="2169"/>
      <c r="AK82" s="2169"/>
      <c r="AL82" s="2169"/>
      <c r="AM82" s="2169"/>
      <c r="AN82" s="2169"/>
      <c r="AO82" s="2169"/>
      <c r="AP82" s="2169"/>
      <c r="AQ82" s="2169"/>
      <c r="AR82" s="2169"/>
      <c r="AS82" s="2169"/>
      <c r="AT82" s="2169"/>
      <c r="AU82" s="2169"/>
      <c r="AV82" s="2182"/>
      <c r="AW82" s="2221"/>
      <c r="AX82" s="2221" t="str">
        <f t="shared" si="2"/>
        <v>Добавить территорию для дифференциации</v>
      </c>
      <c r="AY82" s="2221"/>
      <c r="AZ82" s="2221"/>
    </row>
    <row r="83" spans="1:52" s="2446" customFormat="1" ht="21" customHeight="1">
      <c r="A83" s="2211" t="s">
        <v>181</v>
      </c>
      <c r="B83" s="2211"/>
      <c r="C83" s="2211"/>
      <c r="D83" s="2211"/>
      <c r="E83" s="5314" t="s">
        <v>85</v>
      </c>
      <c r="F83" s="2211"/>
      <c r="G83" s="2211"/>
      <c r="H83" s="2211"/>
      <c r="I83" s="2211"/>
      <c r="J83" s="2211"/>
      <c r="K83" s="2211"/>
      <c r="L83" s="2212"/>
      <c r="M83" s="2213"/>
      <c r="N83" s="2213"/>
      <c r="O83" s="2213"/>
      <c r="P83" s="2344"/>
      <c r="Q83" s="2299"/>
      <c r="R83" s="2301"/>
      <c r="S83" s="2217" t="str">
        <f>INDEX(PT_DIFFERENTIATION_NUM_NTAR,MATCH(A83,PT_DIFFERENTIATION_NTAR_ID,0))</f>
        <v>3</v>
      </c>
      <c r="T83" s="2345" t="s">
        <v>127</v>
      </c>
      <c r="U83" s="2219"/>
      <c r="V83" s="5300"/>
      <c r="W83" s="5301"/>
      <c r="X83" s="5301"/>
      <c r="Y83" s="5301"/>
      <c r="Z83" s="5301"/>
      <c r="AA83" s="5301"/>
      <c r="AB83" s="5301"/>
      <c r="AC83" s="5302"/>
      <c r="AD83" s="5300" t="str">
        <f>INDEX(PT_DIFFERENTIATION_NTAR,MATCH(A83,PT_DIFFERENTIATION_NTAR_ID,0))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AE83" s="5301"/>
      <c r="AF83" s="5301"/>
      <c r="AG83" s="5301"/>
      <c r="AH83" s="5301"/>
      <c r="AI83" s="5301"/>
      <c r="AJ83" s="5301"/>
      <c r="AK83" s="5301"/>
      <c r="AL83" s="5300"/>
      <c r="AM83" s="5301"/>
      <c r="AN83" s="5301"/>
      <c r="AO83" s="5301"/>
      <c r="AP83" s="5301"/>
      <c r="AQ83" s="5301"/>
      <c r="AR83" s="5301"/>
      <c r="AS83" s="5302"/>
      <c r="AT83" s="5302"/>
      <c r="AU83" s="2220" t="s">
        <v>515</v>
      </c>
      <c r="AV83" s="2182"/>
      <c r="AW83" s="2221"/>
      <c r="AX83" s="2221" t="str">
        <f t="shared" si="2"/>
        <v>Наименование тарифа</v>
      </c>
      <c r="AY83" s="2221"/>
      <c r="AZ83" s="2221"/>
    </row>
    <row r="84" spans="1:52" s="2447" customFormat="1" ht="21" customHeight="1">
      <c r="A84" s="2211"/>
      <c r="B84" s="2211" t="s">
        <v>182</v>
      </c>
      <c r="C84" s="2211"/>
      <c r="D84" s="2211"/>
      <c r="E84" s="5315" t="s">
        <v>98</v>
      </c>
      <c r="F84" s="5314">
        <v>1</v>
      </c>
      <c r="G84" s="2211"/>
      <c r="H84" s="2211"/>
      <c r="I84" s="2211"/>
      <c r="J84" s="2211"/>
      <c r="K84" s="2211"/>
      <c r="L84" s="2212"/>
      <c r="M84" s="2213"/>
      <c r="N84" s="2213"/>
      <c r="O84" s="2213"/>
      <c r="P84" s="2214"/>
      <c r="Q84" s="2215"/>
      <c r="R84" s="2216"/>
      <c r="S84" s="2217" t="str">
        <f>INDEX(PT_DIFFERENTIATION_NUM_TER,MATCH(B84,PT_DIFFERENTIATION_TER_ID,0))</f>
        <v>3.1</v>
      </c>
      <c r="T84" s="2218" t="s">
        <v>516</v>
      </c>
      <c r="U84" s="2219"/>
      <c r="V84" s="5300"/>
      <c r="W84" s="5301"/>
      <c r="X84" s="5301"/>
      <c r="Y84" s="5301"/>
      <c r="Z84" s="5301"/>
      <c r="AA84" s="5301"/>
      <c r="AB84" s="5301"/>
      <c r="AC84" s="5302"/>
      <c r="AD84" s="5300" t="str">
        <f>INDEX(PT_DIFFERENTIATION_TER,MATCH(B84,PT_DIFFERENTIATION_TER_ID,0))</f>
        <v>Территория 1</v>
      </c>
      <c r="AE84" s="5301"/>
      <c r="AF84" s="5301"/>
      <c r="AG84" s="5301"/>
      <c r="AH84" s="5301"/>
      <c r="AI84" s="5301"/>
      <c r="AJ84" s="5301"/>
      <c r="AK84" s="5301"/>
      <c r="AL84" s="5300"/>
      <c r="AM84" s="5301"/>
      <c r="AN84" s="5301"/>
      <c r="AO84" s="5301"/>
      <c r="AP84" s="5301"/>
      <c r="AQ84" s="5301"/>
      <c r="AR84" s="5301"/>
      <c r="AS84" s="5302"/>
      <c r="AT84" s="5302"/>
      <c r="AU84" s="2220" t="s">
        <v>517</v>
      </c>
      <c r="AV84" s="2182"/>
      <c r="AW84" s="2221"/>
      <c r="AX84" s="2221" t="str">
        <f t="shared" si="2"/>
        <v>Территория действия тарифа</v>
      </c>
      <c r="AY84" s="2221"/>
      <c r="AZ84" s="2221"/>
    </row>
    <row r="85" spans="1:52" s="2448" customFormat="1" ht="23.25" customHeight="1">
      <c r="A85" s="2211"/>
      <c r="B85" s="2211"/>
      <c r="C85" s="2211" t="s">
        <v>183</v>
      </c>
      <c r="D85" s="2211"/>
      <c r="E85" s="5315" t="s">
        <v>98</v>
      </c>
      <c r="F85" s="5315"/>
      <c r="G85" s="5314">
        <v>1</v>
      </c>
      <c r="H85" s="2211"/>
      <c r="I85" s="2211"/>
      <c r="J85" s="2211"/>
      <c r="K85" s="2211"/>
      <c r="L85" s="2212"/>
      <c r="M85" s="2213"/>
      <c r="N85" s="2213"/>
      <c r="O85" s="2213"/>
      <c r="P85" s="2223"/>
      <c r="Q85" s="2215"/>
      <c r="R85" s="2216"/>
      <c r="S85" s="2217" t="str">
        <f>INDEX(PT_DIFFERENTIATION_NUM_CS,MATCH(C85,PT_DIFFERENTIATION_CS_ID,0))</f>
        <v>3.1.1</v>
      </c>
      <c r="T85" s="2224" t="s">
        <v>518</v>
      </c>
      <c r="U85" s="2219"/>
      <c r="V85" s="5300"/>
      <c r="W85" s="5301"/>
      <c r="X85" s="5301"/>
      <c r="Y85" s="5301"/>
      <c r="Z85" s="5301"/>
      <c r="AA85" s="5301"/>
      <c r="AB85" s="5301"/>
      <c r="AC85" s="5302"/>
      <c r="AD85" s="5300" t="str">
        <f>INDEX(PT_DIFFERENTIATION_CS,MATCH(C85,PT_DIFFERENTIATION_CS_ID,0))</f>
        <v xml:space="preserve">открытая система теплоснабжения г. Апатиты
</v>
      </c>
      <c r="AE85" s="5301"/>
      <c r="AF85" s="5301"/>
      <c r="AG85" s="5301"/>
      <c r="AH85" s="5301"/>
      <c r="AI85" s="5301"/>
      <c r="AJ85" s="5301"/>
      <c r="AK85" s="5301"/>
      <c r="AL85" s="5300"/>
      <c r="AM85" s="5301"/>
      <c r="AN85" s="5301"/>
      <c r="AO85" s="5301"/>
      <c r="AP85" s="5301"/>
      <c r="AQ85" s="5301"/>
      <c r="AR85" s="5301"/>
      <c r="AS85" s="5302"/>
      <c r="AT85" s="5302"/>
      <c r="AU85" s="2220" t="s">
        <v>519</v>
      </c>
      <c r="AV85" s="2182"/>
      <c r="AW85" s="2221"/>
      <c r="AX85" s="2221" t="str">
        <f t="shared" si="2"/>
        <v xml:space="preserve">Наименование системы теплоснабжения </v>
      </c>
      <c r="AY85" s="2221"/>
      <c r="AZ85" s="2221"/>
    </row>
    <row r="86" spans="1:52" s="2449" customFormat="1" ht="21" customHeight="1">
      <c r="A86" s="2211"/>
      <c r="B86" s="2211"/>
      <c r="C86" s="2211"/>
      <c r="D86" s="2211" t="s">
        <v>184</v>
      </c>
      <c r="E86" s="5315" t="s">
        <v>98</v>
      </c>
      <c r="F86" s="5315"/>
      <c r="G86" s="5315"/>
      <c r="H86" s="5314">
        <v>1</v>
      </c>
      <c r="I86" s="2211"/>
      <c r="J86" s="2211"/>
      <c r="K86" s="2211"/>
      <c r="L86" s="2212"/>
      <c r="M86" s="2213"/>
      <c r="N86" s="2213"/>
      <c r="O86" s="2213"/>
      <c r="P86" s="2223"/>
      <c r="Q86" s="2215"/>
      <c r="R86" s="2216"/>
      <c r="S86" s="2217" t="str">
        <f>INDEX(PT_DIFFERENTIATION_NUM_IST_TE,MATCH(D86,PT_DIFFERENTIATION_IST_TE_ID,0))</f>
        <v>3.1.1.1</v>
      </c>
      <c r="T86" s="2226" t="s">
        <v>520</v>
      </c>
      <c r="U86" s="2219"/>
      <c r="V86" s="5300"/>
      <c r="W86" s="5301"/>
      <c r="X86" s="5301"/>
      <c r="Y86" s="5301"/>
      <c r="Z86" s="5301"/>
      <c r="AA86" s="5301"/>
      <c r="AB86" s="5301"/>
      <c r="AC86" s="5302"/>
      <c r="AD86" s="5300" t="str">
        <f>INDEX(PT_DIFFERENTIATION_IST_TE,MATCH(D86,PT_DIFFERENTIATION_IST_TE_ID,0))</f>
        <v>Апатитская ТЭЦ</v>
      </c>
      <c r="AE86" s="5301"/>
      <c r="AF86" s="5301"/>
      <c r="AG86" s="5301"/>
      <c r="AH86" s="5301"/>
      <c r="AI86" s="5301"/>
      <c r="AJ86" s="5301"/>
      <c r="AK86" s="5301"/>
      <c r="AL86" s="5300"/>
      <c r="AM86" s="5301"/>
      <c r="AN86" s="5301"/>
      <c r="AO86" s="5301"/>
      <c r="AP86" s="5301"/>
      <c r="AQ86" s="5301"/>
      <c r="AR86" s="5301"/>
      <c r="AS86" s="5302"/>
      <c r="AT86" s="5302"/>
      <c r="AU86" s="2220" t="s">
        <v>521</v>
      </c>
      <c r="AV86" s="2182"/>
      <c r="AW86" s="2221"/>
      <c r="AX86" s="2221" t="str">
        <f t="shared" si="2"/>
        <v xml:space="preserve">Источник тепловой энергии  </v>
      </c>
      <c r="AY86" s="2221"/>
      <c r="AZ86" s="2221"/>
    </row>
    <row r="87" spans="1:52" s="2450" customFormat="1" ht="47.25" customHeight="1">
      <c r="A87" s="2211"/>
      <c r="B87" s="2211"/>
      <c r="C87" s="2211"/>
      <c r="D87" s="2211"/>
      <c r="E87" s="5315" t="s">
        <v>98</v>
      </c>
      <c r="F87" s="5315"/>
      <c r="G87" s="5315"/>
      <c r="H87" s="5315"/>
      <c r="I87" s="5312" t="str">
        <f>S86&amp;".1"</f>
        <v>3.1.1.1.1</v>
      </c>
      <c r="J87" s="2211"/>
      <c r="K87" s="2211"/>
      <c r="L87" s="2212" t="s">
        <v>522</v>
      </c>
      <c r="M87" s="2174"/>
      <c r="N87" s="2228"/>
      <c r="O87" s="2228"/>
      <c r="P87" s="5313">
        <v>1</v>
      </c>
      <c r="Q87" s="2229"/>
      <c r="R87" s="2230"/>
      <c r="S87" s="2217" t="str">
        <f>$I87</f>
        <v>3.1.1.1.1</v>
      </c>
      <c r="T87" s="2231" t="s">
        <v>523</v>
      </c>
      <c r="U87" s="2219"/>
      <c r="V87" s="5303"/>
      <c r="W87" s="5304"/>
      <c r="X87" s="5304"/>
      <c r="Y87" s="5304"/>
      <c r="Z87" s="5304"/>
      <c r="AA87" s="5304"/>
      <c r="AB87" s="5304"/>
      <c r="AC87" s="5305"/>
      <c r="AD87" s="5303" t="s">
        <v>565</v>
      </c>
      <c r="AE87" s="5304"/>
      <c r="AF87" s="5304"/>
      <c r="AG87" s="5304"/>
      <c r="AH87" s="5304"/>
      <c r="AI87" s="5304"/>
      <c r="AJ87" s="5304"/>
      <c r="AK87" s="5304"/>
      <c r="AL87" s="5303"/>
      <c r="AM87" s="5304"/>
      <c r="AN87" s="5304"/>
      <c r="AO87" s="5304"/>
      <c r="AP87" s="5304"/>
      <c r="AQ87" s="5304"/>
      <c r="AR87" s="5304"/>
      <c r="AS87" s="5305"/>
      <c r="AT87" s="5305"/>
      <c r="AU87" s="2220" t="s">
        <v>524</v>
      </c>
      <c r="AV87" s="2182"/>
      <c r="AW87" s="2221"/>
      <c r="AX87" s="2221" t="str">
        <f t="shared" si="2"/>
        <v>Схема подключения теплопотребляющей установки к коллектору источника тепловой энергии</v>
      </c>
      <c r="AY87" s="2221"/>
      <c r="AZ87" s="2221"/>
    </row>
    <row r="88" spans="1:52" s="2451" customFormat="1" ht="21" customHeight="1">
      <c r="A88" s="2211"/>
      <c r="B88" s="2211"/>
      <c r="C88" s="2211"/>
      <c r="D88" s="2211"/>
      <c r="E88" s="5315" t="s">
        <v>98</v>
      </c>
      <c r="F88" s="5315"/>
      <c r="G88" s="5315"/>
      <c r="H88" s="5315"/>
      <c r="I88" s="5335"/>
      <c r="J88" s="5312" t="str">
        <f>I87&amp;".1"</f>
        <v>3.1.1.1.1.1</v>
      </c>
      <c r="K88" s="2211"/>
      <c r="L88" s="2212" t="s">
        <v>525</v>
      </c>
      <c r="M88" s="2174"/>
      <c r="N88" s="2174"/>
      <c r="O88" s="2228"/>
      <c r="P88" s="5313"/>
      <c r="Q88" s="5313">
        <v>1</v>
      </c>
      <c r="R88" s="2233"/>
      <c r="S88" s="2217" t="str">
        <f>$J88</f>
        <v>3.1.1.1.1.1</v>
      </c>
      <c r="T88" s="2234" t="s">
        <v>526</v>
      </c>
      <c r="U88" s="2219"/>
      <c r="V88" s="5303"/>
      <c r="W88" s="5304"/>
      <c r="X88" s="5304"/>
      <c r="Y88" s="5304"/>
      <c r="Z88" s="5304"/>
      <c r="AA88" s="5304"/>
      <c r="AB88" s="5304"/>
      <c r="AC88" s="5305"/>
      <c r="AD88" s="5303" t="s">
        <v>565</v>
      </c>
      <c r="AE88" s="5304"/>
      <c r="AF88" s="5304"/>
      <c r="AG88" s="5304"/>
      <c r="AH88" s="5304"/>
      <c r="AI88" s="5304"/>
      <c r="AJ88" s="5304"/>
      <c r="AK88" s="5304"/>
      <c r="AL88" s="5303"/>
      <c r="AM88" s="5304"/>
      <c r="AN88" s="5304"/>
      <c r="AO88" s="5304"/>
      <c r="AP88" s="5304"/>
      <c r="AQ88" s="5304"/>
      <c r="AR88" s="5304"/>
      <c r="AS88" s="5305"/>
      <c r="AT88" s="5305"/>
      <c r="AU88" s="2220" t="s">
        <v>527</v>
      </c>
      <c r="AV88" s="2182"/>
      <c r="AW88" s="2221"/>
      <c r="AX88" s="2221" t="str">
        <f t="shared" si="2"/>
        <v>Группа потребителей</v>
      </c>
      <c r="AY88" s="2221"/>
      <c r="AZ88" s="2221"/>
    </row>
    <row r="89" spans="1:52" s="2452" customFormat="1" ht="21" customHeight="1">
      <c r="A89" s="2211"/>
      <c r="B89" s="2211"/>
      <c r="C89" s="2211"/>
      <c r="D89" s="2211"/>
      <c r="E89" s="5315" t="s">
        <v>98</v>
      </c>
      <c r="F89" s="5315"/>
      <c r="G89" s="5315"/>
      <c r="H89" s="5315"/>
      <c r="I89" s="5335"/>
      <c r="J89" s="5335"/>
      <c r="K89" s="5312" t="str">
        <f>J88&amp;".1"</f>
        <v>3.1.1.1.1.1.1</v>
      </c>
      <c r="L89" s="2212" t="s">
        <v>528</v>
      </c>
      <c r="M89" s="2174"/>
      <c r="N89" s="2174"/>
      <c r="O89" s="2174"/>
      <c r="P89" s="5313"/>
      <c r="Q89" s="5313"/>
      <c r="R89" s="2233">
        <v>1</v>
      </c>
      <c r="S89" s="2217" t="str">
        <f>$K89</f>
        <v>3.1.1.1.1.1.1</v>
      </c>
      <c r="T89" s="2236" t="s">
        <v>566</v>
      </c>
      <c r="U89" s="2219"/>
      <c r="V89" s="2139"/>
      <c r="W89" s="2140"/>
      <c r="X89" s="2139"/>
      <c r="Y89" s="2141"/>
      <c r="Z89" s="5317"/>
      <c r="AA89" s="5161" t="s">
        <v>62</v>
      </c>
      <c r="AB89" s="5317"/>
      <c r="AC89" s="5161" t="s">
        <v>62</v>
      </c>
      <c r="AD89" s="2139">
        <v>2543.02</v>
      </c>
      <c r="AE89" s="2140"/>
      <c r="AF89" s="2139"/>
      <c r="AG89" s="2141"/>
      <c r="AH89" s="5317">
        <v>45658.546331018515</v>
      </c>
      <c r="AI89" s="5161" t="s">
        <v>62</v>
      </c>
      <c r="AJ89" s="5317">
        <v>45838.546400462961</v>
      </c>
      <c r="AK89" s="5161" t="s">
        <v>62</v>
      </c>
      <c r="AL89" s="2139">
        <v>3520.61</v>
      </c>
      <c r="AM89" s="2140"/>
      <c r="AN89" s="2139"/>
      <c r="AO89" s="2141"/>
      <c r="AP89" s="5317">
        <v>45839.546712962961</v>
      </c>
      <c r="AQ89" s="5161" t="s">
        <v>62</v>
      </c>
      <c r="AR89" s="5317">
        <v>46022.546793981484</v>
      </c>
      <c r="AS89" s="5161" t="s">
        <v>62</v>
      </c>
      <c r="AT89" s="2140"/>
      <c r="AU89" s="5309" t="s">
        <v>529</v>
      </c>
      <c r="AV89" s="2182" t="e">
        <f ca="1">STRCHECKDATE(V90:AT90)</f>
        <v>#NAME?</v>
      </c>
      <c r="AW89" s="2221"/>
      <c r="AX89" s="2221" t="str">
        <f t="shared" si="2"/>
        <v>вода</v>
      </c>
      <c r="AY89" s="2221"/>
      <c r="AZ89" s="2221"/>
    </row>
    <row r="90" spans="1:52" s="2453" customFormat="1" ht="0.75" customHeight="1">
      <c r="A90" s="2211"/>
      <c r="B90" s="2211"/>
      <c r="C90" s="2211"/>
      <c r="D90" s="2211"/>
      <c r="E90" s="5315" t="s">
        <v>98</v>
      </c>
      <c r="F90" s="5315"/>
      <c r="G90" s="5315"/>
      <c r="H90" s="5315"/>
      <c r="I90" s="5335"/>
      <c r="J90" s="5335"/>
      <c r="K90" s="5312"/>
      <c r="L90" s="2212"/>
      <c r="M90" s="2174"/>
      <c r="N90" s="2174"/>
      <c r="O90" s="2174"/>
      <c r="P90" s="5313"/>
      <c r="Q90" s="5313"/>
      <c r="R90" s="2233"/>
      <c r="S90" s="2238"/>
      <c r="T90" s="2219"/>
      <c r="U90" s="2219"/>
      <c r="V90" s="2140"/>
      <c r="W90" s="2140"/>
      <c r="X90" s="2140"/>
      <c r="Y90" s="2142" t="str">
        <f>Z89&amp;"-"&amp;AB89</f>
        <v>-</v>
      </c>
      <c r="Z90" s="5318"/>
      <c r="AA90" s="5161"/>
      <c r="AB90" s="5318"/>
      <c r="AC90" s="5161"/>
      <c r="AD90" s="2140"/>
      <c r="AE90" s="2140"/>
      <c r="AF90" s="2140"/>
      <c r="AG90" s="2142" t="str">
        <f>AH89&amp;"-"&amp;AJ89</f>
        <v>45658,5463310185-45838,546400463</v>
      </c>
      <c r="AH90" s="5318"/>
      <c r="AI90" s="5161"/>
      <c r="AJ90" s="5318"/>
      <c r="AK90" s="5161"/>
      <c r="AL90" s="2140"/>
      <c r="AM90" s="2140"/>
      <c r="AN90" s="2140"/>
      <c r="AO90" s="2142" t="str">
        <f>AP89&amp;"-"&amp;AR89</f>
        <v>45839,546712963-46022,5467939815</v>
      </c>
      <c r="AP90" s="5318"/>
      <c r="AQ90" s="5161"/>
      <c r="AR90" s="5318"/>
      <c r="AS90" s="5161"/>
      <c r="AT90" s="2140"/>
      <c r="AU90" s="5310"/>
      <c r="AV90" s="2182"/>
      <c r="AW90" s="2221"/>
      <c r="AX90" s="2221" t="str">
        <f t="shared" si="2"/>
        <v/>
      </c>
      <c r="AY90" s="2221"/>
      <c r="AZ90" s="2221"/>
    </row>
    <row r="91" spans="1:52" s="2454" customFormat="1" ht="15" customHeight="1">
      <c r="A91" s="2211"/>
      <c r="B91" s="2211"/>
      <c r="C91" s="2211"/>
      <c r="D91" s="2211"/>
      <c r="E91" s="5315" t="s">
        <v>98</v>
      </c>
      <c r="F91" s="5315"/>
      <c r="G91" s="5315"/>
      <c r="H91" s="5315"/>
      <c r="I91" s="5335"/>
      <c r="J91" s="5312"/>
      <c r="K91" s="2211"/>
      <c r="L91" s="2212"/>
      <c r="M91" s="2174"/>
      <c r="N91" s="2174"/>
      <c r="O91" s="2228"/>
      <c r="P91" s="5313"/>
      <c r="Q91" s="5313"/>
      <c r="R91" s="2230"/>
      <c r="S91" s="2455"/>
      <c r="T91" s="2456" t="s">
        <v>530</v>
      </c>
      <c r="U91" s="2457"/>
      <c r="V91" s="2458"/>
      <c r="W91" s="2459"/>
      <c r="X91" s="2460"/>
      <c r="Y91" s="2461"/>
      <c r="Z91" s="2462"/>
      <c r="AA91" s="2463"/>
      <c r="AB91" s="2464"/>
      <c r="AC91" s="2465"/>
      <c r="AD91" s="2466"/>
      <c r="AE91" s="2467"/>
      <c r="AF91" s="2468"/>
      <c r="AG91" s="2469"/>
      <c r="AH91" s="2470"/>
      <c r="AI91" s="2471"/>
      <c r="AJ91" s="2472"/>
      <c r="AK91" s="2473"/>
      <c r="AL91" s="2474"/>
      <c r="AM91" s="2475"/>
      <c r="AN91" s="2476"/>
      <c r="AO91" s="2477"/>
      <c r="AP91" s="2478"/>
      <c r="AQ91" s="2479"/>
      <c r="AR91" s="2480"/>
      <c r="AS91" s="2481"/>
      <c r="AT91" s="2482"/>
      <c r="AU91" s="5311"/>
      <c r="AV91" s="2182"/>
      <c r="AW91" s="2221"/>
      <c r="AX91" s="2221" t="str">
        <f t="shared" si="2"/>
        <v>Добавить вид теплоносителя (параметры теплоносителя)</v>
      </c>
      <c r="AY91" s="2221"/>
      <c r="AZ91" s="2221"/>
    </row>
    <row r="92" spans="1:52" s="2483" customFormat="1" ht="15" customHeight="1">
      <c r="A92" s="2211"/>
      <c r="B92" s="2211"/>
      <c r="C92" s="2211"/>
      <c r="D92" s="2211"/>
      <c r="E92" s="5315" t="s">
        <v>98</v>
      </c>
      <c r="F92" s="5315"/>
      <c r="G92" s="5315"/>
      <c r="H92" s="5315"/>
      <c r="I92" s="5312"/>
      <c r="J92" s="2211"/>
      <c r="K92" s="2211"/>
      <c r="L92" s="2212"/>
      <c r="M92" s="2174"/>
      <c r="N92" s="2228"/>
      <c r="O92" s="2228"/>
      <c r="P92" s="5313"/>
      <c r="Q92" s="2229"/>
      <c r="R92" s="2230"/>
      <c r="S92" s="2484"/>
      <c r="T92" s="2485" t="s">
        <v>531</v>
      </c>
      <c r="U92" s="2486"/>
      <c r="V92" s="2487"/>
      <c r="W92" s="2488"/>
      <c r="X92" s="2489"/>
      <c r="Y92" s="2490"/>
      <c r="Z92" s="2491"/>
      <c r="AA92" s="2492"/>
      <c r="AB92" s="2493"/>
      <c r="AC92" s="2494"/>
      <c r="AD92" s="2495"/>
      <c r="AE92" s="2496"/>
      <c r="AF92" s="2497"/>
      <c r="AG92" s="2498"/>
      <c r="AH92" s="2499"/>
      <c r="AI92" s="2500"/>
      <c r="AJ92" s="2501"/>
      <c r="AK92" s="2502"/>
      <c r="AL92" s="2503"/>
      <c r="AM92" s="2504"/>
      <c r="AN92" s="2505"/>
      <c r="AO92" s="2506"/>
      <c r="AP92" s="2507"/>
      <c r="AQ92" s="2508"/>
      <c r="AR92" s="2509"/>
      <c r="AS92" s="2510"/>
      <c r="AT92" s="2511"/>
      <c r="AU92" s="2512"/>
      <c r="AV92" s="2182"/>
      <c r="AW92" s="2221"/>
      <c r="AX92" s="2221" t="str">
        <f t="shared" si="2"/>
        <v>Добавить группу потребителей</v>
      </c>
      <c r="AY92" s="2221"/>
      <c r="AZ92" s="2221"/>
    </row>
    <row r="93" spans="1:52" s="2513" customFormat="1" ht="14.25" customHeight="1">
      <c r="A93" s="2211"/>
      <c r="B93" s="2211"/>
      <c r="C93" s="2211"/>
      <c r="D93" s="2211"/>
      <c r="E93" s="5315" t="s">
        <v>98</v>
      </c>
      <c r="F93" s="5315"/>
      <c r="G93" s="5315"/>
      <c r="H93" s="5314"/>
      <c r="I93" s="2211"/>
      <c r="J93" s="2211"/>
      <c r="K93" s="2211"/>
      <c r="L93" s="2212"/>
      <c r="M93" s="2213"/>
      <c r="N93" s="2213"/>
      <c r="O93" s="2174"/>
      <c r="P93" s="2299"/>
      <c r="Q93" s="2300"/>
      <c r="R93" s="2301"/>
      <c r="S93" s="2514"/>
      <c r="T93" s="2515" t="s">
        <v>532</v>
      </c>
      <c r="U93" s="2516"/>
      <c r="V93" s="2517"/>
      <c r="W93" s="2518"/>
      <c r="X93" s="2519"/>
      <c r="Y93" s="2520"/>
      <c r="Z93" s="2521"/>
      <c r="AA93" s="2522"/>
      <c r="AB93" s="2523"/>
      <c r="AC93" s="2524"/>
      <c r="AD93" s="2525"/>
      <c r="AE93" s="2526"/>
      <c r="AF93" s="2527"/>
      <c r="AG93" s="2528"/>
      <c r="AH93" s="2529"/>
      <c r="AI93" s="2530"/>
      <c r="AJ93" s="2531"/>
      <c r="AK93" s="2532"/>
      <c r="AL93" s="2533"/>
      <c r="AM93" s="2534"/>
      <c r="AN93" s="2535"/>
      <c r="AO93" s="2536"/>
      <c r="AP93" s="2537"/>
      <c r="AQ93" s="2538"/>
      <c r="AR93" s="2539"/>
      <c r="AS93" s="2540"/>
      <c r="AT93" s="2541"/>
      <c r="AU93" s="2542"/>
      <c r="AV93" s="2182"/>
      <c r="AW93" s="2221"/>
      <c r="AX93" s="2221" t="str">
        <f t="shared" si="2"/>
        <v>Добавить схему подключения</v>
      </c>
      <c r="AY93" s="2221"/>
      <c r="AZ93" s="2221"/>
    </row>
    <row r="94" spans="1:52" s="2543" customFormat="1" ht="0.75" customHeight="1">
      <c r="A94" s="2332"/>
      <c r="B94" s="2332"/>
      <c r="C94" s="2332"/>
      <c r="D94" s="2332"/>
      <c r="E94" s="5315" t="s">
        <v>98</v>
      </c>
      <c r="F94" s="5315"/>
      <c r="G94" s="5314"/>
      <c r="H94" s="2332"/>
      <c r="I94" s="2332"/>
      <c r="J94" s="2332"/>
      <c r="K94" s="2332"/>
      <c r="L94" s="2333"/>
      <c r="M94" s="2334"/>
      <c r="N94" s="2334"/>
      <c r="O94" s="2182"/>
      <c r="P94" s="2335"/>
      <c r="Q94" s="2336"/>
      <c r="R94" s="2335"/>
      <c r="S94" s="2337"/>
      <c r="T94" s="2338" t="s">
        <v>168</v>
      </c>
      <c r="U94" s="2168"/>
      <c r="V94" s="2168"/>
      <c r="W94" s="2168"/>
      <c r="X94" s="2168"/>
      <c r="Y94" s="2168"/>
      <c r="Z94" s="2168"/>
      <c r="AA94" s="2168"/>
      <c r="AB94" s="2168"/>
      <c r="AC94" s="2168"/>
      <c r="AD94" s="2168"/>
      <c r="AE94" s="2168"/>
      <c r="AF94" s="2168"/>
      <c r="AG94" s="2168"/>
      <c r="AH94" s="2168"/>
      <c r="AI94" s="2168"/>
      <c r="AJ94" s="2168"/>
      <c r="AK94" s="2168"/>
      <c r="AL94" s="2168"/>
      <c r="AM94" s="2168"/>
      <c r="AN94" s="2168"/>
      <c r="AO94" s="2168"/>
      <c r="AP94" s="2168"/>
      <c r="AQ94" s="2168"/>
      <c r="AR94" s="2168"/>
      <c r="AS94" s="2168"/>
      <c r="AT94" s="2168"/>
      <c r="AU94" s="2168"/>
      <c r="AV94" s="2182"/>
      <c r="AW94" s="2221"/>
      <c r="AX94" s="2221" t="str">
        <f t="shared" si="2"/>
        <v>Добавить источник для дифференциации</v>
      </c>
      <c r="AY94" s="2221"/>
      <c r="AZ94" s="2221"/>
    </row>
    <row r="95" spans="1:52" s="2544" customFormat="1" ht="0.75" customHeight="1">
      <c r="A95" s="2332"/>
      <c r="B95" s="2332"/>
      <c r="C95" s="2332"/>
      <c r="D95" s="2332"/>
      <c r="E95" s="5315" t="s">
        <v>98</v>
      </c>
      <c r="F95" s="5314"/>
      <c r="G95" s="2332"/>
      <c r="H95" s="2332"/>
      <c r="I95" s="2332"/>
      <c r="J95" s="2332"/>
      <c r="K95" s="2332"/>
      <c r="L95" s="2333"/>
      <c r="M95" s="2340"/>
      <c r="N95" s="2340"/>
      <c r="O95" s="2182"/>
      <c r="P95" s="2335"/>
      <c r="Q95" s="2336"/>
      <c r="R95" s="2335"/>
      <c r="S95" s="2341"/>
      <c r="T95" s="2342" t="s">
        <v>169</v>
      </c>
      <c r="U95" s="2169"/>
      <c r="V95" s="2169"/>
      <c r="W95" s="2169"/>
      <c r="X95" s="2169"/>
      <c r="Y95" s="2169"/>
      <c r="Z95" s="2169"/>
      <c r="AA95" s="2169"/>
      <c r="AB95" s="2169"/>
      <c r="AC95" s="2169"/>
      <c r="AD95" s="2169"/>
      <c r="AE95" s="2169"/>
      <c r="AF95" s="2169"/>
      <c r="AG95" s="2169"/>
      <c r="AH95" s="2169"/>
      <c r="AI95" s="2169"/>
      <c r="AJ95" s="2169"/>
      <c r="AK95" s="2169"/>
      <c r="AL95" s="2169"/>
      <c r="AM95" s="2169"/>
      <c r="AN95" s="2169"/>
      <c r="AO95" s="2169"/>
      <c r="AP95" s="2169"/>
      <c r="AQ95" s="2169"/>
      <c r="AR95" s="2169"/>
      <c r="AS95" s="2169"/>
      <c r="AT95" s="2169"/>
      <c r="AU95" s="2169"/>
      <c r="AV95" s="2182"/>
      <c r="AW95" s="2221"/>
      <c r="AX95" s="2221" t="str">
        <f t="shared" si="2"/>
        <v>Добавить централизованную систему для дифференциации</v>
      </c>
      <c r="AY95" s="2221"/>
      <c r="AZ95" s="2221"/>
    </row>
    <row r="96" spans="1:52" s="2545" customFormat="1" ht="0.75" customHeight="1">
      <c r="A96" s="2332"/>
      <c r="B96" s="2332"/>
      <c r="C96" s="2332"/>
      <c r="D96" s="2332"/>
      <c r="E96" s="5314" t="s">
        <v>98</v>
      </c>
      <c r="F96" s="2332"/>
      <c r="G96" s="2332"/>
      <c r="H96" s="2332"/>
      <c r="I96" s="2332"/>
      <c r="J96" s="2332"/>
      <c r="K96" s="2332"/>
      <c r="L96" s="2333"/>
      <c r="M96" s="2340"/>
      <c r="N96" s="2340"/>
      <c r="O96" s="2182"/>
      <c r="P96" s="2335"/>
      <c r="Q96" s="2336"/>
      <c r="R96" s="2335"/>
      <c r="S96" s="2341"/>
      <c r="T96" s="2445" t="s">
        <v>174</v>
      </c>
      <c r="U96" s="2169"/>
      <c r="V96" s="2169"/>
      <c r="W96" s="2169"/>
      <c r="X96" s="2169"/>
      <c r="Y96" s="2169"/>
      <c r="Z96" s="2169"/>
      <c r="AA96" s="2169"/>
      <c r="AB96" s="2169"/>
      <c r="AC96" s="2169"/>
      <c r="AD96" s="2169"/>
      <c r="AE96" s="2169"/>
      <c r="AF96" s="2169"/>
      <c r="AG96" s="2169"/>
      <c r="AH96" s="2169"/>
      <c r="AI96" s="2169"/>
      <c r="AJ96" s="2169"/>
      <c r="AK96" s="2169"/>
      <c r="AL96" s="2169"/>
      <c r="AM96" s="2169"/>
      <c r="AN96" s="2169"/>
      <c r="AO96" s="2169"/>
      <c r="AP96" s="2169"/>
      <c r="AQ96" s="2169"/>
      <c r="AR96" s="2169"/>
      <c r="AS96" s="2169"/>
      <c r="AT96" s="2169"/>
      <c r="AU96" s="2169"/>
      <c r="AV96" s="2182"/>
      <c r="AW96" s="2221"/>
      <c r="AX96" s="2221" t="str">
        <f t="shared" si="2"/>
        <v>Добавить территорию для дифференциации</v>
      </c>
      <c r="AY96" s="2221"/>
      <c r="AZ96" s="2221"/>
    </row>
    <row r="97" spans="1:52" s="2546" customFormat="1" ht="21" customHeight="1">
      <c r="A97" s="2211" t="s">
        <v>186</v>
      </c>
      <c r="B97" s="2211"/>
      <c r="C97" s="2211"/>
      <c r="D97" s="2211"/>
      <c r="E97" s="5314" t="s">
        <v>86</v>
      </c>
      <c r="F97" s="2211"/>
      <c r="G97" s="2211"/>
      <c r="H97" s="2211"/>
      <c r="I97" s="2211"/>
      <c r="J97" s="2211"/>
      <c r="K97" s="2211"/>
      <c r="L97" s="2212"/>
      <c r="M97" s="2213"/>
      <c r="N97" s="2213"/>
      <c r="O97" s="2213"/>
      <c r="P97" s="2344"/>
      <c r="Q97" s="2299"/>
      <c r="R97" s="2301"/>
      <c r="S97" s="2217" t="str">
        <f>INDEX(PT_DIFFERENTIATION_NUM_NTAR,MATCH(A97,PT_DIFFERENTIATION_NTAR_ID,0))</f>
        <v>4</v>
      </c>
      <c r="T97" s="2345" t="s">
        <v>127</v>
      </c>
      <c r="U97" s="2219"/>
      <c r="V97" s="5300"/>
      <c r="W97" s="5301"/>
      <c r="X97" s="5301"/>
      <c r="Y97" s="5301"/>
      <c r="Z97" s="5301"/>
      <c r="AA97" s="5301"/>
      <c r="AB97" s="5301"/>
      <c r="AC97" s="5302"/>
      <c r="AD97" s="5300" t="str">
        <f>INDEX(PT_DIFFERENTIATION_NTAR,MATCH(A97,PT_DIFFERENTIATION_NTAR_ID,0))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E97" s="5301"/>
      <c r="AF97" s="5301"/>
      <c r="AG97" s="5301"/>
      <c r="AH97" s="5301"/>
      <c r="AI97" s="5301"/>
      <c r="AJ97" s="5301"/>
      <c r="AK97" s="5301"/>
      <c r="AL97" s="5300"/>
      <c r="AM97" s="5301"/>
      <c r="AN97" s="5301"/>
      <c r="AO97" s="5301"/>
      <c r="AP97" s="5301"/>
      <c r="AQ97" s="5301"/>
      <c r="AR97" s="5301"/>
      <c r="AS97" s="5302"/>
      <c r="AT97" s="5302"/>
      <c r="AU97" s="2220" t="s">
        <v>515</v>
      </c>
      <c r="AV97" s="2182"/>
      <c r="AW97" s="2221"/>
      <c r="AX97" s="2221" t="str">
        <f t="shared" si="2"/>
        <v>Наименование тарифа</v>
      </c>
      <c r="AY97" s="2221"/>
      <c r="AZ97" s="2221"/>
    </row>
    <row r="98" spans="1:52" s="2547" customFormat="1" ht="21" customHeight="1">
      <c r="A98" s="2211"/>
      <c r="B98" s="2211" t="s">
        <v>187</v>
      </c>
      <c r="C98" s="2211"/>
      <c r="D98" s="2211"/>
      <c r="E98" s="5315" t="s">
        <v>85</v>
      </c>
      <c r="F98" s="5314">
        <v>1</v>
      </c>
      <c r="G98" s="2211"/>
      <c r="H98" s="2211"/>
      <c r="I98" s="2211"/>
      <c r="J98" s="2211"/>
      <c r="K98" s="2211"/>
      <c r="L98" s="2212"/>
      <c r="M98" s="2213"/>
      <c r="N98" s="2213"/>
      <c r="O98" s="2213"/>
      <c r="P98" s="2214"/>
      <c r="Q98" s="2215"/>
      <c r="R98" s="2216"/>
      <c r="S98" s="2217" t="str">
        <f>INDEX(PT_DIFFERENTIATION_NUM_TER,MATCH(B98,PT_DIFFERENTIATION_TER_ID,0))</f>
        <v>4.1</v>
      </c>
      <c r="T98" s="2218" t="s">
        <v>516</v>
      </c>
      <c r="U98" s="2219"/>
      <c r="V98" s="5300"/>
      <c r="W98" s="5301"/>
      <c r="X98" s="5301"/>
      <c r="Y98" s="5301"/>
      <c r="Z98" s="5301"/>
      <c r="AA98" s="5301"/>
      <c r="AB98" s="5301"/>
      <c r="AC98" s="5302"/>
      <c r="AD98" s="5300" t="str">
        <f>INDEX(PT_DIFFERENTIATION_TER,MATCH(B98,PT_DIFFERENTIATION_TER_ID,0))</f>
        <v>Территория 2</v>
      </c>
      <c r="AE98" s="5301"/>
      <c r="AF98" s="5301"/>
      <c r="AG98" s="5301"/>
      <c r="AH98" s="5301"/>
      <c r="AI98" s="5301"/>
      <c r="AJ98" s="5301"/>
      <c r="AK98" s="5301"/>
      <c r="AL98" s="5300"/>
      <c r="AM98" s="5301"/>
      <c r="AN98" s="5301"/>
      <c r="AO98" s="5301"/>
      <c r="AP98" s="5301"/>
      <c r="AQ98" s="5301"/>
      <c r="AR98" s="5301"/>
      <c r="AS98" s="5302"/>
      <c r="AT98" s="5302"/>
      <c r="AU98" s="2220" t="s">
        <v>517</v>
      </c>
      <c r="AV98" s="2182"/>
      <c r="AW98" s="2221"/>
      <c r="AX98" s="2221" t="str">
        <f t="shared" si="2"/>
        <v>Территория действия тарифа</v>
      </c>
      <c r="AY98" s="2221"/>
      <c r="AZ98" s="2221"/>
    </row>
    <row r="99" spans="1:52" s="2548" customFormat="1" ht="23.25" customHeight="1">
      <c r="A99" s="2211"/>
      <c r="B99" s="2211"/>
      <c r="C99" s="2211" t="s">
        <v>188</v>
      </c>
      <c r="D99" s="2211"/>
      <c r="E99" s="5315" t="s">
        <v>85</v>
      </c>
      <c r="F99" s="5315"/>
      <c r="G99" s="5314">
        <v>1</v>
      </c>
      <c r="H99" s="2211"/>
      <c r="I99" s="2211"/>
      <c r="J99" s="2211"/>
      <c r="K99" s="2211"/>
      <c r="L99" s="2212"/>
      <c r="M99" s="2213"/>
      <c r="N99" s="2213"/>
      <c r="O99" s="2213"/>
      <c r="P99" s="2223"/>
      <c r="Q99" s="2215"/>
      <c r="R99" s="2216"/>
      <c r="S99" s="2217" t="str">
        <f>INDEX(PT_DIFFERENTIATION_NUM_CS,MATCH(C99,PT_DIFFERENTIATION_CS_ID,0))</f>
        <v>4.1.1</v>
      </c>
      <c r="T99" s="2224" t="s">
        <v>518</v>
      </c>
      <c r="U99" s="2219"/>
      <c r="V99" s="5300"/>
      <c r="W99" s="5301"/>
      <c r="X99" s="5301"/>
      <c r="Y99" s="5301"/>
      <c r="Z99" s="5301"/>
      <c r="AA99" s="5301"/>
      <c r="AB99" s="5301"/>
      <c r="AC99" s="5302"/>
      <c r="AD99" s="5300" t="str">
        <f>INDEX(PT_DIFFERENTIATION_CS,MATCH(C99,PT_DIFFERENTIATION_CS_ID,0))</f>
        <v>открытая система теплоснабжения г. Кировск</v>
      </c>
      <c r="AE99" s="5301"/>
      <c r="AF99" s="5301"/>
      <c r="AG99" s="5301"/>
      <c r="AH99" s="5301"/>
      <c r="AI99" s="5301"/>
      <c r="AJ99" s="5301"/>
      <c r="AK99" s="5301"/>
      <c r="AL99" s="5300"/>
      <c r="AM99" s="5301"/>
      <c r="AN99" s="5301"/>
      <c r="AO99" s="5301"/>
      <c r="AP99" s="5301"/>
      <c r="AQ99" s="5301"/>
      <c r="AR99" s="5301"/>
      <c r="AS99" s="5302"/>
      <c r="AT99" s="5302"/>
      <c r="AU99" s="2220" t="s">
        <v>519</v>
      </c>
      <c r="AV99" s="2182"/>
      <c r="AW99" s="2221"/>
      <c r="AX99" s="2221" t="str">
        <f t="shared" si="2"/>
        <v xml:space="preserve">Наименование системы теплоснабжения </v>
      </c>
      <c r="AY99" s="2221"/>
      <c r="AZ99" s="2221"/>
    </row>
    <row r="100" spans="1:52" s="2549" customFormat="1" ht="21" customHeight="1">
      <c r="A100" s="2211"/>
      <c r="B100" s="2211"/>
      <c r="C100" s="2211"/>
      <c r="D100" s="2211" t="s">
        <v>189</v>
      </c>
      <c r="E100" s="5315" t="s">
        <v>85</v>
      </c>
      <c r="F100" s="5315"/>
      <c r="G100" s="5315"/>
      <c r="H100" s="5314">
        <v>1</v>
      </c>
      <c r="I100" s="2211"/>
      <c r="J100" s="2211"/>
      <c r="K100" s="2211"/>
      <c r="L100" s="2212"/>
      <c r="M100" s="2213"/>
      <c r="N100" s="2213"/>
      <c r="O100" s="2213"/>
      <c r="P100" s="2223"/>
      <c r="Q100" s="2215"/>
      <c r="R100" s="2216"/>
      <c r="S100" s="2217" t="str">
        <f>INDEX(PT_DIFFERENTIATION_NUM_IST_TE,MATCH(D100,PT_DIFFERENTIATION_IST_TE_ID,0))</f>
        <v>4.1.1.1</v>
      </c>
      <c r="T100" s="2226" t="s">
        <v>520</v>
      </c>
      <c r="U100" s="2219"/>
      <c r="V100" s="5300"/>
      <c r="W100" s="5301"/>
      <c r="X100" s="5301"/>
      <c r="Y100" s="5301"/>
      <c r="Z100" s="5301"/>
      <c r="AA100" s="5301"/>
      <c r="AB100" s="5301"/>
      <c r="AC100" s="5302"/>
      <c r="AD100" s="5300" t="str">
        <f>INDEX(PT_DIFFERENTIATION_IST_TE,MATCH(D100,PT_DIFFERENTIATION_IST_TE_ID,0))</f>
        <v>Апатитская ТЭЦ</v>
      </c>
      <c r="AE100" s="5301"/>
      <c r="AF100" s="5301"/>
      <c r="AG100" s="5301"/>
      <c r="AH100" s="5301"/>
      <c r="AI100" s="5301"/>
      <c r="AJ100" s="5301"/>
      <c r="AK100" s="5301"/>
      <c r="AL100" s="5300"/>
      <c r="AM100" s="5301"/>
      <c r="AN100" s="5301"/>
      <c r="AO100" s="5301"/>
      <c r="AP100" s="5301"/>
      <c r="AQ100" s="5301"/>
      <c r="AR100" s="5301"/>
      <c r="AS100" s="5302"/>
      <c r="AT100" s="5302"/>
      <c r="AU100" s="2220" t="s">
        <v>521</v>
      </c>
      <c r="AV100" s="2182"/>
      <c r="AW100" s="2221"/>
      <c r="AX100" s="2221" t="str">
        <f t="shared" si="2"/>
        <v xml:space="preserve">Источник тепловой энергии  </v>
      </c>
      <c r="AY100" s="2221"/>
      <c r="AZ100" s="2221"/>
    </row>
    <row r="101" spans="1:52" s="2550" customFormat="1" ht="47.25" customHeight="1">
      <c r="A101" s="2211"/>
      <c r="B101" s="2211"/>
      <c r="C101" s="2211"/>
      <c r="D101" s="2211"/>
      <c r="E101" s="5315" t="s">
        <v>85</v>
      </c>
      <c r="F101" s="5315"/>
      <c r="G101" s="5315"/>
      <c r="H101" s="5315"/>
      <c r="I101" s="5312" t="str">
        <f>S100&amp;".1"</f>
        <v>4.1.1.1.1</v>
      </c>
      <c r="J101" s="2211"/>
      <c r="K101" s="2211"/>
      <c r="L101" s="2212" t="s">
        <v>522</v>
      </c>
      <c r="M101" s="2174"/>
      <c r="N101" s="2228"/>
      <c r="O101" s="2228"/>
      <c r="P101" s="5313">
        <v>1</v>
      </c>
      <c r="Q101" s="2229"/>
      <c r="R101" s="2230"/>
      <c r="S101" s="2217" t="str">
        <f>$I101</f>
        <v>4.1.1.1.1</v>
      </c>
      <c r="T101" s="2231" t="s">
        <v>523</v>
      </c>
      <c r="U101" s="2219"/>
      <c r="V101" s="5303"/>
      <c r="W101" s="5304"/>
      <c r="X101" s="5304"/>
      <c r="Y101" s="5304"/>
      <c r="Z101" s="5304"/>
      <c r="AA101" s="5304"/>
      <c r="AB101" s="5304"/>
      <c r="AC101" s="5305"/>
      <c r="AD101" s="5303" t="s">
        <v>565</v>
      </c>
      <c r="AE101" s="5304"/>
      <c r="AF101" s="5304"/>
      <c r="AG101" s="5304"/>
      <c r="AH101" s="5304"/>
      <c r="AI101" s="5304"/>
      <c r="AJ101" s="5304"/>
      <c r="AK101" s="5304"/>
      <c r="AL101" s="5303"/>
      <c r="AM101" s="5304"/>
      <c r="AN101" s="5304"/>
      <c r="AO101" s="5304"/>
      <c r="AP101" s="5304"/>
      <c r="AQ101" s="5304"/>
      <c r="AR101" s="5304"/>
      <c r="AS101" s="5305"/>
      <c r="AT101" s="5305"/>
      <c r="AU101" s="2220" t="s">
        <v>524</v>
      </c>
      <c r="AV101" s="2182"/>
      <c r="AW101" s="2221"/>
      <c r="AX101" s="2221" t="str">
        <f t="shared" si="2"/>
        <v>Схема подключения теплопотребляющей установки к коллектору источника тепловой энергии</v>
      </c>
      <c r="AY101" s="2221"/>
      <c r="AZ101" s="2221"/>
    </row>
    <row r="102" spans="1:52" s="2551" customFormat="1" ht="21" customHeight="1">
      <c r="A102" s="2211"/>
      <c r="B102" s="2211"/>
      <c r="C102" s="2211"/>
      <c r="D102" s="2211"/>
      <c r="E102" s="5315" t="s">
        <v>85</v>
      </c>
      <c r="F102" s="5315"/>
      <c r="G102" s="5315"/>
      <c r="H102" s="5315"/>
      <c r="I102" s="5335"/>
      <c r="J102" s="5312" t="str">
        <f>I101&amp;".1"</f>
        <v>4.1.1.1.1.1</v>
      </c>
      <c r="K102" s="2211"/>
      <c r="L102" s="2212" t="s">
        <v>525</v>
      </c>
      <c r="M102" s="2174"/>
      <c r="N102" s="2174"/>
      <c r="O102" s="2228"/>
      <c r="P102" s="5313"/>
      <c r="Q102" s="5313">
        <v>1</v>
      </c>
      <c r="R102" s="2233"/>
      <c r="S102" s="2217" t="str">
        <f>$J102</f>
        <v>4.1.1.1.1.1</v>
      </c>
      <c r="T102" s="2234" t="s">
        <v>526</v>
      </c>
      <c r="U102" s="2219"/>
      <c r="V102" s="5303"/>
      <c r="W102" s="5304"/>
      <c r="X102" s="5304"/>
      <c r="Y102" s="5304"/>
      <c r="Z102" s="5304"/>
      <c r="AA102" s="5304"/>
      <c r="AB102" s="5304"/>
      <c r="AC102" s="5305"/>
      <c r="AD102" s="5303" t="s">
        <v>565</v>
      </c>
      <c r="AE102" s="5304"/>
      <c r="AF102" s="5304"/>
      <c r="AG102" s="5304"/>
      <c r="AH102" s="5304"/>
      <c r="AI102" s="5304"/>
      <c r="AJ102" s="5304"/>
      <c r="AK102" s="5304"/>
      <c r="AL102" s="5303"/>
      <c r="AM102" s="5304"/>
      <c r="AN102" s="5304"/>
      <c r="AO102" s="5304"/>
      <c r="AP102" s="5304"/>
      <c r="AQ102" s="5304"/>
      <c r="AR102" s="5304"/>
      <c r="AS102" s="5305"/>
      <c r="AT102" s="5305"/>
      <c r="AU102" s="2220" t="s">
        <v>527</v>
      </c>
      <c r="AV102" s="2182"/>
      <c r="AW102" s="2221"/>
      <c r="AX102" s="2221" t="str">
        <f t="shared" si="2"/>
        <v>Группа потребителей</v>
      </c>
      <c r="AY102" s="2221"/>
      <c r="AZ102" s="2221"/>
    </row>
    <row r="103" spans="1:52" s="2552" customFormat="1" ht="21" customHeight="1">
      <c r="A103" s="2211"/>
      <c r="B103" s="2211"/>
      <c r="C103" s="2211"/>
      <c r="D103" s="2211"/>
      <c r="E103" s="5315" t="s">
        <v>85</v>
      </c>
      <c r="F103" s="5315"/>
      <c r="G103" s="5315"/>
      <c r="H103" s="5315"/>
      <c r="I103" s="5335"/>
      <c r="J103" s="5335"/>
      <c r="K103" s="5312" t="str">
        <f>J102&amp;".1"</f>
        <v>4.1.1.1.1.1.1</v>
      </c>
      <c r="L103" s="2212" t="s">
        <v>528</v>
      </c>
      <c r="M103" s="2174"/>
      <c r="N103" s="2174"/>
      <c r="O103" s="2174"/>
      <c r="P103" s="5313"/>
      <c r="Q103" s="5313"/>
      <c r="R103" s="2233">
        <v>1</v>
      </c>
      <c r="S103" s="2217" t="str">
        <f>$K103</f>
        <v>4.1.1.1.1.1.1</v>
      </c>
      <c r="T103" s="2236" t="s">
        <v>566</v>
      </c>
      <c r="U103" s="2219"/>
      <c r="V103" s="2139"/>
      <c r="W103" s="2140"/>
      <c r="X103" s="2139"/>
      <c r="Y103" s="2141"/>
      <c r="Z103" s="5317"/>
      <c r="AA103" s="5161" t="s">
        <v>62</v>
      </c>
      <c r="AB103" s="5317"/>
      <c r="AC103" s="5161" t="s">
        <v>62</v>
      </c>
      <c r="AD103" s="2139">
        <v>3052.14</v>
      </c>
      <c r="AE103" s="2140"/>
      <c r="AF103" s="2139"/>
      <c r="AG103" s="2141"/>
      <c r="AH103" s="5317">
        <v>45658.547592592593</v>
      </c>
      <c r="AI103" s="5161" t="s">
        <v>62</v>
      </c>
      <c r="AJ103" s="5317">
        <v>45838.547650462962</v>
      </c>
      <c r="AK103" s="5161" t="s">
        <v>62</v>
      </c>
      <c r="AL103" s="2139">
        <v>3717.61</v>
      </c>
      <c r="AM103" s="2140"/>
      <c r="AN103" s="2139"/>
      <c r="AO103" s="2141"/>
      <c r="AP103" s="5317">
        <v>45839.547881944447</v>
      </c>
      <c r="AQ103" s="5161" t="s">
        <v>62</v>
      </c>
      <c r="AR103" s="5317">
        <v>46022.547974537039</v>
      </c>
      <c r="AS103" s="5161" t="s">
        <v>62</v>
      </c>
      <c r="AT103" s="2140"/>
      <c r="AU103" s="5309" t="s">
        <v>529</v>
      </c>
      <c r="AV103" s="2182" t="e">
        <f ca="1">STRCHECKDATE(V104:AT104)</f>
        <v>#NAME?</v>
      </c>
      <c r="AW103" s="2221"/>
      <c r="AX103" s="2221" t="str">
        <f t="shared" si="2"/>
        <v>вода</v>
      </c>
      <c r="AY103" s="2221"/>
      <c r="AZ103" s="2221"/>
    </row>
    <row r="104" spans="1:52" s="2553" customFormat="1" ht="0.75" customHeight="1">
      <c r="A104" s="2211"/>
      <c r="B104" s="2211"/>
      <c r="C104" s="2211"/>
      <c r="D104" s="2211"/>
      <c r="E104" s="5315" t="s">
        <v>85</v>
      </c>
      <c r="F104" s="5315"/>
      <c r="G104" s="5315"/>
      <c r="H104" s="5315"/>
      <c r="I104" s="5335"/>
      <c r="J104" s="5335"/>
      <c r="K104" s="5312"/>
      <c r="L104" s="2212"/>
      <c r="M104" s="2174"/>
      <c r="N104" s="2174"/>
      <c r="O104" s="2174"/>
      <c r="P104" s="5313"/>
      <c r="Q104" s="5313"/>
      <c r="R104" s="2233"/>
      <c r="S104" s="2238"/>
      <c r="T104" s="2219"/>
      <c r="U104" s="2219"/>
      <c r="V104" s="2140"/>
      <c r="W104" s="2140"/>
      <c r="X104" s="2140"/>
      <c r="Y104" s="2142" t="str">
        <f>Z103&amp;"-"&amp;AB103</f>
        <v>-</v>
      </c>
      <c r="Z104" s="5318"/>
      <c r="AA104" s="5161"/>
      <c r="AB104" s="5318"/>
      <c r="AC104" s="5161"/>
      <c r="AD104" s="2140"/>
      <c r="AE104" s="2140"/>
      <c r="AF104" s="2140"/>
      <c r="AG104" s="2142" t="str">
        <f>AH103&amp;"-"&amp;AJ103</f>
        <v>45658,5475925926-45838,547650463</v>
      </c>
      <c r="AH104" s="5318"/>
      <c r="AI104" s="5161"/>
      <c r="AJ104" s="5318"/>
      <c r="AK104" s="5161"/>
      <c r="AL104" s="2140"/>
      <c r="AM104" s="2140"/>
      <c r="AN104" s="2140"/>
      <c r="AO104" s="2142" t="str">
        <f>AP103&amp;"-"&amp;AR103</f>
        <v>45839,5478819444-46022,547974537</v>
      </c>
      <c r="AP104" s="5318"/>
      <c r="AQ104" s="5161"/>
      <c r="AR104" s="5318"/>
      <c r="AS104" s="5161"/>
      <c r="AT104" s="2140"/>
      <c r="AU104" s="5310"/>
      <c r="AV104" s="2182"/>
      <c r="AW104" s="2221"/>
      <c r="AX104" s="2221" t="str">
        <f t="shared" si="2"/>
        <v/>
      </c>
      <c r="AY104" s="2221"/>
      <c r="AZ104" s="2221"/>
    </row>
    <row r="105" spans="1:52" s="2554" customFormat="1" ht="15" customHeight="1">
      <c r="A105" s="2211"/>
      <c r="B105" s="2211"/>
      <c r="C105" s="2211"/>
      <c r="D105" s="2211"/>
      <c r="E105" s="5315" t="s">
        <v>85</v>
      </c>
      <c r="F105" s="5315"/>
      <c r="G105" s="5315"/>
      <c r="H105" s="5315"/>
      <c r="I105" s="5335"/>
      <c r="J105" s="5312"/>
      <c r="K105" s="2211"/>
      <c r="L105" s="2212"/>
      <c r="M105" s="2174"/>
      <c r="N105" s="2174"/>
      <c r="O105" s="2228"/>
      <c r="P105" s="5313"/>
      <c r="Q105" s="5313"/>
      <c r="R105" s="2230"/>
      <c r="S105" s="2555"/>
      <c r="T105" s="2556" t="s">
        <v>530</v>
      </c>
      <c r="U105" s="2557"/>
      <c r="V105" s="2558"/>
      <c r="W105" s="2559"/>
      <c r="X105" s="2560"/>
      <c r="Y105" s="2561"/>
      <c r="Z105" s="2562"/>
      <c r="AA105" s="2563"/>
      <c r="AB105" s="2564"/>
      <c r="AC105" s="2565"/>
      <c r="AD105" s="2566"/>
      <c r="AE105" s="2567"/>
      <c r="AF105" s="2568"/>
      <c r="AG105" s="2569"/>
      <c r="AH105" s="2570"/>
      <c r="AI105" s="2571"/>
      <c r="AJ105" s="2572"/>
      <c r="AK105" s="2573"/>
      <c r="AL105" s="2574"/>
      <c r="AM105" s="2575"/>
      <c r="AN105" s="2576"/>
      <c r="AO105" s="2577"/>
      <c r="AP105" s="2578"/>
      <c r="AQ105" s="2579"/>
      <c r="AR105" s="2580"/>
      <c r="AS105" s="2581"/>
      <c r="AT105" s="2582"/>
      <c r="AU105" s="5311"/>
      <c r="AV105" s="2182"/>
      <c r="AW105" s="2221"/>
      <c r="AX105" s="2221" t="str">
        <f t="shared" si="2"/>
        <v>Добавить вид теплоносителя (параметры теплоносителя)</v>
      </c>
      <c r="AY105" s="2221"/>
      <c r="AZ105" s="2221"/>
    </row>
    <row r="106" spans="1:52" s="2583" customFormat="1" ht="15" customHeight="1">
      <c r="A106" s="2211"/>
      <c r="B106" s="2211"/>
      <c r="C106" s="2211"/>
      <c r="D106" s="2211"/>
      <c r="E106" s="5315" t="s">
        <v>85</v>
      </c>
      <c r="F106" s="5315"/>
      <c r="G106" s="5315"/>
      <c r="H106" s="5315"/>
      <c r="I106" s="5312"/>
      <c r="J106" s="2211"/>
      <c r="K106" s="2211"/>
      <c r="L106" s="2212"/>
      <c r="M106" s="2174"/>
      <c r="N106" s="2228"/>
      <c r="O106" s="2228"/>
      <c r="P106" s="5313"/>
      <c r="Q106" s="2229"/>
      <c r="R106" s="2230"/>
      <c r="S106" s="2584"/>
      <c r="T106" s="2585" t="s">
        <v>531</v>
      </c>
      <c r="U106" s="2586"/>
      <c r="V106" s="2587"/>
      <c r="W106" s="2588"/>
      <c r="X106" s="2589"/>
      <c r="Y106" s="2590"/>
      <c r="Z106" s="2591"/>
      <c r="AA106" s="2592"/>
      <c r="AB106" s="2593"/>
      <c r="AC106" s="2594"/>
      <c r="AD106" s="2595"/>
      <c r="AE106" s="2596"/>
      <c r="AF106" s="2597"/>
      <c r="AG106" s="2598"/>
      <c r="AH106" s="2599"/>
      <c r="AI106" s="2600"/>
      <c r="AJ106" s="2601"/>
      <c r="AK106" s="2602"/>
      <c r="AL106" s="2603"/>
      <c r="AM106" s="2604"/>
      <c r="AN106" s="2605"/>
      <c r="AO106" s="2606"/>
      <c r="AP106" s="2607"/>
      <c r="AQ106" s="2608"/>
      <c r="AR106" s="2609"/>
      <c r="AS106" s="2610"/>
      <c r="AT106" s="2611"/>
      <c r="AU106" s="2612"/>
      <c r="AV106" s="2182"/>
      <c r="AW106" s="2221"/>
      <c r="AX106" s="2221" t="str">
        <f t="shared" si="2"/>
        <v>Добавить группу потребителей</v>
      </c>
      <c r="AY106" s="2221"/>
      <c r="AZ106" s="2221"/>
    </row>
    <row r="107" spans="1:52" s="2613" customFormat="1" ht="14.25" customHeight="1">
      <c r="A107" s="2211"/>
      <c r="B107" s="2211"/>
      <c r="C107" s="2211"/>
      <c r="D107" s="2211"/>
      <c r="E107" s="5315" t="s">
        <v>85</v>
      </c>
      <c r="F107" s="5315"/>
      <c r="G107" s="5315"/>
      <c r="H107" s="5314"/>
      <c r="I107" s="2211"/>
      <c r="J107" s="2211"/>
      <c r="K107" s="2211"/>
      <c r="L107" s="2212"/>
      <c r="M107" s="2213"/>
      <c r="N107" s="2213"/>
      <c r="O107" s="2174"/>
      <c r="P107" s="2299"/>
      <c r="Q107" s="2300"/>
      <c r="R107" s="2301"/>
      <c r="S107" s="2614"/>
      <c r="T107" s="2615" t="s">
        <v>532</v>
      </c>
      <c r="U107" s="2616"/>
      <c r="V107" s="2617"/>
      <c r="W107" s="2618"/>
      <c r="X107" s="2619"/>
      <c r="Y107" s="2620"/>
      <c r="Z107" s="2621"/>
      <c r="AA107" s="2622"/>
      <c r="AB107" s="2623"/>
      <c r="AC107" s="2624"/>
      <c r="AD107" s="2625"/>
      <c r="AE107" s="2626"/>
      <c r="AF107" s="2627"/>
      <c r="AG107" s="2628"/>
      <c r="AH107" s="2629"/>
      <c r="AI107" s="2630"/>
      <c r="AJ107" s="2631"/>
      <c r="AK107" s="2632"/>
      <c r="AL107" s="2633"/>
      <c r="AM107" s="2634"/>
      <c r="AN107" s="2635"/>
      <c r="AO107" s="2636"/>
      <c r="AP107" s="2637"/>
      <c r="AQ107" s="2638"/>
      <c r="AR107" s="2639"/>
      <c r="AS107" s="2640"/>
      <c r="AT107" s="2641"/>
      <c r="AU107" s="2642"/>
      <c r="AV107" s="2182"/>
      <c r="AW107" s="2221"/>
      <c r="AX107" s="2221" t="str">
        <f t="shared" ref="AX107:AX138" si="3">IF(T107="","",T107)</f>
        <v>Добавить схему подключения</v>
      </c>
      <c r="AY107" s="2221"/>
      <c r="AZ107" s="2221"/>
    </row>
    <row r="108" spans="1:52" s="2643" customFormat="1" ht="0.75" customHeight="1">
      <c r="A108" s="2332"/>
      <c r="B108" s="2332"/>
      <c r="C108" s="2332"/>
      <c r="D108" s="2332"/>
      <c r="E108" s="5315" t="s">
        <v>85</v>
      </c>
      <c r="F108" s="5315"/>
      <c r="G108" s="5314"/>
      <c r="H108" s="2332"/>
      <c r="I108" s="2332"/>
      <c r="J108" s="2332"/>
      <c r="K108" s="2332"/>
      <c r="L108" s="2333"/>
      <c r="M108" s="2334"/>
      <c r="N108" s="2334"/>
      <c r="O108" s="2182"/>
      <c r="P108" s="2335"/>
      <c r="Q108" s="2336"/>
      <c r="R108" s="2335"/>
      <c r="S108" s="2337"/>
      <c r="T108" s="2338" t="s">
        <v>168</v>
      </c>
      <c r="U108" s="2168"/>
      <c r="V108" s="2168"/>
      <c r="W108" s="2168"/>
      <c r="X108" s="2168"/>
      <c r="Y108" s="2168"/>
      <c r="Z108" s="2168"/>
      <c r="AA108" s="2168"/>
      <c r="AB108" s="2168"/>
      <c r="AC108" s="2168"/>
      <c r="AD108" s="2168"/>
      <c r="AE108" s="2168"/>
      <c r="AF108" s="2168"/>
      <c r="AG108" s="2168"/>
      <c r="AH108" s="2168"/>
      <c r="AI108" s="2168"/>
      <c r="AJ108" s="2168"/>
      <c r="AK108" s="2168"/>
      <c r="AL108" s="2168"/>
      <c r="AM108" s="2168"/>
      <c r="AN108" s="2168"/>
      <c r="AO108" s="2168"/>
      <c r="AP108" s="2168"/>
      <c r="AQ108" s="2168"/>
      <c r="AR108" s="2168"/>
      <c r="AS108" s="2168"/>
      <c r="AT108" s="2168"/>
      <c r="AU108" s="2168"/>
      <c r="AV108" s="2182"/>
      <c r="AW108" s="2221"/>
      <c r="AX108" s="2221" t="str">
        <f t="shared" si="3"/>
        <v>Добавить источник для дифференциации</v>
      </c>
      <c r="AY108" s="2221"/>
      <c r="AZ108" s="2221"/>
    </row>
    <row r="109" spans="1:52" s="2644" customFormat="1" ht="0.75" customHeight="1">
      <c r="A109" s="2332"/>
      <c r="B109" s="2332"/>
      <c r="C109" s="2332"/>
      <c r="D109" s="2332"/>
      <c r="E109" s="5315" t="s">
        <v>85</v>
      </c>
      <c r="F109" s="5314"/>
      <c r="G109" s="2332"/>
      <c r="H109" s="2332"/>
      <c r="I109" s="2332"/>
      <c r="J109" s="2332"/>
      <c r="K109" s="2332"/>
      <c r="L109" s="2333"/>
      <c r="M109" s="2340"/>
      <c r="N109" s="2340"/>
      <c r="O109" s="2182"/>
      <c r="P109" s="2335"/>
      <c r="Q109" s="2336"/>
      <c r="R109" s="2335"/>
      <c r="S109" s="2341"/>
      <c r="T109" s="2342" t="s">
        <v>169</v>
      </c>
      <c r="U109" s="2169"/>
      <c r="V109" s="2169"/>
      <c r="W109" s="2169"/>
      <c r="X109" s="2169"/>
      <c r="Y109" s="2169"/>
      <c r="Z109" s="2169"/>
      <c r="AA109" s="2169"/>
      <c r="AB109" s="2169"/>
      <c r="AC109" s="2169"/>
      <c r="AD109" s="2169"/>
      <c r="AE109" s="2169"/>
      <c r="AF109" s="2169"/>
      <c r="AG109" s="2169"/>
      <c r="AH109" s="2169"/>
      <c r="AI109" s="2169"/>
      <c r="AJ109" s="2169"/>
      <c r="AK109" s="2169"/>
      <c r="AL109" s="2169"/>
      <c r="AM109" s="2169"/>
      <c r="AN109" s="2169"/>
      <c r="AO109" s="2169"/>
      <c r="AP109" s="2169"/>
      <c r="AQ109" s="2169"/>
      <c r="AR109" s="2169"/>
      <c r="AS109" s="2169"/>
      <c r="AT109" s="2169"/>
      <c r="AU109" s="2169"/>
      <c r="AV109" s="2182"/>
      <c r="AW109" s="2221"/>
      <c r="AX109" s="2221" t="str">
        <f t="shared" si="3"/>
        <v>Добавить централизованную систему для дифференциации</v>
      </c>
      <c r="AY109" s="2221"/>
      <c r="AZ109" s="2221"/>
    </row>
    <row r="110" spans="1:52" s="2645" customFormat="1" ht="0.75" customHeight="1">
      <c r="A110" s="2332"/>
      <c r="B110" s="2332"/>
      <c r="C110" s="2332"/>
      <c r="D110" s="2332"/>
      <c r="E110" s="5314" t="s">
        <v>85</v>
      </c>
      <c r="F110" s="2332"/>
      <c r="G110" s="2332"/>
      <c r="H110" s="2332"/>
      <c r="I110" s="2332"/>
      <c r="J110" s="2332"/>
      <c r="K110" s="2332"/>
      <c r="L110" s="2333"/>
      <c r="M110" s="2340"/>
      <c r="N110" s="2340"/>
      <c r="O110" s="2182"/>
      <c r="P110" s="2335"/>
      <c r="Q110" s="2336"/>
      <c r="R110" s="2335"/>
      <c r="S110" s="2341"/>
      <c r="T110" s="2445" t="s">
        <v>174</v>
      </c>
      <c r="U110" s="2169"/>
      <c r="V110" s="2169"/>
      <c r="W110" s="2169"/>
      <c r="X110" s="2169"/>
      <c r="Y110" s="2169"/>
      <c r="Z110" s="2169"/>
      <c r="AA110" s="2169"/>
      <c r="AB110" s="2169"/>
      <c r="AC110" s="2169"/>
      <c r="AD110" s="2169"/>
      <c r="AE110" s="2169"/>
      <c r="AF110" s="2169"/>
      <c r="AG110" s="2169"/>
      <c r="AH110" s="2169"/>
      <c r="AI110" s="2169"/>
      <c r="AJ110" s="2169"/>
      <c r="AK110" s="2169"/>
      <c r="AL110" s="2169"/>
      <c r="AM110" s="2169"/>
      <c r="AN110" s="2169"/>
      <c r="AO110" s="2169"/>
      <c r="AP110" s="2169"/>
      <c r="AQ110" s="2169"/>
      <c r="AR110" s="2169"/>
      <c r="AS110" s="2169"/>
      <c r="AT110" s="2169"/>
      <c r="AU110" s="2169"/>
      <c r="AV110" s="2182"/>
      <c r="AW110" s="2221"/>
      <c r="AX110" s="2221" t="str">
        <f t="shared" si="3"/>
        <v>Добавить территорию для дифференциации</v>
      </c>
      <c r="AY110" s="2221"/>
      <c r="AZ110" s="2221"/>
    </row>
    <row r="111" spans="1:52" s="2646" customFormat="1" ht="21" customHeight="1">
      <c r="A111" s="2211" t="s">
        <v>191</v>
      </c>
      <c r="B111" s="2211"/>
      <c r="C111" s="2211"/>
      <c r="D111" s="2211"/>
      <c r="E111" s="5314" t="s">
        <v>115</v>
      </c>
      <c r="F111" s="2211"/>
      <c r="G111" s="2211"/>
      <c r="H111" s="2211"/>
      <c r="I111" s="2211"/>
      <c r="J111" s="2211"/>
      <c r="K111" s="2211"/>
      <c r="L111" s="2212"/>
      <c r="M111" s="2213"/>
      <c r="N111" s="2213"/>
      <c r="O111" s="2213"/>
      <c r="P111" s="2344"/>
      <c r="Q111" s="2299"/>
      <c r="R111" s="2301"/>
      <c r="S111" s="2217" t="str">
        <f>INDEX(PT_DIFFERENTIATION_NUM_NTAR,MATCH(A111,PT_DIFFERENTIATION_NTAR_ID,0))</f>
        <v>5</v>
      </c>
      <c r="T111" s="2345" t="s">
        <v>127</v>
      </c>
      <c r="U111" s="2219"/>
      <c r="V111" s="5300"/>
      <c r="W111" s="5301"/>
      <c r="X111" s="5301"/>
      <c r="Y111" s="5301"/>
      <c r="Z111" s="5301"/>
      <c r="AA111" s="5301"/>
      <c r="AB111" s="5301"/>
      <c r="AC111" s="5302"/>
      <c r="AD111" s="5300" t="str">
        <f>INDEX(PT_DIFFERENTIATION_NTAR,MATCH(A111,PT_DIFFERENTIATION_NTAR_ID,0))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AE111" s="5301"/>
      <c r="AF111" s="5301"/>
      <c r="AG111" s="5301"/>
      <c r="AH111" s="5301"/>
      <c r="AI111" s="5301"/>
      <c r="AJ111" s="5301"/>
      <c r="AK111" s="5301"/>
      <c r="AL111" s="5300"/>
      <c r="AM111" s="5301"/>
      <c r="AN111" s="5301"/>
      <c r="AO111" s="5301"/>
      <c r="AP111" s="5301"/>
      <c r="AQ111" s="5301"/>
      <c r="AR111" s="5301"/>
      <c r="AS111" s="5302"/>
      <c r="AT111" s="5302"/>
      <c r="AU111" s="2220" t="s">
        <v>515</v>
      </c>
      <c r="AV111" s="2182"/>
      <c r="AW111" s="2221"/>
      <c r="AX111" s="2221" t="str">
        <f t="shared" si="3"/>
        <v>Наименование тарифа</v>
      </c>
      <c r="AY111" s="2221"/>
      <c r="AZ111" s="2221"/>
    </row>
    <row r="112" spans="1:52" s="2647" customFormat="1" ht="21" customHeight="1">
      <c r="A112" s="2211"/>
      <c r="B112" s="2211" t="s">
        <v>192</v>
      </c>
      <c r="C112" s="2211"/>
      <c r="D112" s="2211"/>
      <c r="E112" s="5315" t="s">
        <v>86</v>
      </c>
      <c r="F112" s="5314">
        <v>1</v>
      </c>
      <c r="G112" s="2211"/>
      <c r="H112" s="2211"/>
      <c r="I112" s="2211"/>
      <c r="J112" s="2211"/>
      <c r="K112" s="2211"/>
      <c r="L112" s="2212"/>
      <c r="M112" s="2213"/>
      <c r="N112" s="2213"/>
      <c r="O112" s="2213"/>
      <c r="P112" s="2214"/>
      <c r="Q112" s="2215"/>
      <c r="R112" s="2216"/>
      <c r="S112" s="2217" t="str">
        <f>INDEX(PT_DIFFERENTIATION_NUM_TER,MATCH(B112,PT_DIFFERENTIATION_TER_ID,0))</f>
        <v>5.1</v>
      </c>
      <c r="T112" s="2218" t="s">
        <v>516</v>
      </c>
      <c r="U112" s="2219"/>
      <c r="V112" s="5300"/>
      <c r="W112" s="5301"/>
      <c r="X112" s="5301"/>
      <c r="Y112" s="5301"/>
      <c r="Z112" s="5301"/>
      <c r="AA112" s="5301"/>
      <c r="AB112" s="5301"/>
      <c r="AC112" s="5302"/>
      <c r="AD112" s="5300" t="str">
        <f>INDEX(PT_DIFFERENTIATION_TER,MATCH(B112,PT_DIFFERENTIATION_TER_ID,0))</f>
        <v>Территория 1</v>
      </c>
      <c r="AE112" s="5301"/>
      <c r="AF112" s="5301"/>
      <c r="AG112" s="5301"/>
      <c r="AH112" s="5301"/>
      <c r="AI112" s="5301"/>
      <c r="AJ112" s="5301"/>
      <c r="AK112" s="5301"/>
      <c r="AL112" s="5300"/>
      <c r="AM112" s="5301"/>
      <c r="AN112" s="5301"/>
      <c r="AO112" s="5301"/>
      <c r="AP112" s="5301"/>
      <c r="AQ112" s="5301"/>
      <c r="AR112" s="5301"/>
      <c r="AS112" s="5302"/>
      <c r="AT112" s="5302"/>
      <c r="AU112" s="2220" t="s">
        <v>517</v>
      </c>
      <c r="AV112" s="2182"/>
      <c r="AW112" s="2221"/>
      <c r="AX112" s="2221" t="str">
        <f t="shared" si="3"/>
        <v>Территория действия тарифа</v>
      </c>
      <c r="AY112" s="2221"/>
      <c r="AZ112" s="2221"/>
    </row>
    <row r="113" spans="1:52" s="2648" customFormat="1" ht="23.25" customHeight="1">
      <c r="A113" s="2211"/>
      <c r="B113" s="2211"/>
      <c r="C113" s="2211" t="s">
        <v>193</v>
      </c>
      <c r="D113" s="2211"/>
      <c r="E113" s="5315" t="s">
        <v>86</v>
      </c>
      <c r="F113" s="5315"/>
      <c r="G113" s="5314">
        <v>1</v>
      </c>
      <c r="H113" s="2211"/>
      <c r="I113" s="2211"/>
      <c r="J113" s="2211"/>
      <c r="K113" s="2211"/>
      <c r="L113" s="2212"/>
      <c r="M113" s="2213"/>
      <c r="N113" s="2213"/>
      <c r="O113" s="2213"/>
      <c r="P113" s="2223"/>
      <c r="Q113" s="2215"/>
      <c r="R113" s="2216"/>
      <c r="S113" s="2217" t="str">
        <f>INDEX(PT_DIFFERENTIATION_NUM_CS,MATCH(C113,PT_DIFFERENTIATION_CS_ID,0))</f>
        <v>5.1.1</v>
      </c>
      <c r="T113" s="2224" t="s">
        <v>518</v>
      </c>
      <c r="U113" s="2219"/>
      <c r="V113" s="5300"/>
      <c r="W113" s="5301"/>
      <c r="X113" s="5301"/>
      <c r="Y113" s="5301"/>
      <c r="Z113" s="5301"/>
      <c r="AA113" s="5301"/>
      <c r="AB113" s="5301"/>
      <c r="AC113" s="5302"/>
      <c r="AD113" s="5300" t="str">
        <f>INDEX(PT_DIFFERENTIATION_CS,MATCH(C113,PT_DIFFERENTIATION_CS_ID,0))</f>
        <v xml:space="preserve">открытая система теплоснабжения г. Апатиты
</v>
      </c>
      <c r="AE113" s="5301"/>
      <c r="AF113" s="5301"/>
      <c r="AG113" s="5301"/>
      <c r="AH113" s="5301"/>
      <c r="AI113" s="5301"/>
      <c r="AJ113" s="5301"/>
      <c r="AK113" s="5301"/>
      <c r="AL113" s="5300"/>
      <c r="AM113" s="5301"/>
      <c r="AN113" s="5301"/>
      <c r="AO113" s="5301"/>
      <c r="AP113" s="5301"/>
      <c r="AQ113" s="5301"/>
      <c r="AR113" s="5301"/>
      <c r="AS113" s="5302"/>
      <c r="AT113" s="5302"/>
      <c r="AU113" s="2220" t="s">
        <v>519</v>
      </c>
      <c r="AV113" s="2182"/>
      <c r="AW113" s="2221"/>
      <c r="AX113" s="2221" t="str">
        <f t="shared" si="3"/>
        <v xml:space="preserve">Наименование системы теплоснабжения </v>
      </c>
      <c r="AY113" s="2221"/>
      <c r="AZ113" s="2221"/>
    </row>
    <row r="114" spans="1:52" s="2649" customFormat="1" ht="21" customHeight="1">
      <c r="A114" s="2211"/>
      <c r="B114" s="2211"/>
      <c r="C114" s="2211"/>
      <c r="D114" s="2211" t="s">
        <v>194</v>
      </c>
      <c r="E114" s="5315" t="s">
        <v>86</v>
      </c>
      <c r="F114" s="5315"/>
      <c r="G114" s="5315"/>
      <c r="H114" s="5314">
        <v>1</v>
      </c>
      <c r="I114" s="2211"/>
      <c r="J114" s="2211"/>
      <c r="K114" s="2211"/>
      <c r="L114" s="2212"/>
      <c r="M114" s="2213"/>
      <c r="N114" s="2213"/>
      <c r="O114" s="2213"/>
      <c r="P114" s="2223"/>
      <c r="Q114" s="2215"/>
      <c r="R114" s="2216"/>
      <c r="S114" s="2217" t="str">
        <f>INDEX(PT_DIFFERENTIATION_NUM_IST_TE,MATCH(D114,PT_DIFFERENTIATION_IST_TE_ID,0))</f>
        <v>5.1.1.1</v>
      </c>
      <c r="T114" s="2226" t="s">
        <v>520</v>
      </c>
      <c r="U114" s="2219"/>
      <c r="V114" s="5300"/>
      <c r="W114" s="5301"/>
      <c r="X114" s="5301"/>
      <c r="Y114" s="5301"/>
      <c r="Z114" s="5301"/>
      <c r="AA114" s="5301"/>
      <c r="AB114" s="5301"/>
      <c r="AC114" s="5302"/>
      <c r="AD114" s="5300" t="str">
        <f>INDEX(PT_DIFFERENTIATION_IST_TE,MATCH(D114,PT_DIFFERENTIATION_IST_TE_ID,0))</f>
        <v>Апатитская ТЭЦ</v>
      </c>
      <c r="AE114" s="5301"/>
      <c r="AF114" s="5301"/>
      <c r="AG114" s="5301"/>
      <c r="AH114" s="5301"/>
      <c r="AI114" s="5301"/>
      <c r="AJ114" s="5301"/>
      <c r="AK114" s="5301"/>
      <c r="AL114" s="5300"/>
      <c r="AM114" s="5301"/>
      <c r="AN114" s="5301"/>
      <c r="AO114" s="5301"/>
      <c r="AP114" s="5301"/>
      <c r="AQ114" s="5301"/>
      <c r="AR114" s="5301"/>
      <c r="AS114" s="5302"/>
      <c r="AT114" s="5302"/>
      <c r="AU114" s="2220" t="s">
        <v>521</v>
      </c>
      <c r="AV114" s="2182"/>
      <c r="AW114" s="2221"/>
      <c r="AX114" s="2221" t="str">
        <f t="shared" si="3"/>
        <v xml:space="preserve">Источник тепловой энергии  </v>
      </c>
      <c r="AY114" s="2221"/>
      <c r="AZ114" s="2221"/>
    </row>
    <row r="115" spans="1:52" s="2650" customFormat="1" ht="47.25" customHeight="1">
      <c r="A115" s="2211"/>
      <c r="B115" s="2211"/>
      <c r="C115" s="2211"/>
      <c r="D115" s="2211"/>
      <c r="E115" s="5315" t="s">
        <v>86</v>
      </c>
      <c r="F115" s="5315"/>
      <c r="G115" s="5315"/>
      <c r="H115" s="5315"/>
      <c r="I115" s="5312" t="str">
        <f>S114&amp;".1"</f>
        <v>5.1.1.1.1</v>
      </c>
      <c r="J115" s="2211"/>
      <c r="K115" s="2211"/>
      <c r="L115" s="2212" t="s">
        <v>522</v>
      </c>
      <c r="M115" s="2174"/>
      <c r="N115" s="2228"/>
      <c r="O115" s="2228"/>
      <c r="P115" s="5313">
        <v>1</v>
      </c>
      <c r="Q115" s="2229"/>
      <c r="R115" s="2230"/>
      <c r="S115" s="2217" t="str">
        <f>$I115</f>
        <v>5.1.1.1.1</v>
      </c>
      <c r="T115" s="2231" t="s">
        <v>523</v>
      </c>
      <c r="U115" s="2219"/>
      <c r="V115" s="5303"/>
      <c r="W115" s="5304"/>
      <c r="X115" s="5304"/>
      <c r="Y115" s="5304"/>
      <c r="Z115" s="5304"/>
      <c r="AA115" s="5304"/>
      <c r="AB115" s="5304"/>
      <c r="AC115" s="5305"/>
      <c r="AD115" s="5303" t="s">
        <v>565</v>
      </c>
      <c r="AE115" s="5304"/>
      <c r="AF115" s="5304"/>
      <c r="AG115" s="5304"/>
      <c r="AH115" s="5304"/>
      <c r="AI115" s="5304"/>
      <c r="AJ115" s="5304"/>
      <c r="AK115" s="5304"/>
      <c r="AL115" s="5303"/>
      <c r="AM115" s="5304"/>
      <c r="AN115" s="5304"/>
      <c r="AO115" s="5304"/>
      <c r="AP115" s="5304"/>
      <c r="AQ115" s="5304"/>
      <c r="AR115" s="5304"/>
      <c r="AS115" s="5305"/>
      <c r="AT115" s="5305"/>
      <c r="AU115" s="2220" t="s">
        <v>524</v>
      </c>
      <c r="AV115" s="2182"/>
      <c r="AW115" s="2221"/>
      <c r="AX115" s="2221" t="str">
        <f t="shared" si="3"/>
        <v>Схема подключения теплопотребляющей установки к коллектору источника тепловой энергии</v>
      </c>
      <c r="AY115" s="2221"/>
      <c r="AZ115" s="2221"/>
    </row>
    <row r="116" spans="1:52" s="2651" customFormat="1" ht="21" customHeight="1">
      <c r="A116" s="2211"/>
      <c r="B116" s="2211"/>
      <c r="C116" s="2211"/>
      <c r="D116" s="2211"/>
      <c r="E116" s="5315" t="s">
        <v>86</v>
      </c>
      <c r="F116" s="5315"/>
      <c r="G116" s="5315"/>
      <c r="H116" s="5315"/>
      <c r="I116" s="5335"/>
      <c r="J116" s="5312" t="str">
        <f>I115&amp;".1"</f>
        <v>5.1.1.1.1.1</v>
      </c>
      <c r="K116" s="2211"/>
      <c r="L116" s="2212" t="s">
        <v>525</v>
      </c>
      <c r="M116" s="2174"/>
      <c r="N116" s="2174"/>
      <c r="O116" s="2228"/>
      <c r="P116" s="5313"/>
      <c r="Q116" s="5313">
        <v>1</v>
      </c>
      <c r="R116" s="2233"/>
      <c r="S116" s="2217" t="str">
        <f>$J116</f>
        <v>5.1.1.1.1.1</v>
      </c>
      <c r="T116" s="2234" t="s">
        <v>526</v>
      </c>
      <c r="U116" s="2219"/>
      <c r="V116" s="5303"/>
      <c r="W116" s="5304"/>
      <c r="X116" s="5304"/>
      <c r="Y116" s="5304"/>
      <c r="Z116" s="5304"/>
      <c r="AA116" s="5304"/>
      <c r="AB116" s="5304"/>
      <c r="AC116" s="5305"/>
      <c r="AD116" s="5303" t="s">
        <v>565</v>
      </c>
      <c r="AE116" s="5304"/>
      <c r="AF116" s="5304"/>
      <c r="AG116" s="5304"/>
      <c r="AH116" s="5304"/>
      <c r="AI116" s="5304"/>
      <c r="AJ116" s="5304"/>
      <c r="AK116" s="5304"/>
      <c r="AL116" s="5303"/>
      <c r="AM116" s="5304"/>
      <c r="AN116" s="5304"/>
      <c r="AO116" s="5304"/>
      <c r="AP116" s="5304"/>
      <c r="AQ116" s="5304"/>
      <c r="AR116" s="5304"/>
      <c r="AS116" s="5305"/>
      <c r="AT116" s="5305"/>
      <c r="AU116" s="2220" t="s">
        <v>527</v>
      </c>
      <c r="AV116" s="2182"/>
      <c r="AW116" s="2221"/>
      <c r="AX116" s="2221" t="str">
        <f t="shared" si="3"/>
        <v>Группа потребителей</v>
      </c>
      <c r="AY116" s="2221"/>
      <c r="AZ116" s="2221"/>
    </row>
    <row r="117" spans="1:52" s="2652" customFormat="1" ht="21" customHeight="1">
      <c r="A117" s="2211"/>
      <c r="B117" s="2211"/>
      <c r="C117" s="2211"/>
      <c r="D117" s="2211"/>
      <c r="E117" s="5315" t="s">
        <v>86</v>
      </c>
      <c r="F117" s="5315"/>
      <c r="G117" s="5315"/>
      <c r="H117" s="5315"/>
      <c r="I117" s="5335"/>
      <c r="J117" s="5335"/>
      <c r="K117" s="5312" t="str">
        <f>J116&amp;".1"</f>
        <v>5.1.1.1.1.1.1</v>
      </c>
      <c r="L117" s="2212" t="s">
        <v>528</v>
      </c>
      <c r="M117" s="2174"/>
      <c r="N117" s="2174"/>
      <c r="O117" s="2174"/>
      <c r="P117" s="5313"/>
      <c r="Q117" s="5313"/>
      <c r="R117" s="2233">
        <v>1</v>
      </c>
      <c r="S117" s="2217" t="str">
        <f>$K117</f>
        <v>5.1.1.1.1.1.1</v>
      </c>
      <c r="T117" s="2236" t="s">
        <v>566</v>
      </c>
      <c r="U117" s="2219"/>
      <c r="V117" s="2139"/>
      <c r="W117" s="2140"/>
      <c r="X117" s="2139"/>
      <c r="Y117" s="2141"/>
      <c r="Z117" s="5317"/>
      <c r="AA117" s="5161" t="s">
        <v>62</v>
      </c>
      <c r="AB117" s="5317"/>
      <c r="AC117" s="5161" t="s">
        <v>62</v>
      </c>
      <c r="AD117" s="2139">
        <v>1803.93</v>
      </c>
      <c r="AE117" s="2140"/>
      <c r="AF117" s="2139"/>
      <c r="AG117" s="2141"/>
      <c r="AH117" s="5317">
        <v>45658.54896990741</v>
      </c>
      <c r="AI117" s="5161" t="s">
        <v>62</v>
      </c>
      <c r="AJ117" s="5317">
        <v>45838.549039351848</v>
      </c>
      <c r="AK117" s="5161" t="s">
        <v>62</v>
      </c>
      <c r="AL117" s="2139">
        <v>2633.01</v>
      </c>
      <c r="AM117" s="2140"/>
      <c r="AN117" s="2139"/>
      <c r="AO117" s="2141"/>
      <c r="AP117" s="5317">
        <v>45839.549212962964</v>
      </c>
      <c r="AQ117" s="5161" t="s">
        <v>62</v>
      </c>
      <c r="AR117" s="5317">
        <v>46022.549305555556</v>
      </c>
      <c r="AS117" s="5161" t="s">
        <v>62</v>
      </c>
      <c r="AT117" s="2140"/>
      <c r="AU117" s="5309" t="s">
        <v>529</v>
      </c>
      <c r="AV117" s="2182" t="e">
        <f ca="1">STRCHECKDATE(V118:AT118)</f>
        <v>#NAME?</v>
      </c>
      <c r="AW117" s="2221"/>
      <c r="AX117" s="2221" t="str">
        <f t="shared" si="3"/>
        <v>вода</v>
      </c>
      <c r="AY117" s="2221"/>
      <c r="AZ117" s="2221"/>
    </row>
    <row r="118" spans="1:52" s="2653" customFormat="1" ht="0.75" customHeight="1">
      <c r="A118" s="2211"/>
      <c r="B118" s="2211"/>
      <c r="C118" s="2211"/>
      <c r="D118" s="2211"/>
      <c r="E118" s="5315" t="s">
        <v>86</v>
      </c>
      <c r="F118" s="5315"/>
      <c r="G118" s="5315"/>
      <c r="H118" s="5315"/>
      <c r="I118" s="5335"/>
      <c r="J118" s="5335"/>
      <c r="K118" s="5312"/>
      <c r="L118" s="2212"/>
      <c r="M118" s="2174"/>
      <c r="N118" s="2174"/>
      <c r="O118" s="2174"/>
      <c r="P118" s="5313"/>
      <c r="Q118" s="5313"/>
      <c r="R118" s="2233"/>
      <c r="S118" s="2238"/>
      <c r="T118" s="2219"/>
      <c r="U118" s="2219"/>
      <c r="V118" s="2140"/>
      <c r="W118" s="2140"/>
      <c r="X118" s="2140"/>
      <c r="Y118" s="2142" t="str">
        <f>Z117&amp;"-"&amp;AB117</f>
        <v>-</v>
      </c>
      <c r="Z118" s="5318"/>
      <c r="AA118" s="5161"/>
      <c r="AB118" s="5318"/>
      <c r="AC118" s="5161"/>
      <c r="AD118" s="2140"/>
      <c r="AE118" s="2140"/>
      <c r="AF118" s="2140"/>
      <c r="AG118" s="2142" t="str">
        <f>AH117&amp;"-"&amp;AJ117</f>
        <v>45658,5489699074-45838,5490393518</v>
      </c>
      <c r="AH118" s="5318"/>
      <c r="AI118" s="5161"/>
      <c r="AJ118" s="5318"/>
      <c r="AK118" s="5161"/>
      <c r="AL118" s="2140"/>
      <c r="AM118" s="2140"/>
      <c r="AN118" s="2140"/>
      <c r="AO118" s="2142" t="str">
        <f>AP117&amp;"-"&amp;AR117</f>
        <v>45839,549212963-46022,5493055556</v>
      </c>
      <c r="AP118" s="5318"/>
      <c r="AQ118" s="5161"/>
      <c r="AR118" s="5318"/>
      <c r="AS118" s="5161"/>
      <c r="AT118" s="2140"/>
      <c r="AU118" s="5310"/>
      <c r="AV118" s="2182"/>
      <c r="AW118" s="2221"/>
      <c r="AX118" s="2221" t="str">
        <f t="shared" si="3"/>
        <v/>
      </c>
      <c r="AY118" s="2221"/>
      <c r="AZ118" s="2221"/>
    </row>
    <row r="119" spans="1:52" s="2654" customFormat="1" ht="15" customHeight="1">
      <c r="A119" s="2211"/>
      <c r="B119" s="2211"/>
      <c r="C119" s="2211"/>
      <c r="D119" s="2211"/>
      <c r="E119" s="5315" t="s">
        <v>86</v>
      </c>
      <c r="F119" s="5315"/>
      <c r="G119" s="5315"/>
      <c r="H119" s="5315"/>
      <c r="I119" s="5335"/>
      <c r="J119" s="5312"/>
      <c r="K119" s="2211"/>
      <c r="L119" s="2212"/>
      <c r="M119" s="2174"/>
      <c r="N119" s="2174"/>
      <c r="O119" s="2228"/>
      <c r="P119" s="5313"/>
      <c r="Q119" s="5313"/>
      <c r="R119" s="2230"/>
      <c r="S119" s="2655"/>
      <c r="T119" s="2656" t="s">
        <v>530</v>
      </c>
      <c r="U119" s="2657"/>
      <c r="V119" s="2658"/>
      <c r="W119" s="2659"/>
      <c r="X119" s="2660"/>
      <c r="Y119" s="2661"/>
      <c r="Z119" s="2662"/>
      <c r="AA119" s="2663"/>
      <c r="AB119" s="2664"/>
      <c r="AC119" s="2665"/>
      <c r="AD119" s="2666"/>
      <c r="AE119" s="2667"/>
      <c r="AF119" s="2668"/>
      <c r="AG119" s="2669"/>
      <c r="AH119" s="2670"/>
      <c r="AI119" s="2671"/>
      <c r="AJ119" s="2672"/>
      <c r="AK119" s="2673"/>
      <c r="AL119" s="2674"/>
      <c r="AM119" s="2675"/>
      <c r="AN119" s="2676"/>
      <c r="AO119" s="2677"/>
      <c r="AP119" s="2678"/>
      <c r="AQ119" s="2679"/>
      <c r="AR119" s="2680"/>
      <c r="AS119" s="2681"/>
      <c r="AT119" s="2682"/>
      <c r="AU119" s="5311"/>
      <c r="AV119" s="2182"/>
      <c r="AW119" s="2221"/>
      <c r="AX119" s="2221" t="str">
        <f t="shared" si="3"/>
        <v>Добавить вид теплоносителя (параметры теплоносителя)</v>
      </c>
      <c r="AY119" s="2221"/>
      <c r="AZ119" s="2221"/>
    </row>
    <row r="120" spans="1:52" s="2683" customFormat="1" ht="15" customHeight="1">
      <c r="A120" s="2211"/>
      <c r="B120" s="2211"/>
      <c r="C120" s="2211"/>
      <c r="D120" s="2211"/>
      <c r="E120" s="5315" t="s">
        <v>86</v>
      </c>
      <c r="F120" s="5315"/>
      <c r="G120" s="5315"/>
      <c r="H120" s="5315"/>
      <c r="I120" s="5312"/>
      <c r="J120" s="2211"/>
      <c r="K120" s="2211"/>
      <c r="L120" s="2212"/>
      <c r="M120" s="2174"/>
      <c r="N120" s="2228"/>
      <c r="O120" s="2228"/>
      <c r="P120" s="5313"/>
      <c r="Q120" s="2229"/>
      <c r="R120" s="2230"/>
      <c r="S120" s="2684"/>
      <c r="T120" s="2685" t="s">
        <v>531</v>
      </c>
      <c r="U120" s="2686"/>
      <c r="V120" s="2687"/>
      <c r="W120" s="2688"/>
      <c r="X120" s="2689"/>
      <c r="Y120" s="2690"/>
      <c r="Z120" s="2691"/>
      <c r="AA120" s="2692"/>
      <c r="AB120" s="2693"/>
      <c r="AC120" s="2694"/>
      <c r="AD120" s="2695"/>
      <c r="AE120" s="2696"/>
      <c r="AF120" s="2697"/>
      <c r="AG120" s="2698"/>
      <c r="AH120" s="2699"/>
      <c r="AI120" s="2700"/>
      <c r="AJ120" s="2701"/>
      <c r="AK120" s="2702"/>
      <c r="AL120" s="2703"/>
      <c r="AM120" s="2704"/>
      <c r="AN120" s="2705"/>
      <c r="AO120" s="2706"/>
      <c r="AP120" s="2707"/>
      <c r="AQ120" s="2708"/>
      <c r="AR120" s="2709"/>
      <c r="AS120" s="2710"/>
      <c r="AT120" s="2711"/>
      <c r="AU120" s="2712"/>
      <c r="AV120" s="2182"/>
      <c r="AW120" s="2221"/>
      <c r="AX120" s="2221" t="str">
        <f t="shared" si="3"/>
        <v>Добавить группу потребителей</v>
      </c>
      <c r="AY120" s="2221"/>
      <c r="AZ120" s="2221"/>
    </row>
    <row r="121" spans="1:52" s="2713" customFormat="1" ht="14.25" customHeight="1">
      <c r="A121" s="2211"/>
      <c r="B121" s="2211"/>
      <c r="C121" s="2211"/>
      <c r="D121" s="2211"/>
      <c r="E121" s="5315" t="s">
        <v>86</v>
      </c>
      <c r="F121" s="5315"/>
      <c r="G121" s="5315"/>
      <c r="H121" s="5314"/>
      <c r="I121" s="2211"/>
      <c r="J121" s="2211"/>
      <c r="K121" s="2211"/>
      <c r="L121" s="2212"/>
      <c r="M121" s="2213"/>
      <c r="N121" s="2213"/>
      <c r="O121" s="2174"/>
      <c r="P121" s="2299"/>
      <c r="Q121" s="2300"/>
      <c r="R121" s="2301"/>
      <c r="S121" s="2714"/>
      <c r="T121" s="2715" t="s">
        <v>532</v>
      </c>
      <c r="U121" s="2716"/>
      <c r="V121" s="2717"/>
      <c r="W121" s="2718"/>
      <c r="X121" s="2719"/>
      <c r="Y121" s="2720"/>
      <c r="Z121" s="2721"/>
      <c r="AA121" s="2722"/>
      <c r="AB121" s="2723"/>
      <c r="AC121" s="2724"/>
      <c r="AD121" s="2725"/>
      <c r="AE121" s="2726"/>
      <c r="AF121" s="2727"/>
      <c r="AG121" s="2728"/>
      <c r="AH121" s="2729"/>
      <c r="AI121" s="2730"/>
      <c r="AJ121" s="2731"/>
      <c r="AK121" s="2732"/>
      <c r="AL121" s="2733"/>
      <c r="AM121" s="2734"/>
      <c r="AN121" s="2735"/>
      <c r="AO121" s="2736"/>
      <c r="AP121" s="2737"/>
      <c r="AQ121" s="2738"/>
      <c r="AR121" s="2739"/>
      <c r="AS121" s="2740"/>
      <c r="AT121" s="2741"/>
      <c r="AU121" s="2742"/>
      <c r="AV121" s="2182"/>
      <c r="AW121" s="2221"/>
      <c r="AX121" s="2221" t="str">
        <f t="shared" si="3"/>
        <v>Добавить схему подключения</v>
      </c>
      <c r="AY121" s="2221"/>
      <c r="AZ121" s="2221"/>
    </row>
    <row r="122" spans="1:52" s="2743" customFormat="1" ht="0.75" customHeight="1">
      <c r="A122" s="2332"/>
      <c r="B122" s="2332"/>
      <c r="C122" s="2332"/>
      <c r="D122" s="2332"/>
      <c r="E122" s="5315" t="s">
        <v>86</v>
      </c>
      <c r="F122" s="5315"/>
      <c r="G122" s="5314"/>
      <c r="H122" s="2332"/>
      <c r="I122" s="2332"/>
      <c r="J122" s="2332"/>
      <c r="K122" s="2332"/>
      <c r="L122" s="2333"/>
      <c r="M122" s="2334"/>
      <c r="N122" s="2334"/>
      <c r="O122" s="2182"/>
      <c r="P122" s="2335"/>
      <c r="Q122" s="2336"/>
      <c r="R122" s="2335"/>
      <c r="S122" s="2337"/>
      <c r="T122" s="2338" t="s">
        <v>168</v>
      </c>
      <c r="U122" s="2168"/>
      <c r="V122" s="2168"/>
      <c r="W122" s="2168"/>
      <c r="X122" s="2168"/>
      <c r="Y122" s="2168"/>
      <c r="Z122" s="2168"/>
      <c r="AA122" s="2168"/>
      <c r="AB122" s="2168"/>
      <c r="AC122" s="2168"/>
      <c r="AD122" s="2168"/>
      <c r="AE122" s="2168"/>
      <c r="AF122" s="2168"/>
      <c r="AG122" s="2168"/>
      <c r="AH122" s="2168"/>
      <c r="AI122" s="2168"/>
      <c r="AJ122" s="2168"/>
      <c r="AK122" s="2168"/>
      <c r="AL122" s="2168"/>
      <c r="AM122" s="2168"/>
      <c r="AN122" s="2168"/>
      <c r="AO122" s="2168"/>
      <c r="AP122" s="2168"/>
      <c r="AQ122" s="2168"/>
      <c r="AR122" s="2168"/>
      <c r="AS122" s="2168"/>
      <c r="AT122" s="2168"/>
      <c r="AU122" s="2168"/>
      <c r="AV122" s="2182"/>
      <c r="AW122" s="2221"/>
      <c r="AX122" s="2221" t="str">
        <f t="shared" si="3"/>
        <v>Добавить источник для дифференциации</v>
      </c>
      <c r="AY122" s="2221"/>
      <c r="AZ122" s="2221"/>
    </row>
    <row r="123" spans="1:52" s="2744" customFormat="1" ht="0.75" customHeight="1">
      <c r="A123" s="2332"/>
      <c r="B123" s="2332"/>
      <c r="C123" s="2332"/>
      <c r="D123" s="2332"/>
      <c r="E123" s="5315" t="s">
        <v>86</v>
      </c>
      <c r="F123" s="5314"/>
      <c r="G123" s="2332"/>
      <c r="H123" s="2332"/>
      <c r="I123" s="2332"/>
      <c r="J123" s="2332"/>
      <c r="K123" s="2332"/>
      <c r="L123" s="2333"/>
      <c r="M123" s="2340"/>
      <c r="N123" s="2340"/>
      <c r="O123" s="2182"/>
      <c r="P123" s="2335"/>
      <c r="Q123" s="2336"/>
      <c r="R123" s="2335"/>
      <c r="S123" s="2341"/>
      <c r="T123" s="2342" t="s">
        <v>169</v>
      </c>
      <c r="U123" s="2169"/>
      <c r="V123" s="2169"/>
      <c r="W123" s="2169"/>
      <c r="X123" s="2169"/>
      <c r="Y123" s="2169"/>
      <c r="Z123" s="2169"/>
      <c r="AA123" s="2169"/>
      <c r="AB123" s="2169"/>
      <c r="AC123" s="2169"/>
      <c r="AD123" s="2169"/>
      <c r="AE123" s="2169"/>
      <c r="AF123" s="2169"/>
      <c r="AG123" s="2169"/>
      <c r="AH123" s="2169"/>
      <c r="AI123" s="2169"/>
      <c r="AJ123" s="2169"/>
      <c r="AK123" s="2169"/>
      <c r="AL123" s="2169"/>
      <c r="AM123" s="2169"/>
      <c r="AN123" s="2169"/>
      <c r="AO123" s="2169"/>
      <c r="AP123" s="2169"/>
      <c r="AQ123" s="2169"/>
      <c r="AR123" s="2169"/>
      <c r="AS123" s="2169"/>
      <c r="AT123" s="2169"/>
      <c r="AU123" s="2169"/>
      <c r="AV123" s="2182"/>
      <c r="AW123" s="2221"/>
      <c r="AX123" s="2221" t="str">
        <f t="shared" si="3"/>
        <v>Добавить централизованную систему для дифференциации</v>
      </c>
      <c r="AY123" s="2221"/>
      <c r="AZ123" s="2221"/>
    </row>
    <row r="124" spans="1:52" s="2745" customFormat="1" ht="0.75" customHeight="1">
      <c r="A124" s="2332"/>
      <c r="B124" s="2332"/>
      <c r="C124" s="2332"/>
      <c r="D124" s="2332"/>
      <c r="E124" s="5314" t="s">
        <v>86</v>
      </c>
      <c r="F124" s="2332"/>
      <c r="G124" s="2332"/>
      <c r="H124" s="2332"/>
      <c r="I124" s="2332"/>
      <c r="J124" s="2332"/>
      <c r="K124" s="2332"/>
      <c r="L124" s="2333"/>
      <c r="M124" s="2340"/>
      <c r="N124" s="2340"/>
      <c r="O124" s="2182"/>
      <c r="P124" s="2335"/>
      <c r="Q124" s="2336"/>
      <c r="R124" s="2335"/>
      <c r="S124" s="2341"/>
      <c r="T124" s="2445" t="s">
        <v>174</v>
      </c>
      <c r="U124" s="2169"/>
      <c r="V124" s="2169"/>
      <c r="W124" s="2169"/>
      <c r="X124" s="2169"/>
      <c r="Y124" s="2169"/>
      <c r="Z124" s="2169"/>
      <c r="AA124" s="2169"/>
      <c r="AB124" s="2169"/>
      <c r="AC124" s="2169"/>
      <c r="AD124" s="2169"/>
      <c r="AE124" s="2169"/>
      <c r="AF124" s="2169"/>
      <c r="AG124" s="2169"/>
      <c r="AH124" s="2169"/>
      <c r="AI124" s="2169"/>
      <c r="AJ124" s="2169"/>
      <c r="AK124" s="2169"/>
      <c r="AL124" s="2169"/>
      <c r="AM124" s="2169"/>
      <c r="AN124" s="2169"/>
      <c r="AO124" s="2169"/>
      <c r="AP124" s="2169"/>
      <c r="AQ124" s="2169"/>
      <c r="AR124" s="2169"/>
      <c r="AS124" s="2169"/>
      <c r="AT124" s="2169"/>
      <c r="AU124" s="2169"/>
      <c r="AV124" s="2182"/>
      <c r="AW124" s="2221"/>
      <c r="AX124" s="2221" t="str">
        <f t="shared" si="3"/>
        <v>Добавить территорию для дифференциации</v>
      </c>
      <c r="AY124" s="2221"/>
      <c r="AZ124" s="2221"/>
    </row>
    <row r="125" spans="1:52" s="2746" customFormat="1" ht="21" customHeight="1">
      <c r="A125" s="2211" t="s">
        <v>196</v>
      </c>
      <c r="B125" s="2211"/>
      <c r="C125" s="2211"/>
      <c r="D125" s="2211"/>
      <c r="E125" s="5314" t="s">
        <v>87</v>
      </c>
      <c r="F125" s="2211"/>
      <c r="G125" s="2211"/>
      <c r="H125" s="2211"/>
      <c r="I125" s="2211"/>
      <c r="J125" s="2211"/>
      <c r="K125" s="2211"/>
      <c r="L125" s="2212"/>
      <c r="M125" s="2213"/>
      <c r="N125" s="2213"/>
      <c r="O125" s="2213"/>
      <c r="P125" s="2344"/>
      <c r="Q125" s="2299"/>
      <c r="R125" s="2301"/>
      <c r="S125" s="2217" t="str">
        <f>INDEX(PT_DIFFERENTIATION_NUM_NTAR,MATCH(A125,PT_DIFFERENTIATION_NTAR_ID,0))</f>
        <v>6</v>
      </c>
      <c r="T125" s="2345" t="s">
        <v>127</v>
      </c>
      <c r="U125" s="2219"/>
      <c r="V125" s="5300"/>
      <c r="W125" s="5301"/>
      <c r="X125" s="5301"/>
      <c r="Y125" s="5301"/>
      <c r="Z125" s="5301"/>
      <c r="AA125" s="5301"/>
      <c r="AB125" s="5301"/>
      <c r="AC125" s="5302"/>
      <c r="AD125" s="5300" t="str">
        <f>INDEX(PT_DIFFERENTIATION_NTAR,MATCH(A125,PT_DIFFERENTIATION_NTAR_ID,0))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AE125" s="5301"/>
      <c r="AF125" s="5301"/>
      <c r="AG125" s="5301"/>
      <c r="AH125" s="5301"/>
      <c r="AI125" s="5301"/>
      <c r="AJ125" s="5301"/>
      <c r="AK125" s="5301"/>
      <c r="AL125" s="5300"/>
      <c r="AM125" s="5301"/>
      <c r="AN125" s="5301"/>
      <c r="AO125" s="5301"/>
      <c r="AP125" s="5301"/>
      <c r="AQ125" s="5301"/>
      <c r="AR125" s="5301"/>
      <c r="AS125" s="5302"/>
      <c r="AT125" s="5302"/>
      <c r="AU125" s="2220" t="s">
        <v>515</v>
      </c>
      <c r="AV125" s="2182"/>
      <c r="AW125" s="2221"/>
      <c r="AX125" s="2221" t="str">
        <f t="shared" si="3"/>
        <v>Наименование тарифа</v>
      </c>
      <c r="AY125" s="2221"/>
      <c r="AZ125" s="2221"/>
    </row>
    <row r="126" spans="1:52" s="2747" customFormat="1" ht="21" customHeight="1">
      <c r="A126" s="2211"/>
      <c r="B126" s="2211" t="s">
        <v>197</v>
      </c>
      <c r="C126" s="2211"/>
      <c r="D126" s="2211"/>
      <c r="E126" s="5315" t="s">
        <v>115</v>
      </c>
      <c r="F126" s="5314">
        <v>1</v>
      </c>
      <c r="G126" s="2211"/>
      <c r="H126" s="2211"/>
      <c r="I126" s="2211"/>
      <c r="J126" s="2211"/>
      <c r="K126" s="2211"/>
      <c r="L126" s="2212"/>
      <c r="M126" s="2213"/>
      <c r="N126" s="2213"/>
      <c r="O126" s="2213"/>
      <c r="P126" s="2214"/>
      <c r="Q126" s="2215"/>
      <c r="R126" s="2216"/>
      <c r="S126" s="2217" t="str">
        <f>INDEX(PT_DIFFERENTIATION_NUM_TER,MATCH(B126,PT_DIFFERENTIATION_TER_ID,0))</f>
        <v>6.1</v>
      </c>
      <c r="T126" s="2218" t="s">
        <v>516</v>
      </c>
      <c r="U126" s="2219"/>
      <c r="V126" s="5300"/>
      <c r="W126" s="5301"/>
      <c r="X126" s="5301"/>
      <c r="Y126" s="5301"/>
      <c r="Z126" s="5301"/>
      <c r="AA126" s="5301"/>
      <c r="AB126" s="5301"/>
      <c r="AC126" s="5302"/>
      <c r="AD126" s="5300" t="str">
        <f>INDEX(PT_DIFFERENTIATION_TER,MATCH(B126,PT_DIFFERENTIATION_TER_ID,0))</f>
        <v>Территория 1</v>
      </c>
      <c r="AE126" s="5301"/>
      <c r="AF126" s="5301"/>
      <c r="AG126" s="5301"/>
      <c r="AH126" s="5301"/>
      <c r="AI126" s="5301"/>
      <c r="AJ126" s="5301"/>
      <c r="AK126" s="5301"/>
      <c r="AL126" s="5300"/>
      <c r="AM126" s="5301"/>
      <c r="AN126" s="5301"/>
      <c r="AO126" s="5301"/>
      <c r="AP126" s="5301"/>
      <c r="AQ126" s="5301"/>
      <c r="AR126" s="5301"/>
      <c r="AS126" s="5302"/>
      <c r="AT126" s="5302"/>
      <c r="AU126" s="2220" t="s">
        <v>517</v>
      </c>
      <c r="AV126" s="2182"/>
      <c r="AW126" s="2221"/>
      <c r="AX126" s="2221" t="str">
        <f t="shared" si="3"/>
        <v>Территория действия тарифа</v>
      </c>
      <c r="AY126" s="2221"/>
      <c r="AZ126" s="2221"/>
    </row>
    <row r="127" spans="1:52" s="2748" customFormat="1" ht="23.25" customHeight="1">
      <c r="A127" s="2211"/>
      <c r="B127" s="2211"/>
      <c r="C127" s="2211" t="s">
        <v>198</v>
      </c>
      <c r="D127" s="2211"/>
      <c r="E127" s="5315" t="s">
        <v>115</v>
      </c>
      <c r="F127" s="5315"/>
      <c r="G127" s="5314">
        <v>1</v>
      </c>
      <c r="H127" s="2211"/>
      <c r="I127" s="2211"/>
      <c r="J127" s="2211"/>
      <c r="K127" s="2211"/>
      <c r="L127" s="2212"/>
      <c r="M127" s="2213"/>
      <c r="N127" s="2213"/>
      <c r="O127" s="2213"/>
      <c r="P127" s="2223"/>
      <c r="Q127" s="2215"/>
      <c r="R127" s="2216"/>
      <c r="S127" s="2217" t="str">
        <f>INDEX(PT_DIFFERENTIATION_NUM_CS,MATCH(C127,PT_DIFFERENTIATION_CS_ID,0))</f>
        <v>6.1.1</v>
      </c>
      <c r="T127" s="2224" t="s">
        <v>518</v>
      </c>
      <c r="U127" s="2219"/>
      <c r="V127" s="5300"/>
      <c r="W127" s="5301"/>
      <c r="X127" s="5301"/>
      <c r="Y127" s="5301"/>
      <c r="Z127" s="5301"/>
      <c r="AA127" s="5301"/>
      <c r="AB127" s="5301"/>
      <c r="AC127" s="5302"/>
      <c r="AD127" s="5300" t="str">
        <f>INDEX(PT_DIFFERENTIATION_CS,MATCH(C127,PT_DIFFERENTIATION_CS_ID,0))</f>
        <v xml:space="preserve">открытая система теплоснабжения г. Апатиты
</v>
      </c>
      <c r="AE127" s="5301"/>
      <c r="AF127" s="5301"/>
      <c r="AG127" s="5301"/>
      <c r="AH127" s="5301"/>
      <c r="AI127" s="5301"/>
      <c r="AJ127" s="5301"/>
      <c r="AK127" s="5301"/>
      <c r="AL127" s="5300"/>
      <c r="AM127" s="5301"/>
      <c r="AN127" s="5301"/>
      <c r="AO127" s="5301"/>
      <c r="AP127" s="5301"/>
      <c r="AQ127" s="5301"/>
      <c r="AR127" s="5301"/>
      <c r="AS127" s="5302"/>
      <c r="AT127" s="5302"/>
      <c r="AU127" s="2220" t="s">
        <v>519</v>
      </c>
      <c r="AV127" s="2182"/>
      <c r="AW127" s="2221"/>
      <c r="AX127" s="2221" t="str">
        <f t="shared" si="3"/>
        <v xml:space="preserve">Наименование системы теплоснабжения </v>
      </c>
      <c r="AY127" s="2221"/>
      <c r="AZ127" s="2221"/>
    </row>
    <row r="128" spans="1:52" s="2749" customFormat="1" ht="21" customHeight="1">
      <c r="A128" s="2211"/>
      <c r="B128" s="2211"/>
      <c r="C128" s="2211"/>
      <c r="D128" s="2211" t="s">
        <v>199</v>
      </c>
      <c r="E128" s="5315" t="s">
        <v>115</v>
      </c>
      <c r="F128" s="5315"/>
      <c r="G128" s="5315"/>
      <c r="H128" s="5314">
        <v>1</v>
      </c>
      <c r="I128" s="2211"/>
      <c r="J128" s="2211"/>
      <c r="K128" s="2211"/>
      <c r="L128" s="2212"/>
      <c r="M128" s="2213"/>
      <c r="N128" s="2213"/>
      <c r="O128" s="2213"/>
      <c r="P128" s="2223"/>
      <c r="Q128" s="2215"/>
      <c r="R128" s="2216"/>
      <c r="S128" s="2217" t="str">
        <f>INDEX(PT_DIFFERENTIATION_NUM_IST_TE,MATCH(D128,PT_DIFFERENTIATION_IST_TE_ID,0))</f>
        <v>6.1.1.1</v>
      </c>
      <c r="T128" s="2226" t="s">
        <v>520</v>
      </c>
      <c r="U128" s="2219"/>
      <c r="V128" s="5300"/>
      <c r="W128" s="5301"/>
      <c r="X128" s="5301"/>
      <c r="Y128" s="5301"/>
      <c r="Z128" s="5301"/>
      <c r="AA128" s="5301"/>
      <c r="AB128" s="5301"/>
      <c r="AC128" s="5302"/>
      <c r="AD128" s="5300" t="str">
        <f>INDEX(PT_DIFFERENTIATION_IST_TE,MATCH(D128,PT_DIFFERENTIATION_IST_TE_ID,0))</f>
        <v>Апатитская ТЭЦ</v>
      </c>
      <c r="AE128" s="5301"/>
      <c r="AF128" s="5301"/>
      <c r="AG128" s="5301"/>
      <c r="AH128" s="5301"/>
      <c r="AI128" s="5301"/>
      <c r="AJ128" s="5301"/>
      <c r="AK128" s="5301"/>
      <c r="AL128" s="5300"/>
      <c r="AM128" s="5301"/>
      <c r="AN128" s="5301"/>
      <c r="AO128" s="5301"/>
      <c r="AP128" s="5301"/>
      <c r="AQ128" s="5301"/>
      <c r="AR128" s="5301"/>
      <c r="AS128" s="5302"/>
      <c r="AT128" s="5302"/>
      <c r="AU128" s="2220" t="s">
        <v>521</v>
      </c>
      <c r="AV128" s="2182"/>
      <c r="AW128" s="2221"/>
      <c r="AX128" s="2221" t="str">
        <f t="shared" si="3"/>
        <v xml:space="preserve">Источник тепловой энергии  </v>
      </c>
      <c r="AY128" s="2221"/>
      <c r="AZ128" s="2221"/>
    </row>
    <row r="129" spans="1:52" s="2750" customFormat="1" ht="47.25" customHeight="1">
      <c r="A129" s="2211"/>
      <c r="B129" s="2211"/>
      <c r="C129" s="2211"/>
      <c r="D129" s="2211"/>
      <c r="E129" s="5315" t="s">
        <v>115</v>
      </c>
      <c r="F129" s="5315"/>
      <c r="G129" s="5315"/>
      <c r="H129" s="5315"/>
      <c r="I129" s="5312" t="str">
        <f>S128&amp;".1"</f>
        <v>6.1.1.1.1</v>
      </c>
      <c r="J129" s="2211"/>
      <c r="K129" s="2211"/>
      <c r="L129" s="2212" t="s">
        <v>522</v>
      </c>
      <c r="M129" s="2174"/>
      <c r="N129" s="2228"/>
      <c r="O129" s="2228"/>
      <c r="P129" s="5313">
        <v>1</v>
      </c>
      <c r="Q129" s="2229"/>
      <c r="R129" s="2230"/>
      <c r="S129" s="2217" t="str">
        <f>$I129</f>
        <v>6.1.1.1.1</v>
      </c>
      <c r="T129" s="2231" t="s">
        <v>523</v>
      </c>
      <c r="U129" s="2219"/>
      <c r="V129" s="5303"/>
      <c r="W129" s="5304"/>
      <c r="X129" s="5304"/>
      <c r="Y129" s="5304"/>
      <c r="Z129" s="5304"/>
      <c r="AA129" s="5304"/>
      <c r="AB129" s="5304"/>
      <c r="AC129" s="5305"/>
      <c r="AD129" s="5303" t="s">
        <v>565</v>
      </c>
      <c r="AE129" s="5304"/>
      <c r="AF129" s="5304"/>
      <c r="AG129" s="5304"/>
      <c r="AH129" s="5304"/>
      <c r="AI129" s="5304"/>
      <c r="AJ129" s="5304"/>
      <c r="AK129" s="5304"/>
      <c r="AL129" s="5303"/>
      <c r="AM129" s="5304"/>
      <c r="AN129" s="5304"/>
      <c r="AO129" s="5304"/>
      <c r="AP129" s="5304"/>
      <c r="AQ129" s="5304"/>
      <c r="AR129" s="5304"/>
      <c r="AS129" s="5305"/>
      <c r="AT129" s="5305"/>
      <c r="AU129" s="2220" t="s">
        <v>524</v>
      </c>
      <c r="AV129" s="2182"/>
      <c r="AW129" s="2221"/>
      <c r="AX129" s="2221" t="str">
        <f t="shared" si="3"/>
        <v>Схема подключения теплопотребляющей установки к коллектору источника тепловой энергии</v>
      </c>
      <c r="AY129" s="2221"/>
      <c r="AZ129" s="2221"/>
    </row>
    <row r="130" spans="1:52" s="2751" customFormat="1" ht="21" customHeight="1">
      <c r="A130" s="2211"/>
      <c r="B130" s="2211"/>
      <c r="C130" s="2211"/>
      <c r="D130" s="2211"/>
      <c r="E130" s="5315" t="s">
        <v>115</v>
      </c>
      <c r="F130" s="5315"/>
      <c r="G130" s="5315"/>
      <c r="H130" s="5315"/>
      <c r="I130" s="5335"/>
      <c r="J130" s="5312" t="str">
        <f>I129&amp;".1"</f>
        <v>6.1.1.1.1.1</v>
      </c>
      <c r="K130" s="2211"/>
      <c r="L130" s="2212" t="s">
        <v>525</v>
      </c>
      <c r="M130" s="2174"/>
      <c r="N130" s="2174"/>
      <c r="O130" s="2228"/>
      <c r="P130" s="5313"/>
      <c r="Q130" s="5313">
        <v>1</v>
      </c>
      <c r="R130" s="2233"/>
      <c r="S130" s="2217" t="str">
        <f>$J130</f>
        <v>6.1.1.1.1.1</v>
      </c>
      <c r="T130" s="2234" t="s">
        <v>526</v>
      </c>
      <c r="U130" s="2219"/>
      <c r="V130" s="5303"/>
      <c r="W130" s="5304"/>
      <c r="X130" s="5304"/>
      <c r="Y130" s="5304"/>
      <c r="Z130" s="5304"/>
      <c r="AA130" s="5304"/>
      <c r="AB130" s="5304"/>
      <c r="AC130" s="5305"/>
      <c r="AD130" s="5303" t="s">
        <v>565</v>
      </c>
      <c r="AE130" s="5304"/>
      <c r="AF130" s="5304"/>
      <c r="AG130" s="5304"/>
      <c r="AH130" s="5304"/>
      <c r="AI130" s="5304"/>
      <c r="AJ130" s="5304"/>
      <c r="AK130" s="5304"/>
      <c r="AL130" s="5303"/>
      <c r="AM130" s="5304"/>
      <c r="AN130" s="5304"/>
      <c r="AO130" s="5304"/>
      <c r="AP130" s="5304"/>
      <c r="AQ130" s="5304"/>
      <c r="AR130" s="5304"/>
      <c r="AS130" s="5305"/>
      <c r="AT130" s="5305"/>
      <c r="AU130" s="2220" t="s">
        <v>527</v>
      </c>
      <c r="AV130" s="2182"/>
      <c r="AW130" s="2221"/>
      <c r="AX130" s="2221" t="str">
        <f t="shared" si="3"/>
        <v>Группа потребителей</v>
      </c>
      <c r="AY130" s="2221"/>
      <c r="AZ130" s="2221"/>
    </row>
    <row r="131" spans="1:52" s="2752" customFormat="1" ht="21" customHeight="1">
      <c r="A131" s="2211"/>
      <c r="B131" s="2211"/>
      <c r="C131" s="2211"/>
      <c r="D131" s="2211"/>
      <c r="E131" s="5315" t="s">
        <v>115</v>
      </c>
      <c r="F131" s="5315"/>
      <c r="G131" s="5315"/>
      <c r="H131" s="5315"/>
      <c r="I131" s="5335"/>
      <c r="J131" s="5335"/>
      <c r="K131" s="5312" t="str">
        <f>J130&amp;".1"</f>
        <v>6.1.1.1.1.1.1</v>
      </c>
      <c r="L131" s="2212" t="s">
        <v>528</v>
      </c>
      <c r="M131" s="2174"/>
      <c r="N131" s="2174"/>
      <c r="O131" s="2174"/>
      <c r="P131" s="5313"/>
      <c r="Q131" s="5313"/>
      <c r="R131" s="2233">
        <v>1</v>
      </c>
      <c r="S131" s="2217" t="str">
        <f>$K131</f>
        <v>6.1.1.1.1.1.1</v>
      </c>
      <c r="T131" s="2236" t="s">
        <v>566</v>
      </c>
      <c r="U131" s="2219"/>
      <c r="V131" s="2139"/>
      <c r="W131" s="2140"/>
      <c r="X131" s="2139"/>
      <c r="Y131" s="2141"/>
      <c r="Z131" s="5317"/>
      <c r="AA131" s="5161" t="s">
        <v>62</v>
      </c>
      <c r="AB131" s="5317"/>
      <c r="AC131" s="5161" t="s">
        <v>62</v>
      </c>
      <c r="AD131" s="2139">
        <v>2543.02</v>
      </c>
      <c r="AE131" s="2140"/>
      <c r="AF131" s="2139"/>
      <c r="AG131" s="2141"/>
      <c r="AH131" s="5317">
        <v>45658.549895833334</v>
      </c>
      <c r="AI131" s="5161" t="s">
        <v>62</v>
      </c>
      <c r="AJ131" s="5317">
        <v>45838.550312500003</v>
      </c>
      <c r="AK131" s="5161" t="s">
        <v>62</v>
      </c>
      <c r="AL131" s="2139">
        <v>3520.61</v>
      </c>
      <c r="AM131" s="2140"/>
      <c r="AN131" s="2139"/>
      <c r="AO131" s="2141"/>
      <c r="AP131" s="5317">
        <v>45839.55064814815</v>
      </c>
      <c r="AQ131" s="5161" t="s">
        <v>62</v>
      </c>
      <c r="AR131" s="5317">
        <v>46022.550752314812</v>
      </c>
      <c r="AS131" s="5161" t="s">
        <v>62</v>
      </c>
      <c r="AT131" s="2140"/>
      <c r="AU131" s="5309" t="s">
        <v>529</v>
      </c>
      <c r="AV131" s="2182" t="e">
        <f ca="1">STRCHECKDATE(V132:AT132)</f>
        <v>#NAME?</v>
      </c>
      <c r="AW131" s="2221"/>
      <c r="AX131" s="2221" t="str">
        <f t="shared" si="3"/>
        <v>вода</v>
      </c>
      <c r="AY131" s="2221"/>
      <c r="AZ131" s="2221"/>
    </row>
    <row r="132" spans="1:52" s="2753" customFormat="1" ht="0.75" customHeight="1">
      <c r="A132" s="2211"/>
      <c r="B132" s="2211"/>
      <c r="C132" s="2211"/>
      <c r="D132" s="2211"/>
      <c r="E132" s="5315" t="s">
        <v>115</v>
      </c>
      <c r="F132" s="5315"/>
      <c r="G132" s="5315"/>
      <c r="H132" s="5315"/>
      <c r="I132" s="5335"/>
      <c r="J132" s="5335"/>
      <c r="K132" s="5312"/>
      <c r="L132" s="2212"/>
      <c r="M132" s="2174"/>
      <c r="N132" s="2174"/>
      <c r="O132" s="2174"/>
      <c r="P132" s="5313"/>
      <c r="Q132" s="5313"/>
      <c r="R132" s="2233"/>
      <c r="S132" s="2238"/>
      <c r="T132" s="2219"/>
      <c r="U132" s="2219"/>
      <c r="V132" s="2140"/>
      <c r="W132" s="2140"/>
      <c r="X132" s="2140"/>
      <c r="Y132" s="2142" t="str">
        <f>Z131&amp;"-"&amp;AB131</f>
        <v>-</v>
      </c>
      <c r="Z132" s="5318"/>
      <c r="AA132" s="5161"/>
      <c r="AB132" s="5318"/>
      <c r="AC132" s="5161"/>
      <c r="AD132" s="2140"/>
      <c r="AE132" s="2140"/>
      <c r="AF132" s="2140"/>
      <c r="AG132" s="2142" t="str">
        <f>AH131&amp;"-"&amp;AJ131</f>
        <v>45658,5498958333-45838,5503125</v>
      </c>
      <c r="AH132" s="5318"/>
      <c r="AI132" s="5161"/>
      <c r="AJ132" s="5318"/>
      <c r="AK132" s="5161"/>
      <c r="AL132" s="2140"/>
      <c r="AM132" s="2140"/>
      <c r="AN132" s="2140"/>
      <c r="AO132" s="2142" t="str">
        <f>AP131&amp;"-"&amp;AR131</f>
        <v>45839,5506481481-46022,5507523148</v>
      </c>
      <c r="AP132" s="5318"/>
      <c r="AQ132" s="5161"/>
      <c r="AR132" s="5318"/>
      <c r="AS132" s="5161"/>
      <c r="AT132" s="2140"/>
      <c r="AU132" s="5310"/>
      <c r="AV132" s="2182"/>
      <c r="AW132" s="2221"/>
      <c r="AX132" s="2221" t="str">
        <f t="shared" si="3"/>
        <v/>
      </c>
      <c r="AY132" s="2221"/>
      <c r="AZ132" s="2221"/>
    </row>
    <row r="133" spans="1:52" s="2754" customFormat="1" ht="15" customHeight="1">
      <c r="A133" s="2211"/>
      <c r="B133" s="2211"/>
      <c r="C133" s="2211"/>
      <c r="D133" s="2211"/>
      <c r="E133" s="5315" t="s">
        <v>115</v>
      </c>
      <c r="F133" s="5315"/>
      <c r="G133" s="5315"/>
      <c r="H133" s="5315"/>
      <c r="I133" s="5335"/>
      <c r="J133" s="5312"/>
      <c r="K133" s="2211"/>
      <c r="L133" s="2212"/>
      <c r="M133" s="2174"/>
      <c r="N133" s="2174"/>
      <c r="O133" s="2228"/>
      <c r="P133" s="5313"/>
      <c r="Q133" s="5313"/>
      <c r="R133" s="2230"/>
      <c r="S133" s="2755"/>
      <c r="T133" s="2756" t="s">
        <v>530</v>
      </c>
      <c r="U133" s="2757"/>
      <c r="V133" s="2758"/>
      <c r="W133" s="2759"/>
      <c r="X133" s="2760"/>
      <c r="Y133" s="2761"/>
      <c r="Z133" s="2762"/>
      <c r="AA133" s="2763"/>
      <c r="AB133" s="2764"/>
      <c r="AC133" s="2765"/>
      <c r="AD133" s="2766"/>
      <c r="AE133" s="2767"/>
      <c r="AF133" s="2768"/>
      <c r="AG133" s="2769"/>
      <c r="AH133" s="2770"/>
      <c r="AI133" s="2771"/>
      <c r="AJ133" s="2772"/>
      <c r="AK133" s="2773"/>
      <c r="AL133" s="2774"/>
      <c r="AM133" s="2775"/>
      <c r="AN133" s="2776"/>
      <c r="AO133" s="2777"/>
      <c r="AP133" s="2778"/>
      <c r="AQ133" s="2779"/>
      <c r="AR133" s="2780"/>
      <c r="AS133" s="2781"/>
      <c r="AT133" s="2782"/>
      <c r="AU133" s="5311"/>
      <c r="AV133" s="2182"/>
      <c r="AW133" s="2221"/>
      <c r="AX133" s="2221" t="str">
        <f t="shared" si="3"/>
        <v>Добавить вид теплоносителя (параметры теплоносителя)</v>
      </c>
      <c r="AY133" s="2221"/>
      <c r="AZ133" s="2221"/>
    </row>
    <row r="134" spans="1:52" s="2783" customFormat="1" ht="15" customHeight="1">
      <c r="A134" s="2211"/>
      <c r="B134" s="2211"/>
      <c r="C134" s="2211"/>
      <c r="D134" s="2211"/>
      <c r="E134" s="5315" t="s">
        <v>115</v>
      </c>
      <c r="F134" s="5315"/>
      <c r="G134" s="5315"/>
      <c r="H134" s="5315"/>
      <c r="I134" s="5312"/>
      <c r="J134" s="2211"/>
      <c r="K134" s="2211"/>
      <c r="L134" s="2212"/>
      <c r="M134" s="2174"/>
      <c r="N134" s="2228"/>
      <c r="O134" s="2228"/>
      <c r="P134" s="5313"/>
      <c r="Q134" s="2229"/>
      <c r="R134" s="2230"/>
      <c r="S134" s="2784"/>
      <c r="T134" s="2785" t="s">
        <v>531</v>
      </c>
      <c r="U134" s="2786"/>
      <c r="V134" s="2787"/>
      <c r="W134" s="2788"/>
      <c r="X134" s="2789"/>
      <c r="Y134" s="2790"/>
      <c r="Z134" s="2791"/>
      <c r="AA134" s="2792"/>
      <c r="AB134" s="2793"/>
      <c r="AC134" s="2794"/>
      <c r="AD134" s="2795"/>
      <c r="AE134" s="2796"/>
      <c r="AF134" s="2797"/>
      <c r="AG134" s="2798"/>
      <c r="AH134" s="2799"/>
      <c r="AI134" s="2800"/>
      <c r="AJ134" s="2801"/>
      <c r="AK134" s="2802"/>
      <c r="AL134" s="2803"/>
      <c r="AM134" s="2804"/>
      <c r="AN134" s="2805"/>
      <c r="AO134" s="2806"/>
      <c r="AP134" s="2807"/>
      <c r="AQ134" s="2808"/>
      <c r="AR134" s="2809"/>
      <c r="AS134" s="2810"/>
      <c r="AT134" s="2811"/>
      <c r="AU134" s="2812"/>
      <c r="AV134" s="2182"/>
      <c r="AW134" s="2221"/>
      <c r="AX134" s="2221" t="str">
        <f t="shared" si="3"/>
        <v>Добавить группу потребителей</v>
      </c>
      <c r="AY134" s="2221"/>
      <c r="AZ134" s="2221"/>
    </row>
    <row r="135" spans="1:52" s="2813" customFormat="1" ht="14.25" customHeight="1">
      <c r="A135" s="2211"/>
      <c r="B135" s="2211"/>
      <c r="C135" s="2211"/>
      <c r="D135" s="2211"/>
      <c r="E135" s="5315" t="s">
        <v>115</v>
      </c>
      <c r="F135" s="5315"/>
      <c r="G135" s="5315"/>
      <c r="H135" s="5314"/>
      <c r="I135" s="2211"/>
      <c r="J135" s="2211"/>
      <c r="K135" s="2211"/>
      <c r="L135" s="2212"/>
      <c r="M135" s="2213"/>
      <c r="N135" s="2213"/>
      <c r="O135" s="2174"/>
      <c r="P135" s="2299"/>
      <c r="Q135" s="2300"/>
      <c r="R135" s="2301"/>
      <c r="S135" s="2814"/>
      <c r="T135" s="2815" t="s">
        <v>532</v>
      </c>
      <c r="U135" s="2816"/>
      <c r="V135" s="2817"/>
      <c r="W135" s="2818"/>
      <c r="X135" s="2819"/>
      <c r="Y135" s="2820"/>
      <c r="Z135" s="2821"/>
      <c r="AA135" s="2822"/>
      <c r="AB135" s="2823"/>
      <c r="AC135" s="2824"/>
      <c r="AD135" s="2825"/>
      <c r="AE135" s="2826"/>
      <c r="AF135" s="2827"/>
      <c r="AG135" s="2828"/>
      <c r="AH135" s="2829"/>
      <c r="AI135" s="2830"/>
      <c r="AJ135" s="2831"/>
      <c r="AK135" s="2832"/>
      <c r="AL135" s="2833"/>
      <c r="AM135" s="2834"/>
      <c r="AN135" s="2835"/>
      <c r="AO135" s="2836"/>
      <c r="AP135" s="2837"/>
      <c r="AQ135" s="2838"/>
      <c r="AR135" s="2839"/>
      <c r="AS135" s="2840"/>
      <c r="AT135" s="2841"/>
      <c r="AU135" s="2842"/>
      <c r="AV135" s="2182"/>
      <c r="AW135" s="2221"/>
      <c r="AX135" s="2221" t="str">
        <f t="shared" si="3"/>
        <v>Добавить схему подключения</v>
      </c>
      <c r="AY135" s="2221"/>
      <c r="AZ135" s="2221"/>
    </row>
    <row r="136" spans="1:52" s="2843" customFormat="1" ht="0.75" customHeight="1">
      <c r="A136" s="2332"/>
      <c r="B136" s="2332"/>
      <c r="C136" s="2332"/>
      <c r="D136" s="2332"/>
      <c r="E136" s="5315" t="s">
        <v>115</v>
      </c>
      <c r="F136" s="5315"/>
      <c r="G136" s="5314"/>
      <c r="H136" s="2332"/>
      <c r="I136" s="2332"/>
      <c r="J136" s="2332"/>
      <c r="K136" s="2332"/>
      <c r="L136" s="2333"/>
      <c r="M136" s="2334"/>
      <c r="N136" s="2334"/>
      <c r="O136" s="2182"/>
      <c r="P136" s="2335"/>
      <c r="Q136" s="2336"/>
      <c r="R136" s="2335"/>
      <c r="S136" s="2337"/>
      <c r="T136" s="2338" t="s">
        <v>168</v>
      </c>
      <c r="U136" s="2168"/>
      <c r="V136" s="2168"/>
      <c r="W136" s="2168"/>
      <c r="X136" s="2168"/>
      <c r="Y136" s="2168"/>
      <c r="Z136" s="2168"/>
      <c r="AA136" s="2168"/>
      <c r="AB136" s="2168"/>
      <c r="AC136" s="2168"/>
      <c r="AD136" s="2168"/>
      <c r="AE136" s="2168"/>
      <c r="AF136" s="2168"/>
      <c r="AG136" s="2168"/>
      <c r="AH136" s="2168"/>
      <c r="AI136" s="2168"/>
      <c r="AJ136" s="2168"/>
      <c r="AK136" s="2168"/>
      <c r="AL136" s="2168"/>
      <c r="AM136" s="2168"/>
      <c r="AN136" s="2168"/>
      <c r="AO136" s="2168"/>
      <c r="AP136" s="2168"/>
      <c r="AQ136" s="2168"/>
      <c r="AR136" s="2168"/>
      <c r="AS136" s="2168"/>
      <c r="AT136" s="2168"/>
      <c r="AU136" s="2168"/>
      <c r="AV136" s="2182"/>
      <c r="AW136" s="2221"/>
      <c r="AX136" s="2221" t="str">
        <f t="shared" si="3"/>
        <v>Добавить источник для дифференциации</v>
      </c>
      <c r="AY136" s="2221"/>
      <c r="AZ136" s="2221"/>
    </row>
    <row r="137" spans="1:52" s="2844" customFormat="1" ht="0.75" customHeight="1">
      <c r="A137" s="2332"/>
      <c r="B137" s="2332"/>
      <c r="C137" s="2332"/>
      <c r="D137" s="2332"/>
      <c r="E137" s="5315" t="s">
        <v>115</v>
      </c>
      <c r="F137" s="5314"/>
      <c r="G137" s="2332"/>
      <c r="H137" s="2332"/>
      <c r="I137" s="2332"/>
      <c r="J137" s="2332"/>
      <c r="K137" s="2332"/>
      <c r="L137" s="2333"/>
      <c r="M137" s="2340"/>
      <c r="N137" s="2340"/>
      <c r="O137" s="2182"/>
      <c r="P137" s="2335"/>
      <c r="Q137" s="2336"/>
      <c r="R137" s="2335"/>
      <c r="S137" s="2341"/>
      <c r="T137" s="2342" t="s">
        <v>169</v>
      </c>
      <c r="U137" s="2169"/>
      <c r="V137" s="2169"/>
      <c r="W137" s="2169"/>
      <c r="X137" s="2169"/>
      <c r="Y137" s="2169"/>
      <c r="Z137" s="2169"/>
      <c r="AA137" s="2169"/>
      <c r="AB137" s="2169"/>
      <c r="AC137" s="2169"/>
      <c r="AD137" s="2169"/>
      <c r="AE137" s="2169"/>
      <c r="AF137" s="2169"/>
      <c r="AG137" s="2169"/>
      <c r="AH137" s="2169"/>
      <c r="AI137" s="2169"/>
      <c r="AJ137" s="2169"/>
      <c r="AK137" s="2169"/>
      <c r="AL137" s="2169"/>
      <c r="AM137" s="2169"/>
      <c r="AN137" s="2169"/>
      <c r="AO137" s="2169"/>
      <c r="AP137" s="2169"/>
      <c r="AQ137" s="2169"/>
      <c r="AR137" s="2169"/>
      <c r="AS137" s="2169"/>
      <c r="AT137" s="2169"/>
      <c r="AU137" s="2169"/>
      <c r="AV137" s="2182"/>
      <c r="AW137" s="2221"/>
      <c r="AX137" s="2221" t="str">
        <f t="shared" si="3"/>
        <v>Добавить централизованную систему для дифференциации</v>
      </c>
      <c r="AY137" s="2221"/>
      <c r="AZ137" s="2221"/>
    </row>
    <row r="138" spans="1:52" s="2845" customFormat="1" ht="0.75" customHeight="1">
      <c r="A138" s="2332"/>
      <c r="B138" s="2332"/>
      <c r="C138" s="2332"/>
      <c r="D138" s="2332"/>
      <c r="E138" s="5314" t="s">
        <v>115</v>
      </c>
      <c r="F138" s="2332"/>
      <c r="G138" s="2332"/>
      <c r="H138" s="2332"/>
      <c r="I138" s="2332"/>
      <c r="J138" s="2332"/>
      <c r="K138" s="2332"/>
      <c r="L138" s="2333"/>
      <c r="M138" s="2340"/>
      <c r="N138" s="2340"/>
      <c r="O138" s="2182"/>
      <c r="P138" s="2335"/>
      <c r="Q138" s="2336"/>
      <c r="R138" s="2335"/>
      <c r="S138" s="2341"/>
      <c r="T138" s="2445" t="s">
        <v>174</v>
      </c>
      <c r="U138" s="2169"/>
      <c r="V138" s="2169"/>
      <c r="W138" s="2169"/>
      <c r="X138" s="2169"/>
      <c r="Y138" s="2169"/>
      <c r="Z138" s="2169"/>
      <c r="AA138" s="2169"/>
      <c r="AB138" s="2169"/>
      <c r="AC138" s="2169"/>
      <c r="AD138" s="2169"/>
      <c r="AE138" s="2169"/>
      <c r="AF138" s="2169"/>
      <c r="AG138" s="2169"/>
      <c r="AH138" s="2169"/>
      <c r="AI138" s="2169"/>
      <c r="AJ138" s="2169"/>
      <c r="AK138" s="2169"/>
      <c r="AL138" s="2169"/>
      <c r="AM138" s="2169"/>
      <c r="AN138" s="2169"/>
      <c r="AO138" s="2169"/>
      <c r="AP138" s="2169"/>
      <c r="AQ138" s="2169"/>
      <c r="AR138" s="2169"/>
      <c r="AS138" s="2169"/>
      <c r="AT138" s="2169"/>
      <c r="AU138" s="2169"/>
      <c r="AV138" s="2182"/>
      <c r="AW138" s="2221"/>
      <c r="AX138" s="2221" t="str">
        <f t="shared" si="3"/>
        <v>Добавить территорию для дифференциации</v>
      </c>
      <c r="AY138" s="2221"/>
      <c r="AZ138" s="2221"/>
    </row>
    <row r="139" spans="1:52" s="2846" customFormat="1" ht="21" customHeight="1">
      <c r="A139" s="2211" t="s">
        <v>201</v>
      </c>
      <c r="B139" s="2211"/>
      <c r="C139" s="2211"/>
      <c r="D139" s="2211"/>
      <c r="E139" s="5314" t="s">
        <v>88</v>
      </c>
      <c r="F139" s="2211"/>
      <c r="G139" s="2211"/>
      <c r="H139" s="2211"/>
      <c r="I139" s="2211"/>
      <c r="J139" s="2211"/>
      <c r="K139" s="2211"/>
      <c r="L139" s="2212"/>
      <c r="M139" s="2213"/>
      <c r="N139" s="2213"/>
      <c r="O139" s="2213"/>
      <c r="P139" s="2344"/>
      <c r="Q139" s="2299"/>
      <c r="R139" s="2301"/>
      <c r="S139" s="2217" t="str">
        <f>INDEX(PT_DIFFERENTIATION_NUM_NTAR,MATCH(A139,PT_DIFFERENTIATION_NTAR_ID,0))</f>
        <v>7</v>
      </c>
      <c r="T139" s="2345" t="s">
        <v>127</v>
      </c>
      <c r="U139" s="2219"/>
      <c r="V139" s="5300"/>
      <c r="W139" s="5301"/>
      <c r="X139" s="5301"/>
      <c r="Y139" s="5301"/>
      <c r="Z139" s="5301"/>
      <c r="AA139" s="5301"/>
      <c r="AB139" s="5301"/>
      <c r="AC139" s="5302"/>
      <c r="AD139" s="5300" t="str">
        <f>INDEX(PT_DIFFERENTIATION_NTAR,MATCH(A139,PT_DIFFERENTIATION_NTAR_ID,0))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E139" s="5301"/>
      <c r="AF139" s="5301"/>
      <c r="AG139" s="5301"/>
      <c r="AH139" s="5301"/>
      <c r="AI139" s="5301"/>
      <c r="AJ139" s="5301"/>
      <c r="AK139" s="5301"/>
      <c r="AL139" s="5300"/>
      <c r="AM139" s="5301"/>
      <c r="AN139" s="5301"/>
      <c r="AO139" s="5301"/>
      <c r="AP139" s="5301"/>
      <c r="AQ139" s="5301"/>
      <c r="AR139" s="5301"/>
      <c r="AS139" s="5302"/>
      <c r="AT139" s="5302"/>
      <c r="AU139" s="2220" t="s">
        <v>515</v>
      </c>
      <c r="AV139" s="2182"/>
      <c r="AW139" s="2221"/>
      <c r="AX139" s="2221" t="str">
        <f t="shared" ref="AX139:AX170" si="4">IF(T139="","",T139)</f>
        <v>Наименование тарифа</v>
      </c>
      <c r="AY139" s="2221"/>
      <c r="AZ139" s="2221"/>
    </row>
    <row r="140" spans="1:52" s="2847" customFormat="1" ht="21" customHeight="1">
      <c r="A140" s="2211"/>
      <c r="B140" s="2211" t="s">
        <v>202</v>
      </c>
      <c r="C140" s="2211"/>
      <c r="D140" s="2211"/>
      <c r="E140" s="5315" t="s">
        <v>87</v>
      </c>
      <c r="F140" s="5314">
        <v>1</v>
      </c>
      <c r="G140" s="2211"/>
      <c r="H140" s="2211"/>
      <c r="I140" s="2211"/>
      <c r="J140" s="2211"/>
      <c r="K140" s="2211"/>
      <c r="L140" s="2212"/>
      <c r="M140" s="2213"/>
      <c r="N140" s="2213"/>
      <c r="O140" s="2213"/>
      <c r="P140" s="2214"/>
      <c r="Q140" s="2215"/>
      <c r="R140" s="2216"/>
      <c r="S140" s="2217" t="str">
        <f>INDEX(PT_DIFFERENTIATION_NUM_TER,MATCH(B140,PT_DIFFERENTIATION_TER_ID,0))</f>
        <v>7.1</v>
      </c>
      <c r="T140" s="2218" t="s">
        <v>516</v>
      </c>
      <c r="U140" s="2219"/>
      <c r="V140" s="5300"/>
      <c r="W140" s="5301"/>
      <c r="X140" s="5301"/>
      <c r="Y140" s="5301"/>
      <c r="Z140" s="5301"/>
      <c r="AA140" s="5301"/>
      <c r="AB140" s="5301"/>
      <c r="AC140" s="5302"/>
      <c r="AD140" s="5300" t="str">
        <f>INDEX(PT_DIFFERENTIATION_TER,MATCH(B140,PT_DIFFERENTIATION_TER_ID,0))</f>
        <v>Территория 2</v>
      </c>
      <c r="AE140" s="5301"/>
      <c r="AF140" s="5301"/>
      <c r="AG140" s="5301"/>
      <c r="AH140" s="5301"/>
      <c r="AI140" s="5301"/>
      <c r="AJ140" s="5301"/>
      <c r="AK140" s="5301"/>
      <c r="AL140" s="5300"/>
      <c r="AM140" s="5301"/>
      <c r="AN140" s="5301"/>
      <c r="AO140" s="5301"/>
      <c r="AP140" s="5301"/>
      <c r="AQ140" s="5301"/>
      <c r="AR140" s="5301"/>
      <c r="AS140" s="5302"/>
      <c r="AT140" s="5302"/>
      <c r="AU140" s="2220" t="s">
        <v>517</v>
      </c>
      <c r="AV140" s="2182"/>
      <c r="AW140" s="2221"/>
      <c r="AX140" s="2221" t="str">
        <f t="shared" si="4"/>
        <v>Территория действия тарифа</v>
      </c>
      <c r="AY140" s="2221"/>
      <c r="AZ140" s="2221"/>
    </row>
    <row r="141" spans="1:52" s="2848" customFormat="1" ht="23.25" customHeight="1">
      <c r="A141" s="2211"/>
      <c r="B141" s="2211"/>
      <c r="C141" s="2211" t="s">
        <v>203</v>
      </c>
      <c r="D141" s="2211"/>
      <c r="E141" s="5315" t="s">
        <v>87</v>
      </c>
      <c r="F141" s="5315"/>
      <c r="G141" s="5314">
        <v>1</v>
      </c>
      <c r="H141" s="2211"/>
      <c r="I141" s="2211"/>
      <c r="J141" s="2211"/>
      <c r="K141" s="2211"/>
      <c r="L141" s="2212"/>
      <c r="M141" s="2213"/>
      <c r="N141" s="2213"/>
      <c r="O141" s="2213"/>
      <c r="P141" s="2223"/>
      <c r="Q141" s="2215"/>
      <c r="R141" s="2216"/>
      <c r="S141" s="2217" t="str">
        <f>INDEX(PT_DIFFERENTIATION_NUM_CS,MATCH(C141,PT_DIFFERENTIATION_CS_ID,0))</f>
        <v>7.1.1</v>
      </c>
      <c r="T141" s="2224" t="s">
        <v>518</v>
      </c>
      <c r="U141" s="2219"/>
      <c r="V141" s="5300"/>
      <c r="W141" s="5301"/>
      <c r="X141" s="5301"/>
      <c r="Y141" s="5301"/>
      <c r="Z141" s="5301"/>
      <c r="AA141" s="5301"/>
      <c r="AB141" s="5301"/>
      <c r="AC141" s="5302"/>
      <c r="AD141" s="5300" t="str">
        <f>INDEX(PT_DIFFERENTIATION_CS,MATCH(C141,PT_DIFFERENTIATION_CS_ID,0))</f>
        <v>открытая система теплоснабжения г. Кировск</v>
      </c>
      <c r="AE141" s="5301"/>
      <c r="AF141" s="5301"/>
      <c r="AG141" s="5301"/>
      <c r="AH141" s="5301"/>
      <c r="AI141" s="5301"/>
      <c r="AJ141" s="5301"/>
      <c r="AK141" s="5301"/>
      <c r="AL141" s="5300"/>
      <c r="AM141" s="5301"/>
      <c r="AN141" s="5301"/>
      <c r="AO141" s="5301"/>
      <c r="AP141" s="5301"/>
      <c r="AQ141" s="5301"/>
      <c r="AR141" s="5301"/>
      <c r="AS141" s="5302"/>
      <c r="AT141" s="5302"/>
      <c r="AU141" s="2220" t="s">
        <v>519</v>
      </c>
      <c r="AV141" s="2182"/>
      <c r="AW141" s="2221"/>
      <c r="AX141" s="2221" t="str">
        <f t="shared" si="4"/>
        <v xml:space="preserve">Наименование системы теплоснабжения </v>
      </c>
      <c r="AY141" s="2221"/>
      <c r="AZ141" s="2221"/>
    </row>
    <row r="142" spans="1:52" s="2849" customFormat="1" ht="21" customHeight="1">
      <c r="A142" s="2211"/>
      <c r="B142" s="2211"/>
      <c r="C142" s="2211"/>
      <c r="D142" s="2211" t="s">
        <v>204</v>
      </c>
      <c r="E142" s="5315" t="s">
        <v>87</v>
      </c>
      <c r="F142" s="5315"/>
      <c r="G142" s="5315"/>
      <c r="H142" s="5314">
        <v>1</v>
      </c>
      <c r="I142" s="2211"/>
      <c r="J142" s="2211"/>
      <c r="K142" s="2211"/>
      <c r="L142" s="2212"/>
      <c r="M142" s="2213"/>
      <c r="N142" s="2213"/>
      <c r="O142" s="2213"/>
      <c r="P142" s="2223"/>
      <c r="Q142" s="2215"/>
      <c r="R142" s="2216"/>
      <c r="S142" s="2217" t="str">
        <f>INDEX(PT_DIFFERENTIATION_NUM_IST_TE,MATCH(D142,PT_DIFFERENTIATION_IST_TE_ID,0))</f>
        <v>7.1.1.1</v>
      </c>
      <c r="T142" s="2226" t="s">
        <v>520</v>
      </c>
      <c r="U142" s="2219"/>
      <c r="V142" s="5300"/>
      <c r="W142" s="5301"/>
      <c r="X142" s="5301"/>
      <c r="Y142" s="5301"/>
      <c r="Z142" s="5301"/>
      <c r="AA142" s="5301"/>
      <c r="AB142" s="5301"/>
      <c r="AC142" s="5302"/>
      <c r="AD142" s="5300" t="str">
        <f>INDEX(PT_DIFFERENTIATION_IST_TE,MATCH(D142,PT_DIFFERENTIATION_IST_TE_ID,0))</f>
        <v>Апатитская ТЭЦ</v>
      </c>
      <c r="AE142" s="5301"/>
      <c r="AF142" s="5301"/>
      <c r="AG142" s="5301"/>
      <c r="AH142" s="5301"/>
      <c r="AI142" s="5301"/>
      <c r="AJ142" s="5301"/>
      <c r="AK142" s="5301"/>
      <c r="AL142" s="5300"/>
      <c r="AM142" s="5301"/>
      <c r="AN142" s="5301"/>
      <c r="AO142" s="5301"/>
      <c r="AP142" s="5301"/>
      <c r="AQ142" s="5301"/>
      <c r="AR142" s="5301"/>
      <c r="AS142" s="5302"/>
      <c r="AT142" s="5302"/>
      <c r="AU142" s="2220" t="s">
        <v>521</v>
      </c>
      <c r="AV142" s="2182"/>
      <c r="AW142" s="2221"/>
      <c r="AX142" s="2221" t="str">
        <f t="shared" si="4"/>
        <v xml:space="preserve">Источник тепловой энергии  </v>
      </c>
      <c r="AY142" s="2221"/>
      <c r="AZ142" s="2221"/>
    </row>
    <row r="143" spans="1:52" s="2850" customFormat="1" ht="47.25" customHeight="1">
      <c r="A143" s="2211"/>
      <c r="B143" s="2211"/>
      <c r="C143" s="2211"/>
      <c r="D143" s="2211"/>
      <c r="E143" s="5315" t="s">
        <v>87</v>
      </c>
      <c r="F143" s="5315"/>
      <c r="G143" s="5315"/>
      <c r="H143" s="5315"/>
      <c r="I143" s="5312" t="str">
        <f>S142&amp;".1"</f>
        <v>7.1.1.1.1</v>
      </c>
      <c r="J143" s="2211"/>
      <c r="K143" s="2211"/>
      <c r="L143" s="2212" t="s">
        <v>522</v>
      </c>
      <c r="M143" s="2174"/>
      <c r="N143" s="2228"/>
      <c r="O143" s="2228"/>
      <c r="P143" s="5313">
        <v>1</v>
      </c>
      <c r="Q143" s="2229"/>
      <c r="R143" s="2230"/>
      <c r="S143" s="2217" t="str">
        <f>$I143</f>
        <v>7.1.1.1.1</v>
      </c>
      <c r="T143" s="2231" t="s">
        <v>523</v>
      </c>
      <c r="U143" s="2219"/>
      <c r="V143" s="5303"/>
      <c r="W143" s="5304"/>
      <c r="X143" s="5304"/>
      <c r="Y143" s="5304"/>
      <c r="Z143" s="5304"/>
      <c r="AA143" s="5304"/>
      <c r="AB143" s="5304"/>
      <c r="AC143" s="5305"/>
      <c r="AD143" s="5303" t="s">
        <v>565</v>
      </c>
      <c r="AE143" s="5304"/>
      <c r="AF143" s="5304"/>
      <c r="AG143" s="5304"/>
      <c r="AH143" s="5304"/>
      <c r="AI143" s="5304"/>
      <c r="AJ143" s="5304"/>
      <c r="AK143" s="5304"/>
      <c r="AL143" s="5303"/>
      <c r="AM143" s="5304"/>
      <c r="AN143" s="5304"/>
      <c r="AO143" s="5304"/>
      <c r="AP143" s="5304"/>
      <c r="AQ143" s="5304"/>
      <c r="AR143" s="5304"/>
      <c r="AS143" s="5305"/>
      <c r="AT143" s="5305"/>
      <c r="AU143" s="2220" t="s">
        <v>524</v>
      </c>
      <c r="AV143" s="2182"/>
      <c r="AW143" s="2221"/>
      <c r="AX143" s="2221" t="str">
        <f t="shared" si="4"/>
        <v>Схема подключения теплопотребляющей установки к коллектору источника тепловой энергии</v>
      </c>
      <c r="AY143" s="2221"/>
      <c r="AZ143" s="2221"/>
    </row>
    <row r="144" spans="1:52" s="2851" customFormat="1" ht="21" customHeight="1">
      <c r="A144" s="2211"/>
      <c r="B144" s="2211"/>
      <c r="C144" s="2211"/>
      <c r="D144" s="2211"/>
      <c r="E144" s="5315" t="s">
        <v>87</v>
      </c>
      <c r="F144" s="5315"/>
      <c r="G144" s="5315"/>
      <c r="H144" s="5315"/>
      <c r="I144" s="5335"/>
      <c r="J144" s="5312" t="str">
        <f>I143&amp;".1"</f>
        <v>7.1.1.1.1.1</v>
      </c>
      <c r="K144" s="2211"/>
      <c r="L144" s="2212" t="s">
        <v>525</v>
      </c>
      <c r="M144" s="2174"/>
      <c r="N144" s="2174"/>
      <c r="O144" s="2228"/>
      <c r="P144" s="5313"/>
      <c r="Q144" s="5313">
        <v>1</v>
      </c>
      <c r="R144" s="2233"/>
      <c r="S144" s="2217" t="str">
        <f>$J144</f>
        <v>7.1.1.1.1.1</v>
      </c>
      <c r="T144" s="2234" t="s">
        <v>526</v>
      </c>
      <c r="U144" s="2219"/>
      <c r="V144" s="5303"/>
      <c r="W144" s="5304"/>
      <c r="X144" s="5304"/>
      <c r="Y144" s="5304"/>
      <c r="Z144" s="5304"/>
      <c r="AA144" s="5304"/>
      <c r="AB144" s="5304"/>
      <c r="AC144" s="5305"/>
      <c r="AD144" s="5303" t="s">
        <v>565</v>
      </c>
      <c r="AE144" s="5304"/>
      <c r="AF144" s="5304"/>
      <c r="AG144" s="5304"/>
      <c r="AH144" s="5304"/>
      <c r="AI144" s="5304"/>
      <c r="AJ144" s="5304"/>
      <c r="AK144" s="5304"/>
      <c r="AL144" s="5303"/>
      <c r="AM144" s="5304"/>
      <c r="AN144" s="5304"/>
      <c r="AO144" s="5304"/>
      <c r="AP144" s="5304"/>
      <c r="AQ144" s="5304"/>
      <c r="AR144" s="5304"/>
      <c r="AS144" s="5305"/>
      <c r="AT144" s="5305"/>
      <c r="AU144" s="2220" t="s">
        <v>527</v>
      </c>
      <c r="AV144" s="2182"/>
      <c r="AW144" s="2221"/>
      <c r="AX144" s="2221" t="str">
        <f t="shared" si="4"/>
        <v>Группа потребителей</v>
      </c>
      <c r="AY144" s="2221"/>
      <c r="AZ144" s="2221"/>
    </row>
    <row r="145" spans="1:52" s="2852" customFormat="1" ht="21" customHeight="1">
      <c r="A145" s="2211"/>
      <c r="B145" s="2211"/>
      <c r="C145" s="2211"/>
      <c r="D145" s="2211"/>
      <c r="E145" s="5315" t="s">
        <v>87</v>
      </c>
      <c r="F145" s="5315"/>
      <c r="G145" s="5315"/>
      <c r="H145" s="5315"/>
      <c r="I145" s="5335"/>
      <c r="J145" s="5335"/>
      <c r="K145" s="5312" t="str">
        <f>J144&amp;".1"</f>
        <v>7.1.1.1.1.1.1</v>
      </c>
      <c r="L145" s="2212" t="s">
        <v>528</v>
      </c>
      <c r="M145" s="2174"/>
      <c r="N145" s="2174"/>
      <c r="O145" s="2174"/>
      <c r="P145" s="5313"/>
      <c r="Q145" s="5313"/>
      <c r="R145" s="2233">
        <v>1</v>
      </c>
      <c r="S145" s="2217" t="str">
        <f>$K145</f>
        <v>7.1.1.1.1.1.1</v>
      </c>
      <c r="T145" s="2236" t="s">
        <v>566</v>
      </c>
      <c r="U145" s="2219"/>
      <c r="V145" s="2139"/>
      <c r="W145" s="2140"/>
      <c r="X145" s="2139"/>
      <c r="Y145" s="2141"/>
      <c r="Z145" s="5317"/>
      <c r="AA145" s="5161" t="s">
        <v>62</v>
      </c>
      <c r="AB145" s="5317"/>
      <c r="AC145" s="5161" t="s">
        <v>62</v>
      </c>
      <c r="AD145" s="2139">
        <v>3052.14</v>
      </c>
      <c r="AE145" s="2140"/>
      <c r="AF145" s="2139"/>
      <c r="AG145" s="2141"/>
      <c r="AH145" s="5317">
        <v>45658.551666666666</v>
      </c>
      <c r="AI145" s="5161" t="s">
        <v>62</v>
      </c>
      <c r="AJ145" s="5317">
        <v>45838.551724537036</v>
      </c>
      <c r="AK145" s="5161" t="s">
        <v>62</v>
      </c>
      <c r="AL145" s="2139">
        <v>3717.61</v>
      </c>
      <c r="AM145" s="2140"/>
      <c r="AN145" s="2139"/>
      <c r="AO145" s="2141"/>
      <c r="AP145" s="5317">
        <v>45839.551874999997</v>
      </c>
      <c r="AQ145" s="5161" t="s">
        <v>62</v>
      </c>
      <c r="AR145" s="5317">
        <v>46022.55195601852</v>
      </c>
      <c r="AS145" s="5161" t="s">
        <v>62</v>
      </c>
      <c r="AT145" s="2140"/>
      <c r="AU145" s="5309" t="s">
        <v>529</v>
      </c>
      <c r="AV145" s="2182" t="e">
        <f ca="1">STRCHECKDATE(V146:AT146)</f>
        <v>#NAME?</v>
      </c>
      <c r="AW145" s="2221"/>
      <c r="AX145" s="2221" t="str">
        <f t="shared" si="4"/>
        <v>вода</v>
      </c>
      <c r="AY145" s="2221"/>
      <c r="AZ145" s="2221"/>
    </row>
    <row r="146" spans="1:52" s="2853" customFormat="1" ht="0.75" customHeight="1">
      <c r="A146" s="2211"/>
      <c r="B146" s="2211"/>
      <c r="C146" s="2211"/>
      <c r="D146" s="2211"/>
      <c r="E146" s="5315" t="s">
        <v>87</v>
      </c>
      <c r="F146" s="5315"/>
      <c r="G146" s="5315"/>
      <c r="H146" s="5315"/>
      <c r="I146" s="5335"/>
      <c r="J146" s="5335"/>
      <c r="K146" s="5312"/>
      <c r="L146" s="2212"/>
      <c r="M146" s="2174"/>
      <c r="N146" s="2174"/>
      <c r="O146" s="2174"/>
      <c r="P146" s="5313"/>
      <c r="Q146" s="5313"/>
      <c r="R146" s="2233"/>
      <c r="S146" s="2238"/>
      <c r="T146" s="2219"/>
      <c r="U146" s="2219"/>
      <c r="V146" s="2140"/>
      <c r="W146" s="2140"/>
      <c r="X146" s="2140"/>
      <c r="Y146" s="2142" t="str">
        <f>Z145&amp;"-"&amp;AB145</f>
        <v>-</v>
      </c>
      <c r="Z146" s="5318"/>
      <c r="AA146" s="5161"/>
      <c r="AB146" s="5318"/>
      <c r="AC146" s="5161"/>
      <c r="AD146" s="2140"/>
      <c r="AE146" s="2140"/>
      <c r="AF146" s="2140"/>
      <c r="AG146" s="2142" t="str">
        <f>AH145&amp;"-"&amp;AJ145</f>
        <v>45658,5516666667-45838,551724537</v>
      </c>
      <c r="AH146" s="5318"/>
      <c r="AI146" s="5161"/>
      <c r="AJ146" s="5318"/>
      <c r="AK146" s="5161"/>
      <c r="AL146" s="2140"/>
      <c r="AM146" s="2140"/>
      <c r="AN146" s="2140"/>
      <c r="AO146" s="2142" t="str">
        <f>AP145&amp;"-"&amp;AR145</f>
        <v>45839,551875-46022,5519560185</v>
      </c>
      <c r="AP146" s="5318"/>
      <c r="AQ146" s="5161"/>
      <c r="AR146" s="5318"/>
      <c r="AS146" s="5161"/>
      <c r="AT146" s="2140"/>
      <c r="AU146" s="5310"/>
      <c r="AV146" s="2182"/>
      <c r="AW146" s="2221"/>
      <c r="AX146" s="2221" t="str">
        <f t="shared" si="4"/>
        <v/>
      </c>
      <c r="AY146" s="2221"/>
      <c r="AZ146" s="2221"/>
    </row>
    <row r="147" spans="1:52" s="2854" customFormat="1" ht="15" customHeight="1">
      <c r="A147" s="2211"/>
      <c r="B147" s="2211"/>
      <c r="C147" s="2211"/>
      <c r="D147" s="2211"/>
      <c r="E147" s="5315" t="s">
        <v>87</v>
      </c>
      <c r="F147" s="5315"/>
      <c r="G147" s="5315"/>
      <c r="H147" s="5315"/>
      <c r="I147" s="5335"/>
      <c r="J147" s="5312"/>
      <c r="K147" s="2211"/>
      <c r="L147" s="2212"/>
      <c r="M147" s="2174"/>
      <c r="N147" s="2174"/>
      <c r="O147" s="2228"/>
      <c r="P147" s="5313"/>
      <c r="Q147" s="5313"/>
      <c r="R147" s="2230"/>
      <c r="S147" s="2855"/>
      <c r="T147" s="2856" t="s">
        <v>530</v>
      </c>
      <c r="U147" s="2857"/>
      <c r="V147" s="2858"/>
      <c r="W147" s="2859"/>
      <c r="X147" s="2860"/>
      <c r="Y147" s="2861"/>
      <c r="Z147" s="2862"/>
      <c r="AA147" s="2863"/>
      <c r="AB147" s="2864"/>
      <c r="AC147" s="2865"/>
      <c r="AD147" s="2866"/>
      <c r="AE147" s="2867"/>
      <c r="AF147" s="2868"/>
      <c r="AG147" s="2869"/>
      <c r="AH147" s="2870"/>
      <c r="AI147" s="2871"/>
      <c r="AJ147" s="2872"/>
      <c r="AK147" s="2873"/>
      <c r="AL147" s="2874"/>
      <c r="AM147" s="2875"/>
      <c r="AN147" s="2876"/>
      <c r="AO147" s="2877"/>
      <c r="AP147" s="2878"/>
      <c r="AQ147" s="2879"/>
      <c r="AR147" s="2880"/>
      <c r="AS147" s="2881"/>
      <c r="AT147" s="2882"/>
      <c r="AU147" s="5311"/>
      <c r="AV147" s="2182"/>
      <c r="AW147" s="2221"/>
      <c r="AX147" s="2221" t="str">
        <f t="shared" si="4"/>
        <v>Добавить вид теплоносителя (параметры теплоносителя)</v>
      </c>
      <c r="AY147" s="2221"/>
      <c r="AZ147" s="2221"/>
    </row>
    <row r="148" spans="1:52" s="2883" customFormat="1" ht="15" customHeight="1">
      <c r="A148" s="2211"/>
      <c r="B148" s="2211"/>
      <c r="C148" s="2211"/>
      <c r="D148" s="2211"/>
      <c r="E148" s="5315" t="s">
        <v>87</v>
      </c>
      <c r="F148" s="5315"/>
      <c r="G148" s="5315"/>
      <c r="H148" s="5315"/>
      <c r="I148" s="5312"/>
      <c r="J148" s="2211"/>
      <c r="K148" s="2211"/>
      <c r="L148" s="2212"/>
      <c r="M148" s="2174"/>
      <c r="N148" s="2228"/>
      <c r="O148" s="2228"/>
      <c r="P148" s="5313"/>
      <c r="Q148" s="2229"/>
      <c r="R148" s="2230"/>
      <c r="S148" s="2884"/>
      <c r="T148" s="2885" t="s">
        <v>531</v>
      </c>
      <c r="U148" s="2886"/>
      <c r="V148" s="2887"/>
      <c r="W148" s="2888"/>
      <c r="X148" s="2889"/>
      <c r="Y148" s="2890"/>
      <c r="Z148" s="2891"/>
      <c r="AA148" s="2892"/>
      <c r="AB148" s="2893"/>
      <c r="AC148" s="2894"/>
      <c r="AD148" s="2895"/>
      <c r="AE148" s="2896"/>
      <c r="AF148" s="2897"/>
      <c r="AG148" s="2898"/>
      <c r="AH148" s="2899"/>
      <c r="AI148" s="2900"/>
      <c r="AJ148" s="2901"/>
      <c r="AK148" s="2902"/>
      <c r="AL148" s="2903"/>
      <c r="AM148" s="2904"/>
      <c r="AN148" s="2905"/>
      <c r="AO148" s="2906"/>
      <c r="AP148" s="2907"/>
      <c r="AQ148" s="2908"/>
      <c r="AR148" s="2909"/>
      <c r="AS148" s="2910"/>
      <c r="AT148" s="2911"/>
      <c r="AU148" s="2912"/>
      <c r="AV148" s="2182"/>
      <c r="AW148" s="2221"/>
      <c r="AX148" s="2221" t="str">
        <f t="shared" si="4"/>
        <v>Добавить группу потребителей</v>
      </c>
      <c r="AY148" s="2221"/>
      <c r="AZ148" s="2221"/>
    </row>
    <row r="149" spans="1:52" s="2913" customFormat="1" ht="14.25" customHeight="1">
      <c r="A149" s="2211"/>
      <c r="B149" s="2211"/>
      <c r="C149" s="2211"/>
      <c r="D149" s="2211"/>
      <c r="E149" s="5315" t="s">
        <v>87</v>
      </c>
      <c r="F149" s="5315"/>
      <c r="G149" s="5315"/>
      <c r="H149" s="5314"/>
      <c r="I149" s="2211"/>
      <c r="J149" s="2211"/>
      <c r="K149" s="2211"/>
      <c r="L149" s="2212"/>
      <c r="M149" s="2213"/>
      <c r="N149" s="2213"/>
      <c r="O149" s="2174"/>
      <c r="P149" s="2299"/>
      <c r="Q149" s="2300"/>
      <c r="R149" s="2301"/>
      <c r="S149" s="2914"/>
      <c r="T149" s="2915" t="s">
        <v>532</v>
      </c>
      <c r="U149" s="2916"/>
      <c r="V149" s="2917"/>
      <c r="W149" s="2918"/>
      <c r="X149" s="2919"/>
      <c r="Y149" s="2920"/>
      <c r="Z149" s="2921"/>
      <c r="AA149" s="2922"/>
      <c r="AB149" s="2923"/>
      <c r="AC149" s="2924"/>
      <c r="AD149" s="2925"/>
      <c r="AE149" s="2926"/>
      <c r="AF149" s="2927"/>
      <c r="AG149" s="2928"/>
      <c r="AH149" s="2929"/>
      <c r="AI149" s="2930"/>
      <c r="AJ149" s="2931"/>
      <c r="AK149" s="2932"/>
      <c r="AL149" s="2933"/>
      <c r="AM149" s="2934"/>
      <c r="AN149" s="2935"/>
      <c r="AO149" s="2936"/>
      <c r="AP149" s="2937"/>
      <c r="AQ149" s="2938"/>
      <c r="AR149" s="2939"/>
      <c r="AS149" s="2940"/>
      <c r="AT149" s="2941"/>
      <c r="AU149" s="2942"/>
      <c r="AV149" s="2182"/>
      <c r="AW149" s="2221"/>
      <c r="AX149" s="2221" t="str">
        <f t="shared" si="4"/>
        <v>Добавить схему подключения</v>
      </c>
      <c r="AY149" s="2221"/>
      <c r="AZ149" s="2221"/>
    </row>
    <row r="150" spans="1:52" s="2943" customFormat="1" ht="0.75" customHeight="1">
      <c r="A150" s="2332"/>
      <c r="B150" s="2332"/>
      <c r="C150" s="2332"/>
      <c r="D150" s="2332"/>
      <c r="E150" s="5315" t="s">
        <v>87</v>
      </c>
      <c r="F150" s="5315"/>
      <c r="G150" s="5314"/>
      <c r="H150" s="2332"/>
      <c r="I150" s="2332"/>
      <c r="J150" s="2332"/>
      <c r="K150" s="2332"/>
      <c r="L150" s="2333"/>
      <c r="M150" s="2334"/>
      <c r="N150" s="2334"/>
      <c r="O150" s="2182"/>
      <c r="P150" s="2335"/>
      <c r="Q150" s="2336"/>
      <c r="R150" s="2335"/>
      <c r="S150" s="2337"/>
      <c r="T150" s="2338" t="s">
        <v>168</v>
      </c>
      <c r="U150" s="2168"/>
      <c r="V150" s="2168"/>
      <c r="W150" s="2168"/>
      <c r="X150" s="2168"/>
      <c r="Y150" s="2168"/>
      <c r="Z150" s="2168"/>
      <c r="AA150" s="2168"/>
      <c r="AB150" s="2168"/>
      <c r="AC150" s="2168"/>
      <c r="AD150" s="2168"/>
      <c r="AE150" s="2168"/>
      <c r="AF150" s="2168"/>
      <c r="AG150" s="2168"/>
      <c r="AH150" s="2168"/>
      <c r="AI150" s="2168"/>
      <c r="AJ150" s="2168"/>
      <c r="AK150" s="2168"/>
      <c r="AL150" s="2168"/>
      <c r="AM150" s="2168"/>
      <c r="AN150" s="2168"/>
      <c r="AO150" s="2168"/>
      <c r="AP150" s="2168"/>
      <c r="AQ150" s="2168"/>
      <c r="AR150" s="2168"/>
      <c r="AS150" s="2168"/>
      <c r="AT150" s="2168"/>
      <c r="AU150" s="2168"/>
      <c r="AV150" s="2182"/>
      <c r="AW150" s="2221"/>
      <c r="AX150" s="2221" t="str">
        <f t="shared" si="4"/>
        <v>Добавить источник для дифференциации</v>
      </c>
      <c r="AY150" s="2221"/>
      <c r="AZ150" s="2221"/>
    </row>
    <row r="151" spans="1:52" s="2944" customFormat="1" ht="0.75" customHeight="1">
      <c r="A151" s="2332"/>
      <c r="B151" s="2332"/>
      <c r="C151" s="2332"/>
      <c r="D151" s="2332"/>
      <c r="E151" s="5315" t="s">
        <v>87</v>
      </c>
      <c r="F151" s="5314"/>
      <c r="G151" s="2332"/>
      <c r="H151" s="2332"/>
      <c r="I151" s="2332"/>
      <c r="J151" s="2332"/>
      <c r="K151" s="2332"/>
      <c r="L151" s="2333"/>
      <c r="M151" s="2340"/>
      <c r="N151" s="2340"/>
      <c r="O151" s="2182"/>
      <c r="P151" s="2335"/>
      <c r="Q151" s="2336"/>
      <c r="R151" s="2335"/>
      <c r="S151" s="2341"/>
      <c r="T151" s="2342" t="s">
        <v>169</v>
      </c>
      <c r="U151" s="2169"/>
      <c r="V151" s="2169"/>
      <c r="W151" s="2169"/>
      <c r="X151" s="2169"/>
      <c r="Y151" s="2169"/>
      <c r="Z151" s="2169"/>
      <c r="AA151" s="2169"/>
      <c r="AB151" s="2169"/>
      <c r="AC151" s="2169"/>
      <c r="AD151" s="2169"/>
      <c r="AE151" s="2169"/>
      <c r="AF151" s="2169"/>
      <c r="AG151" s="2169"/>
      <c r="AH151" s="2169"/>
      <c r="AI151" s="2169"/>
      <c r="AJ151" s="2169"/>
      <c r="AK151" s="2169"/>
      <c r="AL151" s="2169"/>
      <c r="AM151" s="2169"/>
      <c r="AN151" s="2169"/>
      <c r="AO151" s="2169"/>
      <c r="AP151" s="2169"/>
      <c r="AQ151" s="2169"/>
      <c r="AR151" s="2169"/>
      <c r="AS151" s="2169"/>
      <c r="AT151" s="2169"/>
      <c r="AU151" s="2169"/>
      <c r="AV151" s="2182"/>
      <c r="AW151" s="2221"/>
      <c r="AX151" s="2221" t="str">
        <f t="shared" si="4"/>
        <v>Добавить централизованную систему для дифференциации</v>
      </c>
      <c r="AY151" s="2221"/>
      <c r="AZ151" s="2221"/>
    </row>
    <row r="152" spans="1:52" s="2945" customFormat="1" ht="0.75" customHeight="1">
      <c r="A152" s="2332"/>
      <c r="B152" s="2332"/>
      <c r="C152" s="2332"/>
      <c r="D152" s="2332"/>
      <c r="E152" s="5314" t="s">
        <v>87</v>
      </c>
      <c r="F152" s="2332"/>
      <c r="G152" s="2332"/>
      <c r="H152" s="2332"/>
      <c r="I152" s="2332"/>
      <c r="J152" s="2332"/>
      <c r="K152" s="2332"/>
      <c r="L152" s="2333"/>
      <c r="M152" s="2340"/>
      <c r="N152" s="2340"/>
      <c r="O152" s="2182"/>
      <c r="P152" s="2335"/>
      <c r="Q152" s="2336"/>
      <c r="R152" s="2335"/>
      <c r="S152" s="2341"/>
      <c r="T152" s="2445" t="s">
        <v>174</v>
      </c>
      <c r="U152" s="2169"/>
      <c r="V152" s="2169"/>
      <c r="W152" s="2169"/>
      <c r="X152" s="2169"/>
      <c r="Y152" s="2169"/>
      <c r="Z152" s="2169"/>
      <c r="AA152" s="2169"/>
      <c r="AB152" s="2169"/>
      <c r="AC152" s="2169"/>
      <c r="AD152" s="2169"/>
      <c r="AE152" s="2169"/>
      <c r="AF152" s="2169"/>
      <c r="AG152" s="2169"/>
      <c r="AH152" s="2169"/>
      <c r="AI152" s="2169"/>
      <c r="AJ152" s="2169"/>
      <c r="AK152" s="2169"/>
      <c r="AL152" s="2169"/>
      <c r="AM152" s="2169"/>
      <c r="AN152" s="2169"/>
      <c r="AO152" s="2169"/>
      <c r="AP152" s="2169"/>
      <c r="AQ152" s="2169"/>
      <c r="AR152" s="2169"/>
      <c r="AS152" s="2169"/>
      <c r="AT152" s="2169"/>
      <c r="AU152" s="2169"/>
      <c r="AV152" s="2182"/>
      <c r="AW152" s="2221"/>
      <c r="AX152" s="2221" t="str">
        <f t="shared" si="4"/>
        <v>Добавить территорию для дифференциации</v>
      </c>
      <c r="AY152" s="2221"/>
      <c r="AZ152" s="2221"/>
    </row>
    <row r="153" spans="1:52" s="2946" customFormat="1" ht="21" customHeight="1">
      <c r="A153" s="2211" t="s">
        <v>206</v>
      </c>
      <c r="B153" s="2211"/>
      <c r="C153" s="2211"/>
      <c r="D153" s="2211"/>
      <c r="E153" s="5314" t="s">
        <v>116</v>
      </c>
      <c r="F153" s="2211"/>
      <c r="G153" s="2211"/>
      <c r="H153" s="2211"/>
      <c r="I153" s="2211"/>
      <c r="J153" s="2211"/>
      <c r="K153" s="2211"/>
      <c r="L153" s="2212"/>
      <c r="M153" s="2213"/>
      <c r="N153" s="2213"/>
      <c r="O153" s="2213"/>
      <c r="P153" s="2344"/>
      <c r="Q153" s="2299"/>
      <c r="R153" s="2301"/>
      <c r="S153" s="2217" t="str">
        <f>INDEX(PT_DIFFERENTIATION_NUM_NTAR,MATCH(A153,PT_DIFFERENTIATION_NTAR_ID,0))</f>
        <v>8</v>
      </c>
      <c r="T153" s="2345" t="s">
        <v>127</v>
      </c>
      <c r="U153" s="2219"/>
      <c r="V153" s="5300"/>
      <c r="W153" s="5301"/>
      <c r="X153" s="5301"/>
      <c r="Y153" s="5301"/>
      <c r="Z153" s="5301"/>
      <c r="AA153" s="5301"/>
      <c r="AB153" s="5301"/>
      <c r="AC153" s="5302"/>
      <c r="AD153" s="5300" t="str">
        <f>INDEX(PT_DIFFERENTIATION_NTAR,MATCH(A153,PT_DIFFERENTIATION_NTAR_ID,0))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AE153" s="5301"/>
      <c r="AF153" s="5301"/>
      <c r="AG153" s="5301"/>
      <c r="AH153" s="5301"/>
      <c r="AI153" s="5301"/>
      <c r="AJ153" s="5301"/>
      <c r="AK153" s="5301"/>
      <c r="AL153" s="5300"/>
      <c r="AM153" s="5301"/>
      <c r="AN153" s="5301"/>
      <c r="AO153" s="5301"/>
      <c r="AP153" s="5301"/>
      <c r="AQ153" s="5301"/>
      <c r="AR153" s="5301"/>
      <c r="AS153" s="5302"/>
      <c r="AT153" s="5302"/>
      <c r="AU153" s="2220" t="s">
        <v>515</v>
      </c>
      <c r="AV153" s="2182"/>
      <c r="AW153" s="2221"/>
      <c r="AX153" s="2221" t="str">
        <f t="shared" si="4"/>
        <v>Наименование тарифа</v>
      </c>
      <c r="AY153" s="2221"/>
      <c r="AZ153" s="2221"/>
    </row>
    <row r="154" spans="1:52" s="2947" customFormat="1" ht="21" customHeight="1">
      <c r="A154" s="2211"/>
      <c r="B154" s="2211" t="s">
        <v>207</v>
      </c>
      <c r="C154" s="2211"/>
      <c r="D154" s="2211"/>
      <c r="E154" s="5315" t="s">
        <v>88</v>
      </c>
      <c r="F154" s="5314">
        <v>1</v>
      </c>
      <c r="G154" s="2211"/>
      <c r="H154" s="2211"/>
      <c r="I154" s="2211"/>
      <c r="J154" s="2211"/>
      <c r="K154" s="2211"/>
      <c r="L154" s="2212"/>
      <c r="M154" s="2213"/>
      <c r="N154" s="2213"/>
      <c r="O154" s="2213"/>
      <c r="P154" s="2214"/>
      <c r="Q154" s="2215"/>
      <c r="R154" s="2216"/>
      <c r="S154" s="2217" t="str">
        <f>INDEX(PT_DIFFERENTIATION_NUM_TER,MATCH(B154,PT_DIFFERENTIATION_TER_ID,0))</f>
        <v>8.1</v>
      </c>
      <c r="T154" s="2218" t="s">
        <v>516</v>
      </c>
      <c r="U154" s="2219"/>
      <c r="V154" s="5300"/>
      <c r="W154" s="5301"/>
      <c r="X154" s="5301"/>
      <c r="Y154" s="5301"/>
      <c r="Z154" s="5301"/>
      <c r="AA154" s="5301"/>
      <c r="AB154" s="5301"/>
      <c r="AC154" s="5302"/>
      <c r="AD154" s="5300" t="str">
        <f>INDEX(PT_DIFFERENTIATION_TER,MATCH(B154,PT_DIFFERENTIATION_TER_ID,0))</f>
        <v>Территория 1</v>
      </c>
      <c r="AE154" s="5301"/>
      <c r="AF154" s="5301"/>
      <c r="AG154" s="5301"/>
      <c r="AH154" s="5301"/>
      <c r="AI154" s="5301"/>
      <c r="AJ154" s="5301"/>
      <c r="AK154" s="5301"/>
      <c r="AL154" s="5300"/>
      <c r="AM154" s="5301"/>
      <c r="AN154" s="5301"/>
      <c r="AO154" s="5301"/>
      <c r="AP154" s="5301"/>
      <c r="AQ154" s="5301"/>
      <c r="AR154" s="5301"/>
      <c r="AS154" s="5302"/>
      <c r="AT154" s="5302"/>
      <c r="AU154" s="2220" t="s">
        <v>517</v>
      </c>
      <c r="AV154" s="2182"/>
      <c r="AW154" s="2221"/>
      <c r="AX154" s="2221" t="str">
        <f t="shared" si="4"/>
        <v>Территория действия тарифа</v>
      </c>
      <c r="AY154" s="2221"/>
      <c r="AZ154" s="2221"/>
    </row>
    <row r="155" spans="1:52" s="2948" customFormat="1" ht="23.25" customHeight="1">
      <c r="A155" s="2211"/>
      <c r="B155" s="2211"/>
      <c r="C155" s="2211" t="s">
        <v>208</v>
      </c>
      <c r="D155" s="2211"/>
      <c r="E155" s="5315" t="s">
        <v>88</v>
      </c>
      <c r="F155" s="5315"/>
      <c r="G155" s="5314">
        <v>1</v>
      </c>
      <c r="H155" s="2211"/>
      <c r="I155" s="2211"/>
      <c r="J155" s="2211"/>
      <c r="K155" s="2211"/>
      <c r="L155" s="2212"/>
      <c r="M155" s="2213"/>
      <c r="N155" s="2213"/>
      <c r="O155" s="2213"/>
      <c r="P155" s="2223"/>
      <c r="Q155" s="2215"/>
      <c r="R155" s="2216"/>
      <c r="S155" s="2217" t="str">
        <f>INDEX(PT_DIFFERENTIATION_NUM_CS,MATCH(C155,PT_DIFFERENTIATION_CS_ID,0))</f>
        <v>8.1.1</v>
      </c>
      <c r="T155" s="2224" t="s">
        <v>518</v>
      </c>
      <c r="U155" s="2219"/>
      <c r="V155" s="5300"/>
      <c r="W155" s="5301"/>
      <c r="X155" s="5301"/>
      <c r="Y155" s="5301"/>
      <c r="Z155" s="5301"/>
      <c r="AA155" s="5301"/>
      <c r="AB155" s="5301"/>
      <c r="AC155" s="5302"/>
      <c r="AD155" s="5300" t="str">
        <f>INDEX(PT_DIFFERENTIATION_CS,MATCH(C155,PT_DIFFERENTIATION_CS_ID,0))</f>
        <v xml:space="preserve">открытая система теплоснабжения г. Апатиты
</v>
      </c>
      <c r="AE155" s="5301"/>
      <c r="AF155" s="5301"/>
      <c r="AG155" s="5301"/>
      <c r="AH155" s="5301"/>
      <c r="AI155" s="5301"/>
      <c r="AJ155" s="5301"/>
      <c r="AK155" s="5301"/>
      <c r="AL155" s="5300"/>
      <c r="AM155" s="5301"/>
      <c r="AN155" s="5301"/>
      <c r="AO155" s="5301"/>
      <c r="AP155" s="5301"/>
      <c r="AQ155" s="5301"/>
      <c r="AR155" s="5301"/>
      <c r="AS155" s="5302"/>
      <c r="AT155" s="5302"/>
      <c r="AU155" s="2220" t="s">
        <v>519</v>
      </c>
      <c r="AV155" s="2182"/>
      <c r="AW155" s="2221"/>
      <c r="AX155" s="2221" t="str">
        <f t="shared" si="4"/>
        <v xml:space="preserve">Наименование системы теплоснабжения </v>
      </c>
      <c r="AY155" s="2221"/>
      <c r="AZ155" s="2221"/>
    </row>
    <row r="156" spans="1:52" s="2949" customFormat="1" ht="21" customHeight="1">
      <c r="A156" s="2211"/>
      <c r="B156" s="2211"/>
      <c r="C156" s="2211"/>
      <c r="D156" s="2211" t="s">
        <v>209</v>
      </c>
      <c r="E156" s="5315" t="s">
        <v>88</v>
      </c>
      <c r="F156" s="5315"/>
      <c r="G156" s="5315"/>
      <c r="H156" s="5314">
        <v>1</v>
      </c>
      <c r="I156" s="2211"/>
      <c r="J156" s="2211"/>
      <c r="K156" s="2211"/>
      <c r="L156" s="2212"/>
      <c r="M156" s="2213"/>
      <c r="N156" s="2213"/>
      <c r="O156" s="2213"/>
      <c r="P156" s="2223"/>
      <c r="Q156" s="2215"/>
      <c r="R156" s="2216"/>
      <c r="S156" s="2217" t="str">
        <f>INDEX(PT_DIFFERENTIATION_NUM_IST_TE,MATCH(D156,PT_DIFFERENTIATION_IST_TE_ID,0))</f>
        <v>8.1.1.1</v>
      </c>
      <c r="T156" s="2226" t="s">
        <v>520</v>
      </c>
      <c r="U156" s="2219"/>
      <c r="V156" s="5300"/>
      <c r="W156" s="5301"/>
      <c r="X156" s="5301"/>
      <c r="Y156" s="5301"/>
      <c r="Z156" s="5301"/>
      <c r="AA156" s="5301"/>
      <c r="AB156" s="5301"/>
      <c r="AC156" s="5302"/>
      <c r="AD156" s="5300" t="str">
        <f>INDEX(PT_DIFFERENTIATION_IST_TE,MATCH(D156,PT_DIFFERENTIATION_IST_TE_ID,0))</f>
        <v>Апатитская ТЭЦ</v>
      </c>
      <c r="AE156" s="5301"/>
      <c r="AF156" s="5301"/>
      <c r="AG156" s="5301"/>
      <c r="AH156" s="5301"/>
      <c r="AI156" s="5301"/>
      <c r="AJ156" s="5301"/>
      <c r="AK156" s="5301"/>
      <c r="AL156" s="5300"/>
      <c r="AM156" s="5301"/>
      <c r="AN156" s="5301"/>
      <c r="AO156" s="5301"/>
      <c r="AP156" s="5301"/>
      <c r="AQ156" s="5301"/>
      <c r="AR156" s="5301"/>
      <c r="AS156" s="5302"/>
      <c r="AT156" s="5302"/>
      <c r="AU156" s="2220" t="s">
        <v>521</v>
      </c>
      <c r="AV156" s="2182"/>
      <c r="AW156" s="2221"/>
      <c r="AX156" s="2221" t="str">
        <f t="shared" si="4"/>
        <v xml:space="preserve">Источник тепловой энергии  </v>
      </c>
      <c r="AY156" s="2221"/>
      <c r="AZ156" s="2221"/>
    </row>
    <row r="157" spans="1:52" s="2950" customFormat="1" ht="47.25" customHeight="1">
      <c r="A157" s="2211"/>
      <c r="B157" s="2211"/>
      <c r="C157" s="2211"/>
      <c r="D157" s="2211"/>
      <c r="E157" s="5315" t="s">
        <v>88</v>
      </c>
      <c r="F157" s="5315"/>
      <c r="G157" s="5315"/>
      <c r="H157" s="5315"/>
      <c r="I157" s="5312" t="str">
        <f>S156&amp;".1"</f>
        <v>8.1.1.1.1</v>
      </c>
      <c r="J157" s="2211"/>
      <c r="K157" s="2211"/>
      <c r="L157" s="2212" t="s">
        <v>522</v>
      </c>
      <c r="M157" s="2174"/>
      <c r="N157" s="2228"/>
      <c r="O157" s="2228"/>
      <c r="P157" s="5313">
        <v>1</v>
      </c>
      <c r="Q157" s="2229"/>
      <c r="R157" s="2230"/>
      <c r="S157" s="2217" t="str">
        <f>$I157</f>
        <v>8.1.1.1.1</v>
      </c>
      <c r="T157" s="2231" t="s">
        <v>523</v>
      </c>
      <c r="U157" s="2219"/>
      <c r="V157" s="5303"/>
      <c r="W157" s="5304"/>
      <c r="X157" s="5304"/>
      <c r="Y157" s="5304"/>
      <c r="Z157" s="5304"/>
      <c r="AA157" s="5304"/>
      <c r="AB157" s="5304"/>
      <c r="AC157" s="5305"/>
      <c r="AD157" s="5303" t="s">
        <v>565</v>
      </c>
      <c r="AE157" s="5304"/>
      <c r="AF157" s="5304"/>
      <c r="AG157" s="5304"/>
      <c r="AH157" s="5304"/>
      <c r="AI157" s="5304"/>
      <c r="AJ157" s="5304"/>
      <c r="AK157" s="5304"/>
      <c r="AL157" s="5303"/>
      <c r="AM157" s="5304"/>
      <c r="AN157" s="5304"/>
      <c r="AO157" s="5304"/>
      <c r="AP157" s="5304"/>
      <c r="AQ157" s="5304"/>
      <c r="AR157" s="5304"/>
      <c r="AS157" s="5305"/>
      <c r="AT157" s="5305"/>
      <c r="AU157" s="2220" t="s">
        <v>524</v>
      </c>
      <c r="AV157" s="2182"/>
      <c r="AW157" s="2221"/>
      <c r="AX157" s="2221" t="str">
        <f t="shared" si="4"/>
        <v>Схема подключения теплопотребляющей установки к коллектору источника тепловой энергии</v>
      </c>
      <c r="AY157" s="2221"/>
      <c r="AZ157" s="2221"/>
    </row>
    <row r="158" spans="1:52" s="2951" customFormat="1" ht="21" customHeight="1">
      <c r="A158" s="2211"/>
      <c r="B158" s="2211"/>
      <c r="C158" s="2211"/>
      <c r="D158" s="2211"/>
      <c r="E158" s="5315" t="s">
        <v>88</v>
      </c>
      <c r="F158" s="5315"/>
      <c r="G158" s="5315"/>
      <c r="H158" s="5315"/>
      <c r="I158" s="5335"/>
      <c r="J158" s="5312" t="str">
        <f>I157&amp;".1"</f>
        <v>8.1.1.1.1.1</v>
      </c>
      <c r="K158" s="2211"/>
      <c r="L158" s="2212" t="s">
        <v>525</v>
      </c>
      <c r="M158" s="2174"/>
      <c r="N158" s="2174"/>
      <c r="O158" s="2228"/>
      <c r="P158" s="5313"/>
      <c r="Q158" s="5313">
        <v>1</v>
      </c>
      <c r="R158" s="2233"/>
      <c r="S158" s="2217" t="str">
        <f>$J158</f>
        <v>8.1.1.1.1.1</v>
      </c>
      <c r="T158" s="2234" t="s">
        <v>526</v>
      </c>
      <c r="U158" s="2219"/>
      <c r="V158" s="5303"/>
      <c r="W158" s="5304"/>
      <c r="X158" s="5304"/>
      <c r="Y158" s="5304"/>
      <c r="Z158" s="5304"/>
      <c r="AA158" s="5304"/>
      <c r="AB158" s="5304"/>
      <c r="AC158" s="5305"/>
      <c r="AD158" s="5303" t="s">
        <v>567</v>
      </c>
      <c r="AE158" s="5304"/>
      <c r="AF158" s="5304"/>
      <c r="AG158" s="5304"/>
      <c r="AH158" s="5304"/>
      <c r="AI158" s="5304"/>
      <c r="AJ158" s="5304"/>
      <c r="AK158" s="5304"/>
      <c r="AL158" s="5303"/>
      <c r="AM158" s="5304"/>
      <c r="AN158" s="5304"/>
      <c r="AO158" s="5304"/>
      <c r="AP158" s="5304"/>
      <c r="AQ158" s="5304"/>
      <c r="AR158" s="5304"/>
      <c r="AS158" s="5305"/>
      <c r="AT158" s="5305"/>
      <c r="AU158" s="2220" t="s">
        <v>527</v>
      </c>
      <c r="AV158" s="2182"/>
      <c r="AW158" s="2221"/>
      <c r="AX158" s="2221" t="str">
        <f t="shared" si="4"/>
        <v>Группа потребителей</v>
      </c>
      <c r="AY158" s="2221"/>
      <c r="AZ158" s="2221"/>
    </row>
    <row r="159" spans="1:52" s="2952" customFormat="1" ht="21" customHeight="1">
      <c r="A159" s="2211"/>
      <c r="B159" s="2211"/>
      <c r="C159" s="2211"/>
      <c r="D159" s="2211"/>
      <c r="E159" s="5315" t="s">
        <v>88</v>
      </c>
      <c r="F159" s="5315"/>
      <c r="G159" s="5315"/>
      <c r="H159" s="5315"/>
      <c r="I159" s="5335"/>
      <c r="J159" s="5335"/>
      <c r="K159" s="5312" t="str">
        <f>J158&amp;".1"</f>
        <v>8.1.1.1.1.1.1</v>
      </c>
      <c r="L159" s="2212" t="s">
        <v>528</v>
      </c>
      <c r="M159" s="2174"/>
      <c r="N159" s="2174"/>
      <c r="O159" s="2174"/>
      <c r="P159" s="5313"/>
      <c r="Q159" s="5313"/>
      <c r="R159" s="2233">
        <v>1</v>
      </c>
      <c r="S159" s="2217" t="str">
        <f>$K159</f>
        <v>8.1.1.1.1.1.1</v>
      </c>
      <c r="T159" s="2236" t="s">
        <v>566</v>
      </c>
      <c r="U159" s="2219"/>
      <c r="V159" s="2139"/>
      <c r="W159" s="2140"/>
      <c r="X159" s="2139"/>
      <c r="Y159" s="2141"/>
      <c r="Z159" s="5317"/>
      <c r="AA159" s="5161" t="s">
        <v>62</v>
      </c>
      <c r="AB159" s="5317"/>
      <c r="AC159" s="5161" t="s">
        <v>62</v>
      </c>
      <c r="AD159" s="2139">
        <v>3051.62</v>
      </c>
      <c r="AE159" s="2140"/>
      <c r="AF159" s="2139"/>
      <c r="AG159" s="2141"/>
      <c r="AH159" s="5317">
        <v>45658.553229166668</v>
      </c>
      <c r="AI159" s="5161" t="s">
        <v>62</v>
      </c>
      <c r="AJ159" s="5317">
        <v>45838.553287037037</v>
      </c>
      <c r="AK159" s="5161" t="s">
        <v>62</v>
      </c>
      <c r="AL159" s="2139">
        <v>3573.45</v>
      </c>
      <c r="AM159" s="2140"/>
      <c r="AN159" s="2139"/>
      <c r="AO159" s="2141"/>
      <c r="AP159" s="5317">
        <v>45839.553437499999</v>
      </c>
      <c r="AQ159" s="5161" t="s">
        <v>62</v>
      </c>
      <c r="AR159" s="5317">
        <v>46022.553530092591</v>
      </c>
      <c r="AS159" s="5161" t="s">
        <v>62</v>
      </c>
      <c r="AT159" s="2140"/>
      <c r="AU159" s="5309" t="s">
        <v>529</v>
      </c>
      <c r="AV159" s="2182" t="e">
        <f ca="1">STRCHECKDATE(V160:AT160)</f>
        <v>#NAME?</v>
      </c>
      <c r="AW159" s="2221"/>
      <c r="AX159" s="2221" t="str">
        <f t="shared" si="4"/>
        <v>вода</v>
      </c>
      <c r="AY159" s="2221"/>
      <c r="AZ159" s="2221"/>
    </row>
    <row r="160" spans="1:52" s="2953" customFormat="1" ht="0.75" customHeight="1">
      <c r="A160" s="2211"/>
      <c r="B160" s="2211"/>
      <c r="C160" s="2211"/>
      <c r="D160" s="2211"/>
      <c r="E160" s="5315" t="s">
        <v>88</v>
      </c>
      <c r="F160" s="5315"/>
      <c r="G160" s="5315"/>
      <c r="H160" s="5315"/>
      <c r="I160" s="5335"/>
      <c r="J160" s="5335"/>
      <c r="K160" s="5312"/>
      <c r="L160" s="2212"/>
      <c r="M160" s="2174"/>
      <c r="N160" s="2174"/>
      <c r="O160" s="2174"/>
      <c r="P160" s="5313"/>
      <c r="Q160" s="5313"/>
      <c r="R160" s="2233"/>
      <c r="S160" s="2238"/>
      <c r="T160" s="2219"/>
      <c r="U160" s="2219"/>
      <c r="V160" s="2140"/>
      <c r="W160" s="2140"/>
      <c r="X160" s="2140"/>
      <c r="Y160" s="2142" t="str">
        <f>Z159&amp;"-"&amp;AB159</f>
        <v>-</v>
      </c>
      <c r="Z160" s="5318"/>
      <c r="AA160" s="5161"/>
      <c r="AB160" s="5318"/>
      <c r="AC160" s="5161"/>
      <c r="AD160" s="2140"/>
      <c r="AE160" s="2140"/>
      <c r="AF160" s="2140"/>
      <c r="AG160" s="2142" t="str">
        <f>AH159&amp;"-"&amp;AJ159</f>
        <v>45658,5532291667-45838,553287037</v>
      </c>
      <c r="AH160" s="5318"/>
      <c r="AI160" s="5161"/>
      <c r="AJ160" s="5318"/>
      <c r="AK160" s="5161"/>
      <c r="AL160" s="2140"/>
      <c r="AM160" s="2140"/>
      <c r="AN160" s="2140"/>
      <c r="AO160" s="2142" t="str">
        <f>AP159&amp;"-"&amp;AR159</f>
        <v>45839,5534375-46022,5535300926</v>
      </c>
      <c r="AP160" s="5318"/>
      <c r="AQ160" s="5161"/>
      <c r="AR160" s="5318"/>
      <c r="AS160" s="5161"/>
      <c r="AT160" s="2140"/>
      <c r="AU160" s="5310"/>
      <c r="AV160" s="2182"/>
      <c r="AW160" s="2221"/>
      <c r="AX160" s="2221" t="str">
        <f t="shared" si="4"/>
        <v/>
      </c>
      <c r="AY160" s="2221"/>
      <c r="AZ160" s="2221"/>
    </row>
    <row r="161" spans="1:52" s="2954" customFormat="1" ht="15" customHeight="1">
      <c r="A161" s="2211"/>
      <c r="B161" s="2211"/>
      <c r="C161" s="2211"/>
      <c r="D161" s="2211"/>
      <c r="E161" s="5315" t="s">
        <v>88</v>
      </c>
      <c r="F161" s="5315"/>
      <c r="G161" s="5315"/>
      <c r="H161" s="5315"/>
      <c r="I161" s="5335"/>
      <c r="J161" s="5312"/>
      <c r="K161" s="2211"/>
      <c r="L161" s="2212"/>
      <c r="M161" s="2174"/>
      <c r="N161" s="2174"/>
      <c r="O161" s="2228"/>
      <c r="P161" s="5313"/>
      <c r="Q161" s="5313"/>
      <c r="R161" s="2230"/>
      <c r="S161" s="2955"/>
      <c r="T161" s="2956" t="s">
        <v>530</v>
      </c>
      <c r="U161" s="2957"/>
      <c r="V161" s="2958"/>
      <c r="W161" s="2959"/>
      <c r="X161" s="2960"/>
      <c r="Y161" s="2961"/>
      <c r="Z161" s="2962"/>
      <c r="AA161" s="2963"/>
      <c r="AB161" s="2964"/>
      <c r="AC161" s="2965"/>
      <c r="AD161" s="2966"/>
      <c r="AE161" s="2967"/>
      <c r="AF161" s="2968"/>
      <c r="AG161" s="2969"/>
      <c r="AH161" s="2970"/>
      <c r="AI161" s="2971"/>
      <c r="AJ161" s="2972"/>
      <c r="AK161" s="2973"/>
      <c r="AL161" s="2974"/>
      <c r="AM161" s="2975"/>
      <c r="AN161" s="2976"/>
      <c r="AO161" s="2977"/>
      <c r="AP161" s="2978"/>
      <c r="AQ161" s="2979"/>
      <c r="AR161" s="2980"/>
      <c r="AS161" s="2981"/>
      <c r="AT161" s="2982"/>
      <c r="AU161" s="5311"/>
      <c r="AV161" s="2182"/>
      <c r="AW161" s="2221"/>
      <c r="AX161" s="2221" t="str">
        <f t="shared" si="4"/>
        <v>Добавить вид теплоносителя (параметры теплоносителя)</v>
      </c>
      <c r="AY161" s="2221"/>
      <c r="AZ161" s="2221"/>
    </row>
    <row r="162" spans="1:52" s="2983" customFormat="1" ht="15" customHeight="1">
      <c r="A162" s="2211"/>
      <c r="B162" s="2211"/>
      <c r="C162" s="2211"/>
      <c r="D162" s="2211"/>
      <c r="E162" s="5315" t="s">
        <v>88</v>
      </c>
      <c r="F162" s="5315"/>
      <c r="G162" s="5315"/>
      <c r="H162" s="5315"/>
      <c r="I162" s="5312"/>
      <c r="J162" s="2211"/>
      <c r="K162" s="2211"/>
      <c r="L162" s="2212"/>
      <c r="M162" s="2174"/>
      <c r="N162" s="2228"/>
      <c r="O162" s="2228"/>
      <c r="P162" s="5313"/>
      <c r="Q162" s="2229"/>
      <c r="R162" s="2230"/>
      <c r="S162" s="2984"/>
      <c r="T162" s="2985" t="s">
        <v>531</v>
      </c>
      <c r="U162" s="2986"/>
      <c r="V162" s="2987"/>
      <c r="W162" s="2988"/>
      <c r="X162" s="2989"/>
      <c r="Y162" s="2990"/>
      <c r="Z162" s="2991"/>
      <c r="AA162" s="2992"/>
      <c r="AB162" s="2993"/>
      <c r="AC162" s="2994"/>
      <c r="AD162" s="2995"/>
      <c r="AE162" s="2996"/>
      <c r="AF162" s="2997"/>
      <c r="AG162" s="2998"/>
      <c r="AH162" s="2999"/>
      <c r="AI162" s="3000"/>
      <c r="AJ162" s="3001"/>
      <c r="AK162" s="3002"/>
      <c r="AL162" s="3003"/>
      <c r="AM162" s="3004"/>
      <c r="AN162" s="3005"/>
      <c r="AO162" s="3006"/>
      <c r="AP162" s="3007"/>
      <c r="AQ162" s="3008"/>
      <c r="AR162" s="3009"/>
      <c r="AS162" s="3010"/>
      <c r="AT162" s="3011"/>
      <c r="AU162" s="3012"/>
      <c r="AV162" s="2182"/>
      <c r="AW162" s="2221"/>
      <c r="AX162" s="2221" t="str">
        <f t="shared" si="4"/>
        <v>Добавить группу потребителей</v>
      </c>
      <c r="AY162" s="2221"/>
      <c r="AZ162" s="2221"/>
    </row>
    <row r="163" spans="1:52" s="3013" customFormat="1" ht="14.25" customHeight="1">
      <c r="A163" s="2211"/>
      <c r="B163" s="2211"/>
      <c r="C163" s="2211"/>
      <c r="D163" s="2211"/>
      <c r="E163" s="5315" t="s">
        <v>88</v>
      </c>
      <c r="F163" s="5315"/>
      <c r="G163" s="5315"/>
      <c r="H163" s="5314"/>
      <c r="I163" s="2211"/>
      <c r="J163" s="2211"/>
      <c r="K163" s="2211"/>
      <c r="L163" s="2212"/>
      <c r="M163" s="2213"/>
      <c r="N163" s="2213"/>
      <c r="O163" s="2174"/>
      <c r="P163" s="2299"/>
      <c r="Q163" s="2300"/>
      <c r="R163" s="2301"/>
      <c r="S163" s="3014"/>
      <c r="T163" s="3015" t="s">
        <v>532</v>
      </c>
      <c r="U163" s="3016"/>
      <c r="V163" s="3017"/>
      <c r="W163" s="3018"/>
      <c r="X163" s="3019"/>
      <c r="Y163" s="3020"/>
      <c r="Z163" s="3021"/>
      <c r="AA163" s="3022"/>
      <c r="AB163" s="3023"/>
      <c r="AC163" s="3024"/>
      <c r="AD163" s="3025"/>
      <c r="AE163" s="3026"/>
      <c r="AF163" s="3027"/>
      <c r="AG163" s="3028"/>
      <c r="AH163" s="3029"/>
      <c r="AI163" s="3030"/>
      <c r="AJ163" s="3031"/>
      <c r="AK163" s="3032"/>
      <c r="AL163" s="3033"/>
      <c r="AM163" s="3034"/>
      <c r="AN163" s="3035"/>
      <c r="AO163" s="3036"/>
      <c r="AP163" s="3037"/>
      <c r="AQ163" s="3038"/>
      <c r="AR163" s="3039"/>
      <c r="AS163" s="3040"/>
      <c r="AT163" s="3041"/>
      <c r="AU163" s="3042"/>
      <c r="AV163" s="2182"/>
      <c r="AW163" s="2221"/>
      <c r="AX163" s="2221" t="str">
        <f t="shared" si="4"/>
        <v>Добавить схему подключения</v>
      </c>
      <c r="AY163" s="2221"/>
      <c r="AZ163" s="2221"/>
    </row>
    <row r="164" spans="1:52" s="3043" customFormat="1" ht="0.75" customHeight="1">
      <c r="A164" s="2332"/>
      <c r="B164" s="2332"/>
      <c r="C164" s="2332"/>
      <c r="D164" s="2332"/>
      <c r="E164" s="5315" t="s">
        <v>88</v>
      </c>
      <c r="F164" s="5315"/>
      <c r="G164" s="5314"/>
      <c r="H164" s="2332"/>
      <c r="I164" s="2332"/>
      <c r="J164" s="2332"/>
      <c r="K164" s="2332"/>
      <c r="L164" s="2333"/>
      <c r="M164" s="2334"/>
      <c r="N164" s="2334"/>
      <c r="O164" s="2182"/>
      <c r="P164" s="2335"/>
      <c r="Q164" s="2336"/>
      <c r="R164" s="2335"/>
      <c r="S164" s="2337"/>
      <c r="T164" s="2338" t="s">
        <v>168</v>
      </c>
      <c r="U164" s="2168"/>
      <c r="V164" s="2168"/>
      <c r="W164" s="2168"/>
      <c r="X164" s="2168"/>
      <c r="Y164" s="2168"/>
      <c r="Z164" s="2168"/>
      <c r="AA164" s="2168"/>
      <c r="AB164" s="2168"/>
      <c r="AC164" s="2168"/>
      <c r="AD164" s="2168"/>
      <c r="AE164" s="2168"/>
      <c r="AF164" s="2168"/>
      <c r="AG164" s="2168"/>
      <c r="AH164" s="2168"/>
      <c r="AI164" s="2168"/>
      <c r="AJ164" s="2168"/>
      <c r="AK164" s="2168"/>
      <c r="AL164" s="2168"/>
      <c r="AM164" s="2168"/>
      <c r="AN164" s="2168"/>
      <c r="AO164" s="2168"/>
      <c r="AP164" s="2168"/>
      <c r="AQ164" s="2168"/>
      <c r="AR164" s="2168"/>
      <c r="AS164" s="2168"/>
      <c r="AT164" s="2168"/>
      <c r="AU164" s="2168"/>
      <c r="AV164" s="2182"/>
      <c r="AW164" s="2221"/>
      <c r="AX164" s="2221" t="str">
        <f t="shared" si="4"/>
        <v>Добавить источник для дифференциации</v>
      </c>
      <c r="AY164" s="2221"/>
      <c r="AZ164" s="2221"/>
    </row>
    <row r="165" spans="1:52" s="3044" customFormat="1" ht="0.75" customHeight="1">
      <c r="A165" s="2332"/>
      <c r="B165" s="2332"/>
      <c r="C165" s="2332"/>
      <c r="D165" s="2332"/>
      <c r="E165" s="5315" t="s">
        <v>88</v>
      </c>
      <c r="F165" s="5314"/>
      <c r="G165" s="2332"/>
      <c r="H165" s="2332"/>
      <c r="I165" s="2332"/>
      <c r="J165" s="2332"/>
      <c r="K165" s="2332"/>
      <c r="L165" s="2333"/>
      <c r="M165" s="2340"/>
      <c r="N165" s="2340"/>
      <c r="O165" s="2182"/>
      <c r="P165" s="2335"/>
      <c r="Q165" s="2336"/>
      <c r="R165" s="2335"/>
      <c r="S165" s="2341"/>
      <c r="T165" s="2342" t="s">
        <v>169</v>
      </c>
      <c r="U165" s="2169"/>
      <c r="V165" s="2169"/>
      <c r="W165" s="2169"/>
      <c r="X165" s="2169"/>
      <c r="Y165" s="2169"/>
      <c r="Z165" s="2169"/>
      <c r="AA165" s="2169"/>
      <c r="AB165" s="2169"/>
      <c r="AC165" s="2169"/>
      <c r="AD165" s="2169"/>
      <c r="AE165" s="2169"/>
      <c r="AF165" s="2169"/>
      <c r="AG165" s="2169"/>
      <c r="AH165" s="2169"/>
      <c r="AI165" s="2169"/>
      <c r="AJ165" s="2169"/>
      <c r="AK165" s="2169"/>
      <c r="AL165" s="2169"/>
      <c r="AM165" s="2169"/>
      <c r="AN165" s="2169"/>
      <c r="AO165" s="2169"/>
      <c r="AP165" s="2169"/>
      <c r="AQ165" s="2169"/>
      <c r="AR165" s="2169"/>
      <c r="AS165" s="2169"/>
      <c r="AT165" s="2169"/>
      <c r="AU165" s="2169"/>
      <c r="AV165" s="2182"/>
      <c r="AW165" s="2221"/>
      <c r="AX165" s="2221" t="str">
        <f t="shared" si="4"/>
        <v>Добавить централизованную систему для дифференциации</v>
      </c>
      <c r="AY165" s="2221"/>
      <c r="AZ165" s="2221"/>
    </row>
    <row r="166" spans="1:52" s="3045" customFormat="1" ht="0.75" customHeight="1">
      <c r="A166" s="2332"/>
      <c r="B166" s="2332"/>
      <c r="C166" s="2332"/>
      <c r="D166" s="2332"/>
      <c r="E166" s="5314" t="s">
        <v>88</v>
      </c>
      <c r="F166" s="2332"/>
      <c r="G166" s="2332"/>
      <c r="H166" s="2332"/>
      <c r="I166" s="2332"/>
      <c r="J166" s="2332"/>
      <c r="K166" s="2332"/>
      <c r="L166" s="2333"/>
      <c r="M166" s="2340"/>
      <c r="N166" s="2340"/>
      <c r="O166" s="2182"/>
      <c r="P166" s="2335"/>
      <c r="Q166" s="2336"/>
      <c r="R166" s="2335"/>
      <c r="S166" s="2341"/>
      <c r="T166" s="2445" t="s">
        <v>174</v>
      </c>
      <c r="U166" s="2169"/>
      <c r="V166" s="2169"/>
      <c r="W166" s="2169"/>
      <c r="X166" s="2169"/>
      <c r="Y166" s="2169"/>
      <c r="Z166" s="2169"/>
      <c r="AA166" s="2169"/>
      <c r="AB166" s="2169"/>
      <c r="AC166" s="2169"/>
      <c r="AD166" s="2169"/>
      <c r="AE166" s="2169"/>
      <c r="AF166" s="2169"/>
      <c r="AG166" s="2169"/>
      <c r="AH166" s="2169"/>
      <c r="AI166" s="2169"/>
      <c r="AJ166" s="2169"/>
      <c r="AK166" s="2169"/>
      <c r="AL166" s="2169"/>
      <c r="AM166" s="2169"/>
      <c r="AN166" s="2169"/>
      <c r="AO166" s="2169"/>
      <c r="AP166" s="2169"/>
      <c r="AQ166" s="2169"/>
      <c r="AR166" s="2169"/>
      <c r="AS166" s="2169"/>
      <c r="AT166" s="2169"/>
      <c r="AU166" s="2169"/>
      <c r="AV166" s="2182"/>
      <c r="AW166" s="2221"/>
      <c r="AX166" s="2221" t="str">
        <f t="shared" si="4"/>
        <v>Добавить территорию для дифференциации</v>
      </c>
      <c r="AY166" s="2221"/>
      <c r="AZ166" s="2221"/>
    </row>
    <row r="167" spans="1:52" s="3046" customFormat="1" ht="21" customHeight="1">
      <c r="A167" s="2211" t="s">
        <v>211</v>
      </c>
      <c r="B167" s="2211"/>
      <c r="C167" s="2211"/>
      <c r="D167" s="2211"/>
      <c r="E167" s="5314" t="s">
        <v>152</v>
      </c>
      <c r="F167" s="2211"/>
      <c r="G167" s="2211"/>
      <c r="H167" s="2211"/>
      <c r="I167" s="2211"/>
      <c r="J167" s="2211"/>
      <c r="K167" s="2211"/>
      <c r="L167" s="2212"/>
      <c r="M167" s="2213"/>
      <c r="N167" s="2213"/>
      <c r="O167" s="2213"/>
      <c r="P167" s="2344"/>
      <c r="Q167" s="2299"/>
      <c r="R167" s="2301"/>
      <c r="S167" s="2217" t="str">
        <f>INDEX(PT_DIFFERENTIATION_NUM_NTAR,MATCH(A167,PT_DIFFERENTIATION_NTAR_ID,0))</f>
        <v>9</v>
      </c>
      <c r="T167" s="2345" t="s">
        <v>127</v>
      </c>
      <c r="U167" s="2219"/>
      <c r="V167" s="5300"/>
      <c r="W167" s="5301"/>
      <c r="X167" s="5301"/>
      <c r="Y167" s="5301"/>
      <c r="Z167" s="5301"/>
      <c r="AA167" s="5301"/>
      <c r="AB167" s="5301"/>
      <c r="AC167" s="5302"/>
      <c r="AD167" s="5300" t="str">
        <f>INDEX(PT_DIFFERENTIATION_NTAR,MATCH(A167,PT_DIFFERENTIATION_NTAR_ID,0))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AE167" s="5301"/>
      <c r="AF167" s="5301"/>
      <c r="AG167" s="5301"/>
      <c r="AH167" s="5301"/>
      <c r="AI167" s="5301"/>
      <c r="AJ167" s="5301"/>
      <c r="AK167" s="5301"/>
      <c r="AL167" s="5300"/>
      <c r="AM167" s="5301"/>
      <c r="AN167" s="5301"/>
      <c r="AO167" s="5301"/>
      <c r="AP167" s="5301"/>
      <c r="AQ167" s="5301"/>
      <c r="AR167" s="5301"/>
      <c r="AS167" s="5302"/>
      <c r="AT167" s="5302"/>
      <c r="AU167" s="2220" t="s">
        <v>515</v>
      </c>
      <c r="AV167" s="2182"/>
      <c r="AW167" s="2221"/>
      <c r="AX167" s="2221" t="str">
        <f t="shared" si="4"/>
        <v>Наименование тарифа</v>
      </c>
      <c r="AY167" s="2221"/>
      <c r="AZ167" s="2221"/>
    </row>
    <row r="168" spans="1:52" s="3047" customFormat="1" ht="21" customHeight="1">
      <c r="A168" s="2211"/>
      <c r="B168" s="2211" t="s">
        <v>212</v>
      </c>
      <c r="C168" s="2211"/>
      <c r="D168" s="2211"/>
      <c r="E168" s="5315" t="s">
        <v>116</v>
      </c>
      <c r="F168" s="5314">
        <v>1</v>
      </c>
      <c r="G168" s="2211"/>
      <c r="H168" s="2211"/>
      <c r="I168" s="2211"/>
      <c r="J168" s="2211"/>
      <c r="K168" s="2211"/>
      <c r="L168" s="2212"/>
      <c r="M168" s="2213"/>
      <c r="N168" s="2213"/>
      <c r="O168" s="2213"/>
      <c r="P168" s="2214"/>
      <c r="Q168" s="2215"/>
      <c r="R168" s="2216"/>
      <c r="S168" s="2217" t="str">
        <f>INDEX(PT_DIFFERENTIATION_NUM_TER,MATCH(B168,PT_DIFFERENTIATION_TER_ID,0))</f>
        <v>9.1</v>
      </c>
      <c r="T168" s="2218" t="s">
        <v>516</v>
      </c>
      <c r="U168" s="2219"/>
      <c r="V168" s="5300"/>
      <c r="W168" s="5301"/>
      <c r="X168" s="5301"/>
      <c r="Y168" s="5301"/>
      <c r="Z168" s="5301"/>
      <c r="AA168" s="5301"/>
      <c r="AB168" s="5301"/>
      <c r="AC168" s="5302"/>
      <c r="AD168" s="5300" t="str">
        <f>INDEX(PT_DIFFERENTIATION_TER,MATCH(B168,PT_DIFFERENTIATION_TER_ID,0))</f>
        <v>Территория 2</v>
      </c>
      <c r="AE168" s="5301"/>
      <c r="AF168" s="5301"/>
      <c r="AG168" s="5301"/>
      <c r="AH168" s="5301"/>
      <c r="AI168" s="5301"/>
      <c r="AJ168" s="5301"/>
      <c r="AK168" s="5301"/>
      <c r="AL168" s="5300"/>
      <c r="AM168" s="5301"/>
      <c r="AN168" s="5301"/>
      <c r="AO168" s="5301"/>
      <c r="AP168" s="5301"/>
      <c r="AQ168" s="5301"/>
      <c r="AR168" s="5301"/>
      <c r="AS168" s="5302"/>
      <c r="AT168" s="5302"/>
      <c r="AU168" s="2220" t="s">
        <v>517</v>
      </c>
      <c r="AV168" s="2182"/>
      <c r="AW168" s="2221"/>
      <c r="AX168" s="2221" t="str">
        <f t="shared" si="4"/>
        <v>Территория действия тарифа</v>
      </c>
      <c r="AY168" s="2221"/>
      <c r="AZ168" s="2221"/>
    </row>
    <row r="169" spans="1:52" s="3048" customFormat="1" ht="23.25" customHeight="1">
      <c r="A169" s="2211"/>
      <c r="B169" s="2211"/>
      <c r="C169" s="2211" t="s">
        <v>213</v>
      </c>
      <c r="D169" s="2211"/>
      <c r="E169" s="5315" t="s">
        <v>116</v>
      </c>
      <c r="F169" s="5315"/>
      <c r="G169" s="5314">
        <v>1</v>
      </c>
      <c r="H169" s="2211"/>
      <c r="I169" s="2211"/>
      <c r="J169" s="2211"/>
      <c r="K169" s="2211"/>
      <c r="L169" s="2212"/>
      <c r="M169" s="2213"/>
      <c r="N169" s="2213"/>
      <c r="O169" s="2213"/>
      <c r="P169" s="2223"/>
      <c r="Q169" s="2215"/>
      <c r="R169" s="2216"/>
      <c r="S169" s="2217" t="str">
        <f>INDEX(PT_DIFFERENTIATION_NUM_CS,MATCH(C169,PT_DIFFERENTIATION_CS_ID,0))</f>
        <v>9.1.1</v>
      </c>
      <c r="T169" s="2224" t="s">
        <v>518</v>
      </c>
      <c r="U169" s="2219"/>
      <c r="V169" s="5300"/>
      <c r="W169" s="5301"/>
      <c r="X169" s="5301"/>
      <c r="Y169" s="5301"/>
      <c r="Z169" s="5301"/>
      <c r="AA169" s="5301"/>
      <c r="AB169" s="5301"/>
      <c r="AC169" s="5302"/>
      <c r="AD169" s="5300" t="str">
        <f>INDEX(PT_DIFFERENTIATION_CS,MATCH(C169,PT_DIFFERENTIATION_CS_ID,0))</f>
        <v>открытая система теплоснабжения г. Кировск</v>
      </c>
      <c r="AE169" s="5301"/>
      <c r="AF169" s="5301"/>
      <c r="AG169" s="5301"/>
      <c r="AH169" s="5301"/>
      <c r="AI169" s="5301"/>
      <c r="AJ169" s="5301"/>
      <c r="AK169" s="5301"/>
      <c r="AL169" s="5300"/>
      <c r="AM169" s="5301"/>
      <c r="AN169" s="5301"/>
      <c r="AO169" s="5301"/>
      <c r="AP169" s="5301"/>
      <c r="AQ169" s="5301"/>
      <c r="AR169" s="5301"/>
      <c r="AS169" s="5302"/>
      <c r="AT169" s="5302"/>
      <c r="AU169" s="2220" t="s">
        <v>519</v>
      </c>
      <c r="AV169" s="2182"/>
      <c r="AW169" s="2221"/>
      <c r="AX169" s="2221" t="str">
        <f t="shared" si="4"/>
        <v xml:space="preserve">Наименование системы теплоснабжения </v>
      </c>
      <c r="AY169" s="2221"/>
      <c r="AZ169" s="2221"/>
    </row>
    <row r="170" spans="1:52" s="3049" customFormat="1" ht="21" customHeight="1">
      <c r="A170" s="2211"/>
      <c r="B170" s="2211"/>
      <c r="C170" s="2211"/>
      <c r="D170" s="2211" t="s">
        <v>214</v>
      </c>
      <c r="E170" s="5315" t="s">
        <v>116</v>
      </c>
      <c r="F170" s="5315"/>
      <c r="G170" s="5315"/>
      <c r="H170" s="5314">
        <v>1</v>
      </c>
      <c r="I170" s="2211"/>
      <c r="J170" s="2211"/>
      <c r="K170" s="2211"/>
      <c r="L170" s="2212"/>
      <c r="M170" s="2213"/>
      <c r="N170" s="2213"/>
      <c r="O170" s="2213"/>
      <c r="P170" s="2223"/>
      <c r="Q170" s="2215"/>
      <c r="R170" s="2216"/>
      <c r="S170" s="2217" t="str">
        <f>INDEX(PT_DIFFERENTIATION_NUM_IST_TE,MATCH(D170,PT_DIFFERENTIATION_IST_TE_ID,0))</f>
        <v>9.1.1.1</v>
      </c>
      <c r="T170" s="2226" t="s">
        <v>520</v>
      </c>
      <c r="U170" s="2219"/>
      <c r="V170" s="5300"/>
      <c r="W170" s="5301"/>
      <c r="X170" s="5301"/>
      <c r="Y170" s="5301"/>
      <c r="Z170" s="5301"/>
      <c r="AA170" s="5301"/>
      <c r="AB170" s="5301"/>
      <c r="AC170" s="5302"/>
      <c r="AD170" s="5300" t="str">
        <f>INDEX(PT_DIFFERENTIATION_IST_TE,MATCH(D170,PT_DIFFERENTIATION_IST_TE_ID,0))</f>
        <v>Апатитская ТЭЦ</v>
      </c>
      <c r="AE170" s="5301"/>
      <c r="AF170" s="5301"/>
      <c r="AG170" s="5301"/>
      <c r="AH170" s="5301"/>
      <c r="AI170" s="5301"/>
      <c r="AJ170" s="5301"/>
      <c r="AK170" s="5301"/>
      <c r="AL170" s="5300"/>
      <c r="AM170" s="5301"/>
      <c r="AN170" s="5301"/>
      <c r="AO170" s="5301"/>
      <c r="AP170" s="5301"/>
      <c r="AQ170" s="5301"/>
      <c r="AR170" s="5301"/>
      <c r="AS170" s="5302"/>
      <c r="AT170" s="5302"/>
      <c r="AU170" s="2220" t="s">
        <v>521</v>
      </c>
      <c r="AV170" s="2182"/>
      <c r="AW170" s="2221"/>
      <c r="AX170" s="2221" t="str">
        <f t="shared" si="4"/>
        <v xml:space="preserve">Источник тепловой энергии  </v>
      </c>
      <c r="AY170" s="2221"/>
      <c r="AZ170" s="2221"/>
    </row>
    <row r="171" spans="1:52" s="3050" customFormat="1" ht="47.25" customHeight="1">
      <c r="A171" s="2211"/>
      <c r="B171" s="2211"/>
      <c r="C171" s="2211"/>
      <c r="D171" s="2211"/>
      <c r="E171" s="5315" t="s">
        <v>116</v>
      </c>
      <c r="F171" s="5315"/>
      <c r="G171" s="5315"/>
      <c r="H171" s="5315"/>
      <c r="I171" s="5312" t="str">
        <f>S170&amp;".1"</f>
        <v>9.1.1.1.1</v>
      </c>
      <c r="J171" s="2211"/>
      <c r="K171" s="2211"/>
      <c r="L171" s="2212" t="s">
        <v>522</v>
      </c>
      <c r="M171" s="2174"/>
      <c r="N171" s="2228"/>
      <c r="O171" s="2228"/>
      <c r="P171" s="5313">
        <v>1</v>
      </c>
      <c r="Q171" s="2229"/>
      <c r="R171" s="2230"/>
      <c r="S171" s="2217" t="str">
        <f>$I171</f>
        <v>9.1.1.1.1</v>
      </c>
      <c r="T171" s="2231" t="s">
        <v>523</v>
      </c>
      <c r="U171" s="2219"/>
      <c r="V171" s="5303"/>
      <c r="W171" s="5304"/>
      <c r="X171" s="5304"/>
      <c r="Y171" s="5304"/>
      <c r="Z171" s="5304"/>
      <c r="AA171" s="5304"/>
      <c r="AB171" s="5304"/>
      <c r="AC171" s="5305"/>
      <c r="AD171" s="5303" t="s">
        <v>565</v>
      </c>
      <c r="AE171" s="5304"/>
      <c r="AF171" s="5304"/>
      <c r="AG171" s="5304"/>
      <c r="AH171" s="5304"/>
      <c r="AI171" s="5304"/>
      <c r="AJ171" s="5304"/>
      <c r="AK171" s="5304"/>
      <c r="AL171" s="5303"/>
      <c r="AM171" s="5304"/>
      <c r="AN171" s="5304"/>
      <c r="AO171" s="5304"/>
      <c r="AP171" s="5304"/>
      <c r="AQ171" s="5304"/>
      <c r="AR171" s="5304"/>
      <c r="AS171" s="5305"/>
      <c r="AT171" s="5305"/>
      <c r="AU171" s="2220" t="s">
        <v>524</v>
      </c>
      <c r="AV171" s="2182"/>
      <c r="AW171" s="2221"/>
      <c r="AX171" s="2221" t="str">
        <f t="shared" ref="AX171:AX181" si="5">IF(T171="","",T171)</f>
        <v>Схема подключения теплопотребляющей установки к коллектору источника тепловой энергии</v>
      </c>
      <c r="AY171" s="2221"/>
      <c r="AZ171" s="2221"/>
    </row>
    <row r="172" spans="1:52" s="3051" customFormat="1" ht="21" customHeight="1">
      <c r="A172" s="2211"/>
      <c r="B172" s="2211"/>
      <c r="C172" s="2211"/>
      <c r="D172" s="2211"/>
      <c r="E172" s="5315" t="s">
        <v>116</v>
      </c>
      <c r="F172" s="5315"/>
      <c r="G172" s="5315"/>
      <c r="H172" s="5315"/>
      <c r="I172" s="5335"/>
      <c r="J172" s="5312" t="str">
        <f>I171&amp;".1"</f>
        <v>9.1.1.1.1.1</v>
      </c>
      <c r="K172" s="2211"/>
      <c r="L172" s="2212" t="s">
        <v>525</v>
      </c>
      <c r="M172" s="2174"/>
      <c r="N172" s="2174"/>
      <c r="O172" s="2228"/>
      <c r="P172" s="5313"/>
      <c r="Q172" s="5313">
        <v>1</v>
      </c>
      <c r="R172" s="2233"/>
      <c r="S172" s="2217" t="str">
        <f>$J172</f>
        <v>9.1.1.1.1.1</v>
      </c>
      <c r="T172" s="2234" t="s">
        <v>526</v>
      </c>
      <c r="U172" s="2219"/>
      <c r="V172" s="5303"/>
      <c r="W172" s="5304"/>
      <c r="X172" s="5304"/>
      <c r="Y172" s="5304"/>
      <c r="Z172" s="5304"/>
      <c r="AA172" s="5304"/>
      <c r="AB172" s="5304"/>
      <c r="AC172" s="5305"/>
      <c r="AD172" s="5303" t="s">
        <v>567</v>
      </c>
      <c r="AE172" s="5304"/>
      <c r="AF172" s="5304"/>
      <c r="AG172" s="5304"/>
      <c r="AH172" s="5304"/>
      <c r="AI172" s="5304"/>
      <c r="AJ172" s="5304"/>
      <c r="AK172" s="5304"/>
      <c r="AL172" s="5303"/>
      <c r="AM172" s="5304"/>
      <c r="AN172" s="5304"/>
      <c r="AO172" s="5304"/>
      <c r="AP172" s="5304"/>
      <c r="AQ172" s="5304"/>
      <c r="AR172" s="5304"/>
      <c r="AS172" s="5305"/>
      <c r="AT172" s="5305"/>
      <c r="AU172" s="2220" t="s">
        <v>527</v>
      </c>
      <c r="AV172" s="2182"/>
      <c r="AW172" s="2221"/>
      <c r="AX172" s="2221" t="str">
        <f t="shared" si="5"/>
        <v>Группа потребителей</v>
      </c>
      <c r="AY172" s="2221"/>
      <c r="AZ172" s="2221"/>
    </row>
    <row r="173" spans="1:52" s="3052" customFormat="1" ht="21" customHeight="1">
      <c r="A173" s="2211"/>
      <c r="B173" s="2211"/>
      <c r="C173" s="2211"/>
      <c r="D173" s="2211"/>
      <c r="E173" s="5315" t="s">
        <v>116</v>
      </c>
      <c r="F173" s="5315"/>
      <c r="G173" s="5315"/>
      <c r="H173" s="5315"/>
      <c r="I173" s="5335"/>
      <c r="J173" s="5335"/>
      <c r="K173" s="5312" t="str">
        <f>J172&amp;".1"</f>
        <v>9.1.1.1.1.1.1</v>
      </c>
      <c r="L173" s="2212" t="s">
        <v>528</v>
      </c>
      <c r="M173" s="2174"/>
      <c r="N173" s="2174"/>
      <c r="O173" s="2174"/>
      <c r="P173" s="5313"/>
      <c r="Q173" s="5313"/>
      <c r="R173" s="2233">
        <v>1</v>
      </c>
      <c r="S173" s="2217" t="str">
        <f>$K173</f>
        <v>9.1.1.1.1.1.1</v>
      </c>
      <c r="T173" s="2236" t="s">
        <v>566</v>
      </c>
      <c r="U173" s="2219"/>
      <c r="V173" s="2139"/>
      <c r="W173" s="2140"/>
      <c r="X173" s="2139"/>
      <c r="Y173" s="2141"/>
      <c r="Z173" s="5317"/>
      <c r="AA173" s="5161" t="s">
        <v>62</v>
      </c>
      <c r="AB173" s="5317"/>
      <c r="AC173" s="5161" t="s">
        <v>62</v>
      </c>
      <c r="AD173" s="2139">
        <v>3662.57</v>
      </c>
      <c r="AE173" s="2140"/>
      <c r="AF173" s="2139"/>
      <c r="AG173" s="2141"/>
      <c r="AH173" s="5317">
        <v>45658.558807870373</v>
      </c>
      <c r="AI173" s="5161" t="s">
        <v>62</v>
      </c>
      <c r="AJ173" s="5317">
        <v>45838.558865740742</v>
      </c>
      <c r="AK173" s="5161" t="s">
        <v>62</v>
      </c>
      <c r="AL173" s="2139">
        <v>4211.96</v>
      </c>
      <c r="AM173" s="2140"/>
      <c r="AN173" s="2139"/>
      <c r="AO173" s="2141"/>
      <c r="AP173" s="5317">
        <v>45839.559050925927</v>
      </c>
      <c r="AQ173" s="5161" t="s">
        <v>62</v>
      </c>
      <c r="AR173" s="5317">
        <v>46022.559131944443</v>
      </c>
      <c r="AS173" s="5161" t="s">
        <v>62</v>
      </c>
      <c r="AT173" s="2140"/>
      <c r="AU173" s="5309" t="s">
        <v>529</v>
      </c>
      <c r="AV173" s="2182" t="e">
        <f ca="1">STRCHECKDATE(V174:AT174)</f>
        <v>#NAME?</v>
      </c>
      <c r="AW173" s="2221"/>
      <c r="AX173" s="2221" t="str">
        <f t="shared" si="5"/>
        <v>вода</v>
      </c>
      <c r="AY173" s="2221"/>
      <c r="AZ173" s="2221"/>
    </row>
    <row r="174" spans="1:52" s="3053" customFormat="1" ht="0.75" customHeight="1">
      <c r="A174" s="2211"/>
      <c r="B174" s="2211"/>
      <c r="C174" s="2211"/>
      <c r="D174" s="2211"/>
      <c r="E174" s="5315" t="s">
        <v>116</v>
      </c>
      <c r="F174" s="5315"/>
      <c r="G174" s="5315"/>
      <c r="H174" s="5315"/>
      <c r="I174" s="5335"/>
      <c r="J174" s="5335"/>
      <c r="K174" s="5312"/>
      <c r="L174" s="2212"/>
      <c r="M174" s="2174"/>
      <c r="N174" s="2174"/>
      <c r="O174" s="2174"/>
      <c r="P174" s="5313"/>
      <c r="Q174" s="5313"/>
      <c r="R174" s="2233"/>
      <c r="S174" s="2238"/>
      <c r="T174" s="2219"/>
      <c r="U174" s="2219"/>
      <c r="V174" s="2140"/>
      <c r="W174" s="2140"/>
      <c r="X174" s="2140"/>
      <c r="Y174" s="2142" t="str">
        <f>Z173&amp;"-"&amp;AB173</f>
        <v>-</v>
      </c>
      <c r="Z174" s="5318"/>
      <c r="AA174" s="5161"/>
      <c r="AB174" s="5318"/>
      <c r="AC174" s="5161"/>
      <c r="AD174" s="2140"/>
      <c r="AE174" s="2140"/>
      <c r="AF174" s="2140"/>
      <c r="AG174" s="2142" t="str">
        <f>AH173&amp;"-"&amp;AJ173</f>
        <v>45658,5588078703-45838,5588657407</v>
      </c>
      <c r="AH174" s="5318"/>
      <c r="AI174" s="5161"/>
      <c r="AJ174" s="5318"/>
      <c r="AK174" s="5161"/>
      <c r="AL174" s="2140"/>
      <c r="AM174" s="2140"/>
      <c r="AN174" s="2140"/>
      <c r="AO174" s="2142" t="str">
        <f>AP173&amp;"-"&amp;AR173</f>
        <v>45839,5590509259-46022,5591319444</v>
      </c>
      <c r="AP174" s="5318"/>
      <c r="AQ174" s="5161"/>
      <c r="AR174" s="5318"/>
      <c r="AS174" s="5161"/>
      <c r="AT174" s="2140"/>
      <c r="AU174" s="5310"/>
      <c r="AV174" s="2182"/>
      <c r="AW174" s="2221"/>
      <c r="AX174" s="2221" t="str">
        <f t="shared" si="5"/>
        <v/>
      </c>
      <c r="AY174" s="2221"/>
      <c r="AZ174" s="2221"/>
    </row>
    <row r="175" spans="1:52" s="3054" customFormat="1" ht="15" customHeight="1">
      <c r="A175" s="2211"/>
      <c r="B175" s="2211"/>
      <c r="C175" s="2211"/>
      <c r="D175" s="2211"/>
      <c r="E175" s="5315" t="s">
        <v>116</v>
      </c>
      <c r="F175" s="5315"/>
      <c r="G175" s="5315"/>
      <c r="H175" s="5315"/>
      <c r="I175" s="5335"/>
      <c r="J175" s="5312"/>
      <c r="K175" s="2211"/>
      <c r="L175" s="2212"/>
      <c r="M175" s="2174"/>
      <c r="N175" s="2174"/>
      <c r="O175" s="2228"/>
      <c r="P175" s="5313"/>
      <c r="Q175" s="5313"/>
      <c r="R175" s="2230"/>
      <c r="S175" s="3055"/>
      <c r="T175" s="3056" t="s">
        <v>530</v>
      </c>
      <c r="U175" s="3057"/>
      <c r="V175" s="3058"/>
      <c r="W175" s="3059"/>
      <c r="X175" s="3060"/>
      <c r="Y175" s="3061"/>
      <c r="Z175" s="3062"/>
      <c r="AA175" s="3063"/>
      <c r="AB175" s="3064"/>
      <c r="AC175" s="3065"/>
      <c r="AD175" s="3066"/>
      <c r="AE175" s="3067"/>
      <c r="AF175" s="3068"/>
      <c r="AG175" s="3069"/>
      <c r="AH175" s="3070"/>
      <c r="AI175" s="3071"/>
      <c r="AJ175" s="3072"/>
      <c r="AK175" s="3073"/>
      <c r="AL175" s="3074"/>
      <c r="AM175" s="3075"/>
      <c r="AN175" s="3076"/>
      <c r="AO175" s="3077"/>
      <c r="AP175" s="3078"/>
      <c r="AQ175" s="3079"/>
      <c r="AR175" s="3080"/>
      <c r="AS175" s="3081"/>
      <c r="AT175" s="3082"/>
      <c r="AU175" s="5311"/>
      <c r="AV175" s="2182"/>
      <c r="AW175" s="2221"/>
      <c r="AX175" s="2221" t="str">
        <f t="shared" si="5"/>
        <v>Добавить вид теплоносителя (параметры теплоносителя)</v>
      </c>
      <c r="AY175" s="2221"/>
      <c r="AZ175" s="2221"/>
    </row>
    <row r="176" spans="1:52" s="3083" customFormat="1" ht="15" customHeight="1">
      <c r="A176" s="2211"/>
      <c r="B176" s="2211"/>
      <c r="C176" s="2211"/>
      <c r="D176" s="2211"/>
      <c r="E176" s="5315" t="s">
        <v>116</v>
      </c>
      <c r="F176" s="5315"/>
      <c r="G176" s="5315"/>
      <c r="H176" s="5315"/>
      <c r="I176" s="5312"/>
      <c r="J176" s="2211"/>
      <c r="K176" s="2211"/>
      <c r="L176" s="2212"/>
      <c r="M176" s="2174"/>
      <c r="N176" s="2228"/>
      <c r="O176" s="2228"/>
      <c r="P176" s="5313"/>
      <c r="Q176" s="2229"/>
      <c r="R176" s="2230"/>
      <c r="S176" s="3084"/>
      <c r="T176" s="3085" t="s">
        <v>531</v>
      </c>
      <c r="U176" s="3086"/>
      <c r="V176" s="3087"/>
      <c r="W176" s="3088"/>
      <c r="X176" s="3089"/>
      <c r="Y176" s="3090"/>
      <c r="Z176" s="3091"/>
      <c r="AA176" s="3092"/>
      <c r="AB176" s="3093"/>
      <c r="AC176" s="3094"/>
      <c r="AD176" s="3095"/>
      <c r="AE176" s="3096"/>
      <c r="AF176" s="3097"/>
      <c r="AG176" s="3098"/>
      <c r="AH176" s="3099"/>
      <c r="AI176" s="3100"/>
      <c r="AJ176" s="3101"/>
      <c r="AK176" s="3102"/>
      <c r="AL176" s="3103"/>
      <c r="AM176" s="3104"/>
      <c r="AN176" s="3105"/>
      <c r="AO176" s="3106"/>
      <c r="AP176" s="3107"/>
      <c r="AQ176" s="3108"/>
      <c r="AR176" s="3109"/>
      <c r="AS176" s="3110"/>
      <c r="AT176" s="3111"/>
      <c r="AU176" s="3112"/>
      <c r="AV176" s="2182"/>
      <c r="AW176" s="2221"/>
      <c r="AX176" s="2221" t="str">
        <f t="shared" si="5"/>
        <v>Добавить группу потребителей</v>
      </c>
      <c r="AY176" s="2221"/>
      <c r="AZ176" s="2221"/>
    </row>
    <row r="177" spans="1:52" s="3113" customFormat="1" ht="14.25" customHeight="1">
      <c r="A177" s="2211"/>
      <c r="B177" s="2211"/>
      <c r="C177" s="2211"/>
      <c r="D177" s="2211"/>
      <c r="E177" s="5315" t="s">
        <v>116</v>
      </c>
      <c r="F177" s="5315"/>
      <c r="G177" s="5315"/>
      <c r="H177" s="5314"/>
      <c r="I177" s="2211"/>
      <c r="J177" s="2211"/>
      <c r="K177" s="2211"/>
      <c r="L177" s="2212"/>
      <c r="M177" s="2213"/>
      <c r="N177" s="2213"/>
      <c r="O177" s="2174"/>
      <c r="P177" s="2299"/>
      <c r="Q177" s="2300"/>
      <c r="R177" s="2301"/>
      <c r="S177" s="3114"/>
      <c r="T177" s="3115" t="s">
        <v>532</v>
      </c>
      <c r="U177" s="3116"/>
      <c r="V177" s="3117"/>
      <c r="W177" s="3118"/>
      <c r="X177" s="3119"/>
      <c r="Y177" s="3120"/>
      <c r="Z177" s="3121"/>
      <c r="AA177" s="3122"/>
      <c r="AB177" s="3123"/>
      <c r="AC177" s="3124"/>
      <c r="AD177" s="3125"/>
      <c r="AE177" s="3126"/>
      <c r="AF177" s="3127"/>
      <c r="AG177" s="3128"/>
      <c r="AH177" s="3129"/>
      <c r="AI177" s="3130"/>
      <c r="AJ177" s="3131"/>
      <c r="AK177" s="3132"/>
      <c r="AL177" s="3133"/>
      <c r="AM177" s="3134"/>
      <c r="AN177" s="3135"/>
      <c r="AO177" s="3136"/>
      <c r="AP177" s="3137"/>
      <c r="AQ177" s="3138"/>
      <c r="AR177" s="3139"/>
      <c r="AS177" s="3140"/>
      <c r="AT177" s="3141"/>
      <c r="AU177" s="3142"/>
      <c r="AV177" s="2182"/>
      <c r="AW177" s="2221"/>
      <c r="AX177" s="2221" t="str">
        <f t="shared" si="5"/>
        <v>Добавить схему подключения</v>
      </c>
      <c r="AY177" s="2221"/>
      <c r="AZ177" s="2221"/>
    </row>
    <row r="178" spans="1:52" s="3143" customFormat="1" ht="0.75" customHeight="1">
      <c r="A178" s="2332"/>
      <c r="B178" s="2332"/>
      <c r="C178" s="2332"/>
      <c r="D178" s="2332"/>
      <c r="E178" s="5315" t="s">
        <v>116</v>
      </c>
      <c r="F178" s="5315"/>
      <c r="G178" s="5314"/>
      <c r="H178" s="2332"/>
      <c r="I178" s="2332"/>
      <c r="J178" s="2332"/>
      <c r="K178" s="2332"/>
      <c r="L178" s="2333"/>
      <c r="M178" s="2334"/>
      <c r="N178" s="2334"/>
      <c r="O178" s="2182"/>
      <c r="P178" s="2335"/>
      <c r="Q178" s="2336"/>
      <c r="R178" s="2335"/>
      <c r="S178" s="2337"/>
      <c r="T178" s="2338" t="s">
        <v>168</v>
      </c>
      <c r="U178" s="2168"/>
      <c r="V178" s="2168"/>
      <c r="W178" s="2168"/>
      <c r="X178" s="2168"/>
      <c r="Y178" s="2168"/>
      <c r="Z178" s="2168"/>
      <c r="AA178" s="2168"/>
      <c r="AB178" s="2168"/>
      <c r="AC178" s="2168"/>
      <c r="AD178" s="2168"/>
      <c r="AE178" s="2168"/>
      <c r="AF178" s="2168"/>
      <c r="AG178" s="2168"/>
      <c r="AH178" s="2168"/>
      <c r="AI178" s="2168"/>
      <c r="AJ178" s="2168"/>
      <c r="AK178" s="2168"/>
      <c r="AL178" s="2168"/>
      <c r="AM178" s="2168"/>
      <c r="AN178" s="2168"/>
      <c r="AO178" s="2168"/>
      <c r="AP178" s="2168"/>
      <c r="AQ178" s="2168"/>
      <c r="AR178" s="2168"/>
      <c r="AS178" s="2168"/>
      <c r="AT178" s="2168"/>
      <c r="AU178" s="2168"/>
      <c r="AV178" s="2182"/>
      <c r="AW178" s="2221"/>
      <c r="AX178" s="2221" t="str">
        <f t="shared" si="5"/>
        <v>Добавить источник для дифференциации</v>
      </c>
      <c r="AY178" s="2221"/>
      <c r="AZ178" s="2221"/>
    </row>
    <row r="179" spans="1:52" s="3144" customFormat="1" ht="0.75" customHeight="1">
      <c r="A179" s="2332"/>
      <c r="B179" s="2332"/>
      <c r="C179" s="2332"/>
      <c r="D179" s="2332"/>
      <c r="E179" s="5315" t="s">
        <v>116</v>
      </c>
      <c r="F179" s="5314"/>
      <c r="G179" s="2332"/>
      <c r="H179" s="2332"/>
      <c r="I179" s="2332"/>
      <c r="J179" s="2332"/>
      <c r="K179" s="2332"/>
      <c r="L179" s="2333"/>
      <c r="M179" s="2340"/>
      <c r="N179" s="2340"/>
      <c r="O179" s="2182"/>
      <c r="P179" s="2335"/>
      <c r="Q179" s="2336"/>
      <c r="R179" s="2335"/>
      <c r="S179" s="2341"/>
      <c r="T179" s="2342" t="s">
        <v>169</v>
      </c>
      <c r="U179" s="2169"/>
      <c r="V179" s="2169"/>
      <c r="W179" s="2169"/>
      <c r="X179" s="2169"/>
      <c r="Y179" s="2169"/>
      <c r="Z179" s="2169"/>
      <c r="AA179" s="2169"/>
      <c r="AB179" s="2169"/>
      <c r="AC179" s="2169"/>
      <c r="AD179" s="2169"/>
      <c r="AE179" s="2169"/>
      <c r="AF179" s="2169"/>
      <c r="AG179" s="2169"/>
      <c r="AH179" s="2169"/>
      <c r="AI179" s="2169"/>
      <c r="AJ179" s="2169"/>
      <c r="AK179" s="2169"/>
      <c r="AL179" s="2169"/>
      <c r="AM179" s="2169"/>
      <c r="AN179" s="2169"/>
      <c r="AO179" s="2169"/>
      <c r="AP179" s="2169"/>
      <c r="AQ179" s="2169"/>
      <c r="AR179" s="2169"/>
      <c r="AS179" s="2169"/>
      <c r="AT179" s="2169"/>
      <c r="AU179" s="2169"/>
      <c r="AV179" s="2182"/>
      <c r="AW179" s="2221"/>
      <c r="AX179" s="2221" t="str">
        <f t="shared" si="5"/>
        <v>Добавить централизованную систему для дифференциации</v>
      </c>
      <c r="AY179" s="2221"/>
      <c r="AZ179" s="2221"/>
    </row>
    <row r="180" spans="1:52" s="3145" customFormat="1" ht="0.75" customHeight="1">
      <c r="A180" s="2332"/>
      <c r="B180" s="2332"/>
      <c r="C180" s="2332"/>
      <c r="D180" s="2332"/>
      <c r="E180" s="5314" t="s">
        <v>116</v>
      </c>
      <c r="F180" s="2332"/>
      <c r="G180" s="2332"/>
      <c r="H180" s="2332"/>
      <c r="I180" s="2332"/>
      <c r="J180" s="2332"/>
      <c r="K180" s="2332"/>
      <c r="L180" s="2333"/>
      <c r="M180" s="2340"/>
      <c r="N180" s="2340"/>
      <c r="O180" s="2182"/>
      <c r="P180" s="2335"/>
      <c r="Q180" s="2336"/>
      <c r="R180" s="2335"/>
      <c r="S180" s="2341"/>
      <c r="T180" s="2445" t="s">
        <v>174</v>
      </c>
      <c r="U180" s="2169"/>
      <c r="V180" s="2169"/>
      <c r="W180" s="2169"/>
      <c r="X180" s="2169"/>
      <c r="Y180" s="2169"/>
      <c r="Z180" s="2169"/>
      <c r="AA180" s="2169"/>
      <c r="AB180" s="2169"/>
      <c r="AC180" s="2169"/>
      <c r="AD180" s="2169"/>
      <c r="AE180" s="2169"/>
      <c r="AF180" s="2169"/>
      <c r="AG180" s="2169"/>
      <c r="AH180" s="2169"/>
      <c r="AI180" s="2169"/>
      <c r="AJ180" s="2169"/>
      <c r="AK180" s="2169"/>
      <c r="AL180" s="2169"/>
      <c r="AM180" s="2169"/>
      <c r="AN180" s="2169"/>
      <c r="AO180" s="2169"/>
      <c r="AP180" s="2169"/>
      <c r="AQ180" s="2169"/>
      <c r="AR180" s="2169"/>
      <c r="AS180" s="2169"/>
      <c r="AT180" s="2169"/>
      <c r="AU180" s="2169"/>
      <c r="AV180" s="2182"/>
      <c r="AW180" s="2221"/>
      <c r="AX180" s="2221" t="str">
        <f t="shared" si="5"/>
        <v>Добавить территорию для дифференциации</v>
      </c>
      <c r="AY180" s="2221"/>
      <c r="AZ180" s="2221"/>
    </row>
    <row r="181" spans="1:52" s="2167" customFormat="1" ht="0.75" customHeight="1">
      <c r="A181" s="1231"/>
      <c r="B181" s="1231"/>
      <c r="C181" s="1231"/>
      <c r="D181" s="1231"/>
      <c r="E181" s="1259"/>
      <c r="F181" s="1231"/>
      <c r="G181" s="1231"/>
      <c r="H181" s="1231"/>
      <c r="I181" s="1231"/>
      <c r="J181" s="1231"/>
      <c r="K181" s="1231"/>
      <c r="L181" s="1255"/>
      <c r="M181" s="1238"/>
      <c r="N181" s="1238"/>
      <c r="P181" s="1233"/>
      <c r="Q181" s="1234"/>
      <c r="R181" s="1233"/>
      <c r="S181" s="1239"/>
      <c r="T181" s="1242" t="s">
        <v>215</v>
      </c>
      <c r="U181" s="1241"/>
      <c r="V181" s="1241"/>
      <c r="W181" s="1241"/>
      <c r="X181" s="1241"/>
      <c r="Y181" s="1241"/>
      <c r="Z181" s="1241"/>
      <c r="AA181" s="1241"/>
      <c r="AB181" s="1241"/>
      <c r="AC181" s="1241"/>
      <c r="AD181" s="1241"/>
      <c r="AE181" s="1241"/>
      <c r="AF181" s="1241"/>
      <c r="AG181" s="1241"/>
      <c r="AH181" s="1241"/>
      <c r="AI181" s="1241"/>
      <c r="AJ181" s="1241"/>
      <c r="AK181" s="1241"/>
      <c r="AL181" s="2169"/>
      <c r="AM181" s="2169"/>
      <c r="AN181" s="2169"/>
      <c r="AO181" s="2169"/>
      <c r="AP181" s="2169"/>
      <c r="AQ181" s="2169"/>
      <c r="AR181" s="2169"/>
      <c r="AS181" s="2169"/>
      <c r="AT181" s="1241"/>
      <c r="AU181" s="1241"/>
      <c r="AW181" s="705"/>
      <c r="AX181" s="705" t="str">
        <f t="shared" si="5"/>
        <v>Добавить наименование тарифа</v>
      </c>
      <c r="AY181" s="705"/>
      <c r="AZ181" s="705"/>
    </row>
    <row r="182" spans="1:52" ht="11.25" customHeight="1">
      <c r="M182" s="1059"/>
      <c r="N182" s="1059"/>
      <c r="O182" s="461"/>
      <c r="P182" s="1054"/>
      <c r="Q182" s="1054"/>
      <c r="R182" s="1054"/>
      <c r="S182" s="1054"/>
      <c r="AL182" s="2138"/>
      <c r="AM182" s="2138"/>
      <c r="AN182" s="2138"/>
      <c r="AO182" s="2138"/>
      <c r="AP182" s="2138"/>
      <c r="AQ182" s="2138"/>
      <c r="AR182" s="2138"/>
      <c r="AS182" s="2138"/>
      <c r="AV182" s="1054"/>
      <c r="AW182" s="1054"/>
      <c r="AX182" s="1054"/>
      <c r="AY182" s="1054"/>
      <c r="AZ182" s="1054"/>
    </row>
    <row r="183" spans="1:52" ht="27" customHeight="1">
      <c r="O183" s="461"/>
      <c r="S183" s="1163"/>
      <c r="T183" s="5334"/>
      <c r="U183" s="5334"/>
      <c r="V183" s="5334"/>
      <c r="W183" s="5334"/>
      <c r="X183" s="5334"/>
      <c r="Y183" s="5334"/>
      <c r="Z183" s="5334"/>
      <c r="AA183" s="5334"/>
      <c r="AB183" s="5334"/>
      <c r="AC183" s="5334"/>
      <c r="AD183" s="5334"/>
      <c r="AE183" s="5334"/>
      <c r="AF183" s="5334"/>
      <c r="AG183" s="5334"/>
      <c r="AH183" s="5334"/>
      <c r="AI183" s="5334"/>
      <c r="AJ183" s="5334"/>
      <c r="AK183" s="5334"/>
      <c r="AL183" s="5334"/>
      <c r="AM183" s="5334"/>
      <c r="AN183" s="5334"/>
      <c r="AO183" s="5334"/>
      <c r="AP183" s="5334"/>
      <c r="AQ183" s="5334"/>
      <c r="AR183" s="5334"/>
      <c r="AS183" s="5334"/>
      <c r="AT183" s="5334"/>
      <c r="AU183" s="5334"/>
    </row>
    <row r="184" spans="1:52" ht="64.5" customHeight="1">
      <c r="O184" s="461"/>
      <c r="P184" s="1221"/>
      <c r="T184" s="5334"/>
      <c r="U184" s="5334"/>
      <c r="V184" s="5334"/>
      <c r="W184" s="5334"/>
      <c r="X184" s="5334"/>
      <c r="Y184" s="5334"/>
      <c r="Z184" s="5334"/>
      <c r="AA184" s="5334"/>
      <c r="AB184" s="5334"/>
      <c r="AC184" s="5334"/>
      <c r="AD184" s="5334"/>
      <c r="AE184" s="5334"/>
      <c r="AF184" s="5334"/>
      <c r="AG184" s="5334"/>
      <c r="AH184" s="5334"/>
      <c r="AI184" s="5334"/>
      <c r="AJ184" s="5334"/>
      <c r="AK184" s="5334"/>
      <c r="AL184" s="5334"/>
      <c r="AM184" s="5334"/>
      <c r="AN184" s="5334"/>
      <c r="AO184" s="5334"/>
      <c r="AP184" s="5334"/>
      <c r="AQ184" s="5334"/>
      <c r="AR184" s="5334"/>
      <c r="AS184" s="5334"/>
      <c r="AT184" s="5334"/>
      <c r="AU184" s="5334"/>
    </row>
    <row r="185" spans="1:52" ht="14.25" customHeight="1">
      <c r="O185" s="461"/>
      <c r="AL185" s="2138"/>
      <c r="AM185" s="2138"/>
      <c r="AN185" s="2138"/>
      <c r="AO185" s="2138"/>
      <c r="AP185" s="2138"/>
      <c r="AQ185" s="2138"/>
      <c r="AR185" s="2138"/>
      <c r="AS185" s="2138"/>
    </row>
    <row r="186" spans="1:52" ht="18" customHeight="1">
      <c r="O186" s="461"/>
      <c r="P186" s="1244"/>
      <c r="S186" s="1163"/>
      <c r="T186" s="5334"/>
      <c r="U186" s="5334"/>
      <c r="V186" s="5334"/>
      <c r="W186" s="5334"/>
      <c r="X186" s="5334"/>
      <c r="Y186" s="5334"/>
      <c r="Z186" s="5334"/>
      <c r="AA186" s="5334"/>
      <c r="AB186" s="5334"/>
      <c r="AC186" s="5334"/>
      <c r="AD186" s="5334"/>
      <c r="AE186" s="5334"/>
      <c r="AF186" s="5334"/>
      <c r="AG186" s="5334"/>
      <c r="AH186" s="5334"/>
      <c r="AI186" s="5334"/>
      <c r="AJ186" s="5334"/>
      <c r="AK186" s="5334"/>
      <c r="AL186" s="5334"/>
      <c r="AM186" s="5334"/>
      <c r="AN186" s="5334"/>
      <c r="AO186" s="5334"/>
      <c r="AP186" s="5334"/>
      <c r="AQ186" s="5334"/>
      <c r="AR186" s="5334"/>
      <c r="AS186" s="5334"/>
      <c r="AT186" s="5334"/>
      <c r="AU186" s="5334"/>
    </row>
    <row r="187" spans="1:52" ht="18" customHeight="1">
      <c r="O187" s="461"/>
      <c r="P187" s="1244"/>
      <c r="T187" s="5334"/>
      <c r="U187" s="5334"/>
      <c r="V187" s="5334"/>
      <c r="W187" s="5334"/>
      <c r="X187" s="5334"/>
      <c r="Y187" s="5334"/>
      <c r="Z187" s="5334"/>
      <c r="AA187" s="5334"/>
      <c r="AB187" s="5334"/>
      <c r="AC187" s="5334"/>
      <c r="AD187" s="5334"/>
      <c r="AE187" s="5334"/>
      <c r="AF187" s="5334"/>
      <c r="AG187" s="5334"/>
      <c r="AH187" s="5334"/>
      <c r="AI187" s="5334"/>
      <c r="AJ187" s="5334"/>
      <c r="AK187" s="5334"/>
      <c r="AL187" s="5334"/>
      <c r="AM187" s="5334"/>
      <c r="AN187" s="5334"/>
      <c r="AO187" s="5334"/>
      <c r="AP187" s="5334"/>
      <c r="AQ187" s="5334"/>
      <c r="AR187" s="5334"/>
      <c r="AS187" s="5334"/>
      <c r="AT187" s="5334"/>
      <c r="AU187" s="5334"/>
    </row>
    <row r="188" spans="1:52" ht="27.75" customHeight="1">
      <c r="O188" s="461"/>
      <c r="P188" s="1244"/>
      <c r="S188" s="1163"/>
      <c r="T188" s="5334"/>
      <c r="U188" s="5334"/>
      <c r="V188" s="5334"/>
      <c r="W188" s="5334"/>
      <c r="X188" s="5334"/>
      <c r="Y188" s="5334"/>
      <c r="Z188" s="5334"/>
      <c r="AA188" s="5334"/>
      <c r="AB188" s="5334"/>
      <c r="AC188" s="5334"/>
      <c r="AD188" s="5334"/>
      <c r="AE188" s="5334"/>
      <c r="AF188" s="5334"/>
      <c r="AG188" s="5334"/>
      <c r="AH188" s="5334"/>
      <c r="AI188" s="5334"/>
      <c r="AJ188" s="5334"/>
      <c r="AK188" s="5334"/>
      <c r="AL188" s="5334"/>
      <c r="AM188" s="5334"/>
      <c r="AN188" s="5334"/>
      <c r="AO188" s="5334"/>
      <c r="AP188" s="5334"/>
      <c r="AQ188" s="5334"/>
      <c r="AR188" s="5334"/>
      <c r="AS188" s="5334"/>
      <c r="AT188" s="5334"/>
      <c r="AU188" s="5334"/>
    </row>
  </sheetData>
  <sheetProtection formatColumns="0" formatRows="0" insertRows="0" deleteColumns="0" deleteRows="0" sort="0" autoFilter="0"/>
  <mergeCells count="438">
    <mergeCell ref="AP49:AP50"/>
    <mergeCell ref="AQ49:AQ50"/>
    <mergeCell ref="AR49:AR50"/>
    <mergeCell ref="AS49:AS50"/>
    <mergeCell ref="AP61:AP62"/>
    <mergeCell ref="AQ61:AQ62"/>
    <mergeCell ref="AR61:AR62"/>
    <mergeCell ref="AS61:AS62"/>
    <mergeCell ref="AP75:AP76"/>
    <mergeCell ref="AQ75:AQ76"/>
    <mergeCell ref="AR75:AR76"/>
    <mergeCell ref="AS75:AS76"/>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F56:F67"/>
    <mergeCell ref="G57:G66"/>
    <mergeCell ref="H58:H65"/>
    <mergeCell ref="I59:I64"/>
    <mergeCell ref="J60:J63"/>
    <mergeCell ref="V60:AC60"/>
    <mergeCell ref="AD60:AT60"/>
    <mergeCell ref="V56:AC56"/>
    <mergeCell ref="AD56:AT56"/>
    <mergeCell ref="V57:AC57"/>
    <mergeCell ref="AD57:AT57"/>
    <mergeCell ref="V58:AC58"/>
    <mergeCell ref="AD58:AT58"/>
    <mergeCell ref="V59:AC59"/>
    <mergeCell ref="AD59:AT59"/>
    <mergeCell ref="AK61:AK62"/>
    <mergeCell ref="AU61:AU63"/>
    <mergeCell ref="K61:K62"/>
    <mergeCell ref="P59:P64"/>
    <mergeCell ref="Q60:Q63"/>
    <mergeCell ref="AH61:AH62"/>
    <mergeCell ref="AI61:AI62"/>
    <mergeCell ref="AJ61:AJ62"/>
    <mergeCell ref="Z61:Z62"/>
    <mergeCell ref="AA61:AA62"/>
    <mergeCell ref="AB61:AB62"/>
    <mergeCell ref="AC61:AC62"/>
    <mergeCell ref="E167:E180"/>
    <mergeCell ref="F168:F179"/>
    <mergeCell ref="G169:G178"/>
    <mergeCell ref="H170:H177"/>
    <mergeCell ref="I171:I176"/>
    <mergeCell ref="J172:J175"/>
    <mergeCell ref="V172:AC172"/>
    <mergeCell ref="AD172:AT172"/>
    <mergeCell ref="V167:AC167"/>
    <mergeCell ref="AD167:AT167"/>
    <mergeCell ref="V168:AC168"/>
    <mergeCell ref="AD168:AT168"/>
    <mergeCell ref="V169:AC169"/>
    <mergeCell ref="AD169:AT169"/>
    <mergeCell ref="V170:AC170"/>
    <mergeCell ref="AD170:AT170"/>
    <mergeCell ref="V171:AC171"/>
    <mergeCell ref="AD171:AT171"/>
    <mergeCell ref="AK173:AK174"/>
    <mergeCell ref="AP173:AP174"/>
    <mergeCell ref="AQ173:AQ174"/>
    <mergeCell ref="AR173:AR174"/>
    <mergeCell ref="AS173:AS174"/>
    <mergeCell ref="AU173:AU175"/>
    <mergeCell ref="K173:K174"/>
    <mergeCell ref="P171:P176"/>
    <mergeCell ref="Q172:Q175"/>
    <mergeCell ref="AH173:AH174"/>
    <mergeCell ref="AI173:AI174"/>
    <mergeCell ref="AJ173:AJ174"/>
    <mergeCell ref="Z173:Z174"/>
    <mergeCell ref="AA173:AA174"/>
    <mergeCell ref="AB173:AB174"/>
    <mergeCell ref="AC173:AC174"/>
    <mergeCell ref="E153:E166"/>
    <mergeCell ref="F154:F165"/>
    <mergeCell ref="G155:G164"/>
    <mergeCell ref="H156:H163"/>
    <mergeCell ref="I157:I162"/>
    <mergeCell ref="J158:J161"/>
    <mergeCell ref="V158:AC158"/>
    <mergeCell ref="AD158:AT158"/>
    <mergeCell ref="V153:AC153"/>
    <mergeCell ref="AD153:AT153"/>
    <mergeCell ref="V154:AC154"/>
    <mergeCell ref="AD154:AT154"/>
    <mergeCell ref="V155:AC155"/>
    <mergeCell ref="AD155:AT155"/>
    <mergeCell ref="V156:AC156"/>
    <mergeCell ref="AD156:AT156"/>
    <mergeCell ref="V157:AC157"/>
    <mergeCell ref="AD157:AT157"/>
    <mergeCell ref="AK159:AK160"/>
    <mergeCell ref="AP159:AP160"/>
    <mergeCell ref="AQ159:AQ160"/>
    <mergeCell ref="AR159:AR160"/>
    <mergeCell ref="AS159:AS160"/>
    <mergeCell ref="AU159:AU161"/>
    <mergeCell ref="K159:K160"/>
    <mergeCell ref="P157:P162"/>
    <mergeCell ref="Q158:Q161"/>
    <mergeCell ref="AH159:AH160"/>
    <mergeCell ref="AI159:AI160"/>
    <mergeCell ref="AJ159:AJ160"/>
    <mergeCell ref="Z159:Z160"/>
    <mergeCell ref="AA159:AA160"/>
    <mergeCell ref="AB159:AB160"/>
    <mergeCell ref="AC159:AC160"/>
    <mergeCell ref="E139:E152"/>
    <mergeCell ref="F140:F151"/>
    <mergeCell ref="G141:G150"/>
    <mergeCell ref="H142:H149"/>
    <mergeCell ref="I143:I148"/>
    <mergeCell ref="J144:J147"/>
    <mergeCell ref="V144:AC144"/>
    <mergeCell ref="AD144:AT144"/>
    <mergeCell ref="V139:AC139"/>
    <mergeCell ref="AD139:AT139"/>
    <mergeCell ref="V140:AC140"/>
    <mergeCell ref="AD140:AT140"/>
    <mergeCell ref="V141:AC141"/>
    <mergeCell ref="AD141:AT141"/>
    <mergeCell ref="V142:AC142"/>
    <mergeCell ref="AD142:AT142"/>
    <mergeCell ref="V143:AC143"/>
    <mergeCell ref="AD143:AT143"/>
    <mergeCell ref="AK145:AK146"/>
    <mergeCell ref="AP145:AP146"/>
    <mergeCell ref="AQ145:AQ146"/>
    <mergeCell ref="AR145:AR146"/>
    <mergeCell ref="AS145:AS146"/>
    <mergeCell ref="AU145:AU147"/>
    <mergeCell ref="K145:K146"/>
    <mergeCell ref="P143:P148"/>
    <mergeCell ref="Q144:Q147"/>
    <mergeCell ref="AH145:AH146"/>
    <mergeCell ref="AI145:AI146"/>
    <mergeCell ref="AJ145:AJ146"/>
    <mergeCell ref="Z145:Z146"/>
    <mergeCell ref="AA145:AA146"/>
    <mergeCell ref="AB145:AB146"/>
    <mergeCell ref="AC145:AC146"/>
    <mergeCell ref="E125:E138"/>
    <mergeCell ref="F126:F137"/>
    <mergeCell ref="G127:G136"/>
    <mergeCell ref="H128:H135"/>
    <mergeCell ref="I129:I134"/>
    <mergeCell ref="J130:J133"/>
    <mergeCell ref="V130:AC130"/>
    <mergeCell ref="AD130:AT130"/>
    <mergeCell ref="V125:AC125"/>
    <mergeCell ref="AD125:AT125"/>
    <mergeCell ref="V126:AC126"/>
    <mergeCell ref="AD126:AT126"/>
    <mergeCell ref="V127:AC127"/>
    <mergeCell ref="AD127:AT127"/>
    <mergeCell ref="V128:AC128"/>
    <mergeCell ref="AD128:AT128"/>
    <mergeCell ref="V129:AC129"/>
    <mergeCell ref="AD129:AT129"/>
    <mergeCell ref="AK131:AK132"/>
    <mergeCell ref="AP131:AP132"/>
    <mergeCell ref="AQ131:AQ132"/>
    <mergeCell ref="AR131:AR132"/>
    <mergeCell ref="AS131:AS132"/>
    <mergeCell ref="AU131:AU133"/>
    <mergeCell ref="K131:K132"/>
    <mergeCell ref="P129:P134"/>
    <mergeCell ref="Q130:Q133"/>
    <mergeCell ref="AH131:AH132"/>
    <mergeCell ref="AI131:AI132"/>
    <mergeCell ref="AJ131:AJ132"/>
    <mergeCell ref="Z131:Z132"/>
    <mergeCell ref="AA131:AA132"/>
    <mergeCell ref="AB131:AB132"/>
    <mergeCell ref="AC131:AC132"/>
    <mergeCell ref="E111:E124"/>
    <mergeCell ref="F112:F123"/>
    <mergeCell ref="G113:G122"/>
    <mergeCell ref="H114:H121"/>
    <mergeCell ref="I115:I120"/>
    <mergeCell ref="J116:J119"/>
    <mergeCell ref="V116:AC116"/>
    <mergeCell ref="AD116:AT116"/>
    <mergeCell ref="V111:AC111"/>
    <mergeCell ref="AD111:AT111"/>
    <mergeCell ref="V112:AC112"/>
    <mergeCell ref="AD112:AT112"/>
    <mergeCell ref="V113:AC113"/>
    <mergeCell ref="AD113:AT113"/>
    <mergeCell ref="V114:AC114"/>
    <mergeCell ref="AD114:AT114"/>
    <mergeCell ref="V115:AC115"/>
    <mergeCell ref="AD115:AT115"/>
    <mergeCell ref="AK117:AK118"/>
    <mergeCell ref="AP117:AP118"/>
    <mergeCell ref="AQ117:AQ118"/>
    <mergeCell ref="AR117:AR118"/>
    <mergeCell ref="AS117:AS118"/>
    <mergeCell ref="AU117:AU119"/>
    <mergeCell ref="K117:K118"/>
    <mergeCell ref="P115:P120"/>
    <mergeCell ref="Q116:Q119"/>
    <mergeCell ref="AH117:AH118"/>
    <mergeCell ref="AI117:AI118"/>
    <mergeCell ref="AJ117:AJ118"/>
    <mergeCell ref="Z117:Z118"/>
    <mergeCell ref="AA117:AA118"/>
    <mergeCell ref="AB117:AB118"/>
    <mergeCell ref="AC117:AC118"/>
    <mergeCell ref="E97:E110"/>
    <mergeCell ref="F98:F109"/>
    <mergeCell ref="G99:G108"/>
    <mergeCell ref="H100:H107"/>
    <mergeCell ref="I101:I106"/>
    <mergeCell ref="J102:J105"/>
    <mergeCell ref="V102:AC102"/>
    <mergeCell ref="AD102:AT102"/>
    <mergeCell ref="V97:AC97"/>
    <mergeCell ref="AD97:AT97"/>
    <mergeCell ref="V98:AC98"/>
    <mergeCell ref="AD98:AT98"/>
    <mergeCell ref="V99:AC99"/>
    <mergeCell ref="AD99:AT99"/>
    <mergeCell ref="V100:AC100"/>
    <mergeCell ref="AD100:AT100"/>
    <mergeCell ref="V101:AC101"/>
    <mergeCell ref="AD101:AT101"/>
    <mergeCell ref="AK103:AK104"/>
    <mergeCell ref="AP103:AP104"/>
    <mergeCell ref="AQ103:AQ104"/>
    <mergeCell ref="AR103:AR104"/>
    <mergeCell ref="AS103:AS104"/>
    <mergeCell ref="AU103:AU105"/>
    <mergeCell ref="K103:K104"/>
    <mergeCell ref="P101:P106"/>
    <mergeCell ref="Q102:Q105"/>
    <mergeCell ref="AH103:AH104"/>
    <mergeCell ref="AI103:AI104"/>
    <mergeCell ref="AJ103:AJ104"/>
    <mergeCell ref="Z103:Z104"/>
    <mergeCell ref="AA103:AA104"/>
    <mergeCell ref="AB103:AB104"/>
    <mergeCell ref="AC103:AC104"/>
    <mergeCell ref="E83:E96"/>
    <mergeCell ref="F84:F95"/>
    <mergeCell ref="G85:G94"/>
    <mergeCell ref="H86:H93"/>
    <mergeCell ref="I87:I92"/>
    <mergeCell ref="J88:J91"/>
    <mergeCell ref="V88:AC88"/>
    <mergeCell ref="AD88:AT88"/>
    <mergeCell ref="V83:AC83"/>
    <mergeCell ref="AD83:AT83"/>
    <mergeCell ref="V84:AC84"/>
    <mergeCell ref="AD84:AT84"/>
    <mergeCell ref="V85:AC85"/>
    <mergeCell ref="AD85:AT85"/>
    <mergeCell ref="V86:AC86"/>
    <mergeCell ref="AD86:AT86"/>
    <mergeCell ref="V87:AC87"/>
    <mergeCell ref="AD87:AT87"/>
    <mergeCell ref="AK89:AK90"/>
    <mergeCell ref="AP89:AP90"/>
    <mergeCell ref="AQ89:AQ90"/>
    <mergeCell ref="AR89:AR90"/>
    <mergeCell ref="AS89:AS90"/>
    <mergeCell ref="AU89:AU91"/>
    <mergeCell ref="K89:K90"/>
    <mergeCell ref="P87:P92"/>
    <mergeCell ref="Q88:Q91"/>
    <mergeCell ref="AH89:AH90"/>
    <mergeCell ref="AI89:AI90"/>
    <mergeCell ref="AJ89:AJ90"/>
    <mergeCell ref="Z89:Z90"/>
    <mergeCell ref="AA89:AA90"/>
    <mergeCell ref="AB89:AB90"/>
    <mergeCell ref="AC89:AC90"/>
    <mergeCell ref="E69:E82"/>
    <mergeCell ref="F70:F81"/>
    <mergeCell ref="G71:G80"/>
    <mergeCell ref="H72:H79"/>
    <mergeCell ref="I73:I78"/>
    <mergeCell ref="J74:J77"/>
    <mergeCell ref="V74:AC74"/>
    <mergeCell ref="AD74:AT74"/>
    <mergeCell ref="V69:AC69"/>
    <mergeCell ref="AD69:AT69"/>
    <mergeCell ref="V70:AC70"/>
    <mergeCell ref="AD70:AT70"/>
    <mergeCell ref="V71:AC71"/>
    <mergeCell ref="AD71:AT71"/>
    <mergeCell ref="V72:AC72"/>
    <mergeCell ref="AD72:AT72"/>
    <mergeCell ref="V73:AC73"/>
    <mergeCell ref="AD73:AT73"/>
    <mergeCell ref="AK75:AK76"/>
    <mergeCell ref="AU75:AU77"/>
    <mergeCell ref="K75:K76"/>
    <mergeCell ref="P73:P78"/>
    <mergeCell ref="Q74:Q77"/>
    <mergeCell ref="AH75:AH76"/>
    <mergeCell ref="AI75:AI76"/>
    <mergeCell ref="AJ75:AJ76"/>
    <mergeCell ref="Z75:Z76"/>
    <mergeCell ref="AA75:AA76"/>
    <mergeCell ref="AB75:AB76"/>
    <mergeCell ref="AC75:AC76"/>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186:AU186"/>
    <mergeCell ref="T187:AU187"/>
    <mergeCell ref="T188:AU18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183:AU183"/>
    <mergeCell ref="W40:W41"/>
    <mergeCell ref="T184:AU184"/>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s>
  <dataValidations count="8">
    <dataValidation allowBlank="1" sqref="S131247:AU131253 S196783:AU196789 S262319:AU262325 S327855:AU327861 S393391:AU393397 S458927:AU458933 S524463:AU524469 S589999:AU590005 S655535:AU655541 S721071:AU721077 S786607:AU786613 S852143:AU852149 S917679:AU917685 S983215:AU983221 S65711:AU65717"/>
    <dataValidation type="list" allowBlank="1" showInputMessage="1" errorTitle="Ошибка" error="Выберите значение из списка" prompt="Выберите значение из списка" sqref="V983212:AT983212 V65708:AT65708 V131244:AT131244 V196780:AT196780 V262316:AT262316 V327852:AT327852 V393388:AT393388 V458924:AT458924 V524460:AT524460 V589996:AT589996 V655532:AT655532 V721068:AT721068 V786604:AT786604 V852140:AT852140 V917676:AT917676">
      <formula1>kind_of_cons</formula1>
    </dataValidation>
    <dataValidation allowBlank="1" promptTitle="checkPeriodRange" sqref="Y65710 Y131246 Y196782 Y262318 Y327854 Y393390 Y458926 Y524462 Y589998 Y655534 Y721070 Y786606 Y852142 Y917678 Y983214 Y9 AG65710 AG131246 AG196782 AG262318 AG327854 AG393390 AG458926 AG524462 AG589998 AG655534 AG721070 AG786606 AG852142 AG917678 AG983214 AG9 Y50 AG18 AG50 Y76 AG76 Y90 AG90 Y104 AG104 Y118 AG118 Y132 AG132 Y146 AG146 Y160 AG160 Y174 AG174 Y62 AG62 AO9 AO50 AO62 AO76 AO90 AO104 AO118 AO132 AO146 AO160 AO174"/>
    <dataValidation type="list" allowBlank="1" showInputMessage="1" showErrorMessage="1" errorTitle="Ошибка" error="Выберите значение из списка" sqref="V983211:W983211 V65707:W65707 V131243:W131243 V196779:W196779 V262315:W262315 V327851:W327851 V393387:W393387 V458923:W458923 V524459:W524459 V589995:W589995 V655531:W655531 V721067:W721067 V786603:W786603 V852139:W852139 V917675:W917675 AD983211:AE983211 AD65707:AE65707 AD131243:AE131243 AD196779:AE196779 AD262315:AE262315 AD327851:AE327851 AD393387:AE393387 AD458923:AE458923 AD524459:AE524459 AD589995:AE589995 AD655531:AE655531 AD721067:AE721067 AD786603:AE786603 AD852139:AE852139 AD917675:AE917675">
      <formula1>kind_of_scheme_in</formula1>
    </dataValidation>
    <dataValidation type="textLength" operator="lessThanOrEqual" allowBlank="1" showInputMessage="1" showErrorMessage="1" errorTitle="Ошибка" error="Допускается ввод не более 900 символов!" sqref="AU65703:AU65710 AU131239:AU131246 AU196775:AU196782 AU262311:AU262318 AU327847:AU327854 AU393383:AU393390 AU458919:AU458926 AU524455:AU524462 AU589991:AU589998 AU655527:AU655534 AU721063:AU721070 AU786599:AU786606 AU852135:AU852142 AU917671:AU917678 AU983207:AU983214">
      <formula1>900</formula1>
    </dataValidation>
    <dataValidation type="list" allowBlank="1" showInputMessage="1" showErrorMessage="1" errorTitle="Ошибка" error="Выберите значение из списка" sqref="T65709 T131245 T196781 T262317 T327853 T393389 T458925 T524461 T589997 T655533 T721069 T786605 T852141 T917677 T98321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9 Z131245 Z196781 Z262317 Z327853 Z393389 Z458925 Z524461 Z589997 Z655533 Z721069 Z786605 Z852141 Z917677 Z983213 AB65709 AB131245 AB196781 AB262317 AB327853 AB393389 AB458925 AB524461 AB589997 AB655533 AB721069 AB786605 AB852141 AB917677 AB983213 Z8 AH65709 AH131245 AH196781 AH262317 AH327853 AH393389 AH458925 AH524461 AH589997 AH655533 AH721069 AH786605 AH852141 AH917677 AH983213 AJ65709 AJ131245 AJ196781 AJ262317 AJ327853 AJ393389 AJ458925 AJ524461 AJ589997 AJ655533 AJ721069 AJ786605 AJ852141 AJ917677 AJ983213 AJ49 AH49 AH8 AJ8 AB8 AH17 AJ17 Z49 AB49 Z75 AB75 AH75 AJ75 Z89 AB89 AH89 AJ89 Z103 AB103 AH103 AJ103 Z117 AB117 AH117 AJ117 Z131 AB131 AH131 AJ131 Z145 AB145 AH145 AJ145 Z159 AB159 AH159 AJ159 Z173 AB173 AH173 AJ173 Z61 AB61 AH61 AJ61 AP8 AR8 AP49 AR49 AP61 AR61 AP75 AR75 AP89 AR89 AP103 AR103 AP117 AR117 AP131 AR131 AP145 AR145 AP159 AR159 AP173 AR173"/>
    <dataValidation allowBlank="1" showInputMessage="1" showErrorMessage="1" prompt="Для выбора выполните двойной щелчок левой клавиши мыши по соответствующей ячейке." sqref="AA65709 AA131245 AA196781 AA262317 AA327853 AA393389 AA458925 AA524461 AA589997 AA655533 AA721069 AA786605 AA852141 AA917677 AA983213 AC131245 AC458925 AC196781 AC262317 AC327853 AC393389 AC524461 AC589997 AC655533 AC721069 AC786605 AC852141 AC917677 AC983213 AC65709 AI65709 AI131245 AI196781 AI262317 AI327853 AI393389 AI458925 AI524461 AI589997 AI655533 AI721069 AI786605 AI852141 AI917677 AI983213 AK327853:AS327853 AK393389:AS393389 AK49 AQ49 AS49 AK524461:AS524461 AK8 AQ8 AS8 AK589997:AS589997 AK655533:AS655533 AK17 AK721069:AS721069 AK786605:AS786605 AK852141:AS852141 AK917677:AS917677 AK983213:AS983213 AK65709:AS65709 AK131245:AS131245 AI49 AK458925:AS458925 AI8 AC8 AA8 AI17 AK196781:AS196781 AA49 AC49 AK262317:AS262317 AA75 AC75 AI75 AK75 AQ75 AS75 AA89 AC89 AI89 AK89 AQ89 AS89 AA103 AC103 AI103 AK103 AQ103 AS103 AA117 AC117 AI117 AK117 AQ117 AS117 AA131 AC131 AI131 AK131 AQ131 AS131 AA145 AC145 AI145 AK145 AQ145 AS145 AA159 AC159 AI159 AK159 AQ159 AS159 AA173 AC173 AI173 AK173 AQ173 AS173 AA61 AC61 AI61 AK61 AQ61 AS6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120"/>
  <sheetViews>
    <sheetView showGridLines="0" topLeftCell="P25" zoomScale="90" workbookViewId="0">
      <selection activeCell="AD43" sqref="AD43:AT43"/>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81" customWidth="1"/>
    <col min="17" max="18" width="3.7109375" style="3147" customWidth="1"/>
    <col min="19" max="19" width="12.7109375" style="3148" customWidth="1"/>
    <col min="20" max="20" width="32" style="2112" customWidth="1"/>
    <col min="21" max="21" width="0.140625" style="2112" customWidth="1"/>
    <col min="22" max="22" width="24.7109375" style="2112" hidden="1" customWidth="1"/>
    <col min="23" max="23" width="0.140625" style="2112" hidden="1" customWidth="1"/>
    <col min="24" max="25" width="24.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24.7109375" style="2112" customWidth="1"/>
    <col min="31" max="31" width="0.140625" style="2112" customWidth="1"/>
    <col min="32" max="33" width="24.7109375" style="2112" customWidth="1"/>
    <col min="34" max="34" width="11.7109375" style="2112" customWidth="1"/>
    <col min="35" max="35" width="3.7109375" style="2112" customWidth="1"/>
    <col min="36" max="36" width="11.7109375" style="2112" customWidth="1"/>
    <col min="37" max="37" width="8.5703125" style="2112" customWidth="1"/>
    <col min="45" max="45" width="10.5703125" hidden="1"/>
    <col min="46" max="46" width="4.7109375" style="2112" customWidth="1"/>
    <col min="47" max="47" width="115.7109375" style="2112" customWidth="1"/>
    <col min="48" max="49" width="10.5703125" style="1819"/>
    <col min="50" max="50" width="11.140625" style="1819" customWidth="1"/>
    <col min="51" max="52" width="10.5703125" style="1819"/>
  </cols>
  <sheetData>
    <row r="1" spans="1:52" ht="14.25" hidden="1" customHeight="1">
      <c r="Y1" s="253"/>
      <c r="Z1" s="253"/>
      <c r="AG1" s="253"/>
      <c r="AH1" s="253"/>
      <c r="AL1" s="2138"/>
      <c r="AM1" s="2138"/>
      <c r="AN1" s="2138"/>
      <c r="AO1" s="2138"/>
      <c r="AP1" s="2138"/>
      <c r="AQ1" s="2138"/>
      <c r="AR1" s="2138"/>
      <c r="AS1" s="2138"/>
    </row>
    <row r="2" spans="1:52" ht="21" hidden="1" customHeight="1">
      <c r="A2" s="1278"/>
      <c r="B2" s="1278"/>
      <c r="C2" s="1278"/>
      <c r="D2" s="1278"/>
      <c r="E2" s="5314">
        <v>1</v>
      </c>
      <c r="F2" s="1278"/>
      <c r="G2" s="1278"/>
      <c r="H2" s="1278"/>
      <c r="I2" s="1278"/>
      <c r="J2" s="1278"/>
      <c r="K2" s="1278"/>
      <c r="L2" s="1279"/>
      <c r="M2" s="1280"/>
      <c r="N2" s="1280"/>
      <c r="O2" s="1280"/>
      <c r="P2" s="285"/>
      <c r="Q2" s="284"/>
      <c r="R2" s="279"/>
      <c r="S2" s="1252"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0"/>
      <c r="AM2" s="5301"/>
      <c r="AN2" s="5301"/>
      <c r="AO2" s="5301"/>
      <c r="AP2" s="5301"/>
      <c r="AQ2" s="5301"/>
      <c r="AR2" s="5301"/>
      <c r="AS2" s="5302"/>
      <c r="AT2" s="5302"/>
      <c r="AU2" s="1176" t="s">
        <v>515</v>
      </c>
      <c r="AW2" s="425"/>
      <c r="AX2" s="425" t="str">
        <f t="shared" ref="AX2:AX15" si="0">IF(T2="","",T2)</f>
        <v>Наименование тарифа</v>
      </c>
      <c r="AY2" s="425"/>
      <c r="AZ2" s="425"/>
    </row>
    <row r="3" spans="1:52" ht="21" hidden="1" customHeight="1">
      <c r="A3" s="1278"/>
      <c r="B3" s="1278"/>
      <c r="C3" s="1278"/>
      <c r="D3" s="1278"/>
      <c r="E3" s="5315"/>
      <c r="F3" s="5314">
        <v>1</v>
      </c>
      <c r="G3" s="1278"/>
      <c r="H3" s="1278"/>
      <c r="I3" s="1278"/>
      <c r="J3" s="1278"/>
      <c r="K3" s="1278"/>
      <c r="L3" s="1279"/>
      <c r="M3" s="1280"/>
      <c r="N3" s="1280"/>
      <c r="O3" s="1280"/>
      <c r="P3" s="1248"/>
      <c r="Q3" s="276"/>
      <c r="R3" s="277"/>
      <c r="S3" s="1252"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0"/>
      <c r="AM3" s="5301"/>
      <c r="AN3" s="5301"/>
      <c r="AO3" s="5301"/>
      <c r="AP3" s="5301"/>
      <c r="AQ3" s="5301"/>
      <c r="AR3" s="5301"/>
      <c r="AS3" s="5302"/>
      <c r="AT3" s="5302"/>
      <c r="AU3" s="1176" t="s">
        <v>517</v>
      </c>
      <c r="AW3" s="425"/>
      <c r="AX3" s="425" t="str">
        <f t="shared" si="0"/>
        <v>Территория действия тарифа</v>
      </c>
      <c r="AY3" s="425"/>
      <c r="AZ3" s="425"/>
    </row>
    <row r="4" spans="1:52" ht="23.25" hidden="1" customHeight="1">
      <c r="A4" s="1278"/>
      <c r="B4" s="1278"/>
      <c r="C4" s="1278"/>
      <c r="D4" s="1278"/>
      <c r="E4" s="5315"/>
      <c r="F4" s="5315"/>
      <c r="G4" s="5314">
        <v>1</v>
      </c>
      <c r="H4" s="1278"/>
      <c r="I4" s="1278"/>
      <c r="J4" s="1278"/>
      <c r="K4" s="1278"/>
      <c r="L4" s="1279"/>
      <c r="M4" s="1280"/>
      <c r="N4" s="1280"/>
      <c r="O4" s="1280"/>
      <c r="P4" s="278"/>
      <c r="Q4" s="276"/>
      <c r="R4" s="277"/>
      <c r="S4" s="1252"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0"/>
      <c r="AM4" s="5301"/>
      <c r="AN4" s="5301"/>
      <c r="AO4" s="5301"/>
      <c r="AP4" s="5301"/>
      <c r="AQ4" s="5301"/>
      <c r="AR4" s="5301"/>
      <c r="AS4" s="5302"/>
      <c r="AT4" s="5302"/>
      <c r="AU4" s="1176" t="s">
        <v>519</v>
      </c>
      <c r="AW4" s="425"/>
      <c r="AX4" s="425" t="str">
        <f t="shared" si="0"/>
        <v xml:space="preserve">Наименование системы теплоснабжения </v>
      </c>
      <c r="AY4" s="425"/>
      <c r="AZ4" s="425"/>
    </row>
    <row r="5" spans="1:52" ht="21" hidden="1" customHeight="1">
      <c r="A5" s="1278"/>
      <c r="B5" s="1278"/>
      <c r="C5" s="1278"/>
      <c r="D5" s="1278"/>
      <c r="E5" s="5315"/>
      <c r="F5" s="5315"/>
      <c r="G5" s="5315"/>
      <c r="H5" s="5314">
        <v>1</v>
      </c>
      <c r="I5" s="1278"/>
      <c r="J5" s="1278"/>
      <c r="K5" s="1278"/>
      <c r="L5" s="1279"/>
      <c r="M5" s="1280"/>
      <c r="N5" s="1280"/>
      <c r="O5" s="1280"/>
      <c r="P5" s="278"/>
      <c r="Q5" s="276"/>
      <c r="R5" s="277"/>
      <c r="S5" s="1252"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0"/>
      <c r="AM5" s="5301"/>
      <c r="AN5" s="5301"/>
      <c r="AO5" s="5301"/>
      <c r="AP5" s="5301"/>
      <c r="AQ5" s="5301"/>
      <c r="AR5" s="5301"/>
      <c r="AS5" s="5302"/>
      <c r="AT5" s="5302"/>
      <c r="AU5" s="1176" t="s">
        <v>521</v>
      </c>
      <c r="AW5" s="425"/>
      <c r="AX5" s="425" t="str">
        <f t="shared" si="0"/>
        <v xml:space="preserve">Источник тепловой энергии  </v>
      </c>
      <c r="AY5" s="425"/>
      <c r="AZ5" s="425"/>
    </row>
    <row r="6" spans="1:52" ht="47.25" hidden="1" customHeight="1">
      <c r="A6" s="1278"/>
      <c r="B6" s="1278"/>
      <c r="C6" s="1278"/>
      <c r="D6" s="1278"/>
      <c r="E6" s="5315"/>
      <c r="F6" s="5315"/>
      <c r="G6" s="5315"/>
      <c r="H6" s="5315"/>
      <c r="I6" s="5312" t="e">
        <f>S5&amp;".1"</f>
        <v>#N/A</v>
      </c>
      <c r="J6" s="1278"/>
      <c r="K6" s="1278"/>
      <c r="L6" s="1279" t="s">
        <v>522</v>
      </c>
      <c r="M6" s="461"/>
      <c r="P6" s="5313">
        <v>1</v>
      </c>
      <c r="Q6" s="1247"/>
      <c r="R6" s="280"/>
      <c r="S6" s="1252" t="e">
        <f>$I6</f>
        <v>#N/A</v>
      </c>
      <c r="T6" s="203" t="s">
        <v>523</v>
      </c>
      <c r="U6" s="218"/>
      <c r="V6" s="5303"/>
      <c r="W6" s="5304"/>
      <c r="X6" s="5304"/>
      <c r="Y6" s="5304"/>
      <c r="Z6" s="5304"/>
      <c r="AA6" s="5304"/>
      <c r="AB6" s="5304"/>
      <c r="AC6" s="5305"/>
      <c r="AD6" s="5303"/>
      <c r="AE6" s="5304"/>
      <c r="AF6" s="5304"/>
      <c r="AG6" s="5304"/>
      <c r="AH6" s="5304"/>
      <c r="AI6" s="5304"/>
      <c r="AJ6" s="5304"/>
      <c r="AK6" s="5304"/>
      <c r="AL6" s="5303"/>
      <c r="AM6" s="5304"/>
      <c r="AN6" s="5304"/>
      <c r="AO6" s="5304"/>
      <c r="AP6" s="5304"/>
      <c r="AQ6" s="5304"/>
      <c r="AR6" s="5304"/>
      <c r="AS6" s="5305"/>
      <c r="AT6" s="5305"/>
      <c r="AU6" s="1176" t="s">
        <v>524</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5315"/>
      <c r="F7" s="5315"/>
      <c r="G7" s="5315"/>
      <c r="H7" s="5315"/>
      <c r="I7" s="5335"/>
      <c r="J7" s="5312" t="e">
        <f>I6&amp;".1"</f>
        <v>#N/A</v>
      </c>
      <c r="K7" s="1278"/>
      <c r="L7" s="1279" t="s">
        <v>525</v>
      </c>
      <c r="M7" s="461"/>
      <c r="N7" s="1281"/>
      <c r="P7" s="5313"/>
      <c r="Q7" s="5313">
        <v>1</v>
      </c>
      <c r="R7" s="281"/>
      <c r="S7" s="1252" t="e">
        <f>$J7</f>
        <v>#N/A</v>
      </c>
      <c r="T7" s="204" t="s">
        <v>526</v>
      </c>
      <c r="U7" s="218"/>
      <c r="V7" s="5303"/>
      <c r="W7" s="5304"/>
      <c r="X7" s="5304"/>
      <c r="Y7" s="5304"/>
      <c r="Z7" s="5304"/>
      <c r="AA7" s="5304"/>
      <c r="AB7" s="5304"/>
      <c r="AC7" s="5305"/>
      <c r="AD7" s="5303"/>
      <c r="AE7" s="5304"/>
      <c r="AF7" s="5304"/>
      <c r="AG7" s="5304"/>
      <c r="AH7" s="5304"/>
      <c r="AI7" s="5304"/>
      <c r="AJ7" s="5304"/>
      <c r="AK7" s="5304"/>
      <c r="AL7" s="5303"/>
      <c r="AM7" s="5304"/>
      <c r="AN7" s="5304"/>
      <c r="AO7" s="5304"/>
      <c r="AP7" s="5304"/>
      <c r="AQ7" s="5304"/>
      <c r="AR7" s="5304"/>
      <c r="AS7" s="5305"/>
      <c r="AT7" s="5305"/>
      <c r="AU7" s="1176" t="s">
        <v>527</v>
      </c>
      <c r="AW7" s="425"/>
      <c r="AX7" s="425" t="str">
        <f t="shared" si="0"/>
        <v>Группа потребителей</v>
      </c>
      <c r="AY7" s="425"/>
      <c r="AZ7" s="425"/>
    </row>
    <row r="8" spans="1:52"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52" t="e">
        <f>$K8</f>
        <v>#N/A</v>
      </c>
      <c r="T8" s="1263"/>
      <c r="U8" s="218"/>
      <c r="V8" s="667"/>
      <c r="W8" s="250"/>
      <c r="X8" s="667"/>
      <c r="Y8" s="1175"/>
      <c r="Z8" s="5317"/>
      <c r="AA8" s="5161" t="s">
        <v>62</v>
      </c>
      <c r="AB8" s="5317"/>
      <c r="AC8" s="5161" t="s">
        <v>62</v>
      </c>
      <c r="AD8" s="667"/>
      <c r="AE8" s="250"/>
      <c r="AF8" s="667"/>
      <c r="AG8" s="1175"/>
      <c r="AH8" s="5317"/>
      <c r="AI8" s="5161" t="s">
        <v>62</v>
      </c>
      <c r="AJ8" s="5317"/>
      <c r="AK8" s="5161" t="s">
        <v>62</v>
      </c>
      <c r="AL8" s="2139"/>
      <c r="AM8" s="2140"/>
      <c r="AN8" s="2139"/>
      <c r="AO8" s="2141"/>
      <c r="AP8" s="5317"/>
      <c r="AQ8" s="5161" t="s">
        <v>62</v>
      </c>
      <c r="AR8" s="5317"/>
      <c r="AS8" s="5161" t="s">
        <v>62</v>
      </c>
      <c r="AT8" s="250"/>
      <c r="AU8" s="5309" t="s">
        <v>529</v>
      </c>
      <c r="AV8" s="436" t="e">
        <f ca="1">STRCHECKDATE(V9:AT9)</f>
        <v>#NAME?</v>
      </c>
      <c r="AW8" s="425"/>
      <c r="AX8" s="425" t="str">
        <f t="shared" si="0"/>
        <v/>
      </c>
      <c r="AY8" s="425"/>
      <c r="AZ8" s="425"/>
    </row>
    <row r="9" spans="1:52" ht="0.75" hidden="1" customHeight="1">
      <c r="A9" s="1278"/>
      <c r="B9" s="1278"/>
      <c r="C9" s="1278"/>
      <c r="D9" s="1278"/>
      <c r="E9" s="5315"/>
      <c r="F9" s="5315"/>
      <c r="G9" s="5315"/>
      <c r="H9" s="5315"/>
      <c r="I9" s="5335"/>
      <c r="J9" s="5335"/>
      <c r="K9" s="5312"/>
      <c r="L9" s="1279"/>
      <c r="M9" s="461"/>
      <c r="N9" s="1281"/>
      <c r="O9" s="1281"/>
      <c r="P9" s="5313"/>
      <c r="Q9" s="5313"/>
      <c r="R9" s="281"/>
      <c r="S9" s="1258"/>
      <c r="T9" s="218"/>
      <c r="U9" s="218"/>
      <c r="V9" s="250"/>
      <c r="W9" s="250"/>
      <c r="X9" s="250"/>
      <c r="Y9" s="254" t="str">
        <f>Z8&amp;"-"&amp;AB8</f>
        <v>-</v>
      </c>
      <c r="Z9" s="5318"/>
      <c r="AA9" s="5161"/>
      <c r="AB9" s="5318"/>
      <c r="AC9" s="5161"/>
      <c r="AD9" s="250"/>
      <c r="AE9" s="250"/>
      <c r="AF9" s="250"/>
      <c r="AG9" s="254" t="str">
        <f>AH8&amp;"-"&amp;AJ8</f>
        <v>-</v>
      </c>
      <c r="AH9" s="5318"/>
      <c r="AI9" s="5161"/>
      <c r="AJ9" s="5318"/>
      <c r="AK9" s="5161"/>
      <c r="AL9" s="2140"/>
      <c r="AM9" s="2140"/>
      <c r="AN9" s="2140"/>
      <c r="AO9" s="2142" t="str">
        <f>AP8&amp;"-"&amp;AR8</f>
        <v>-</v>
      </c>
      <c r="AP9" s="5318"/>
      <c r="AQ9" s="5161"/>
      <c r="AR9" s="5318"/>
      <c r="AS9" s="5161"/>
      <c r="AT9" s="250"/>
      <c r="AU9" s="5310"/>
      <c r="AW9" s="425"/>
      <c r="AX9" s="425" t="str">
        <f t="shared" si="0"/>
        <v/>
      </c>
      <c r="AY9" s="425"/>
      <c r="AZ9" s="425"/>
    </row>
    <row r="10" spans="1:52" ht="15" hidden="1" customHeight="1">
      <c r="A10" s="1278"/>
      <c r="B10" s="1278"/>
      <c r="C10" s="1278"/>
      <c r="D10" s="1278"/>
      <c r="E10" s="5315"/>
      <c r="F10" s="5315"/>
      <c r="G10" s="5315"/>
      <c r="H10" s="5315"/>
      <c r="I10" s="5335"/>
      <c r="J10" s="5312"/>
      <c r="K10" s="1278"/>
      <c r="L10" s="1279"/>
      <c r="M10" s="461"/>
      <c r="N10" s="1281"/>
      <c r="P10" s="5313"/>
      <c r="Q10" s="5313"/>
      <c r="R10" s="280"/>
      <c r="S10" s="1197"/>
      <c r="T10" s="206" t="s">
        <v>530</v>
      </c>
      <c r="U10" s="294"/>
      <c r="V10" s="294"/>
      <c r="W10" s="294"/>
      <c r="X10" s="294"/>
      <c r="Y10" s="294"/>
      <c r="Z10" s="294"/>
      <c r="AA10" s="294"/>
      <c r="AB10" s="294"/>
      <c r="AC10" s="294"/>
      <c r="AD10" s="294"/>
      <c r="AE10" s="294"/>
      <c r="AF10" s="294"/>
      <c r="AG10" s="294"/>
      <c r="AH10" s="294"/>
      <c r="AI10" s="294"/>
      <c r="AJ10" s="294"/>
      <c r="AK10" s="294"/>
      <c r="AL10" s="3149"/>
      <c r="AM10" s="3150"/>
      <c r="AN10" s="3151"/>
      <c r="AO10" s="3152"/>
      <c r="AP10" s="3153"/>
      <c r="AQ10" s="3154"/>
      <c r="AR10" s="3155"/>
      <c r="AS10" s="3156"/>
      <c r="AT10" s="249"/>
      <c r="AU10" s="5311"/>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5315"/>
      <c r="F11" s="5315"/>
      <c r="G11" s="5315"/>
      <c r="H11" s="5315"/>
      <c r="I11" s="5312"/>
      <c r="J11" s="1278"/>
      <c r="K11" s="1278"/>
      <c r="L11" s="1279"/>
      <c r="M11" s="461"/>
      <c r="P11" s="5313"/>
      <c r="Q11" s="1247"/>
      <c r="R11" s="280"/>
      <c r="S11" s="1197"/>
      <c r="T11" s="205" t="s">
        <v>531</v>
      </c>
      <c r="U11" s="294"/>
      <c r="V11" s="294"/>
      <c r="W11" s="294"/>
      <c r="X11" s="294"/>
      <c r="Y11" s="294"/>
      <c r="Z11" s="294"/>
      <c r="AA11" s="294"/>
      <c r="AB11" s="294"/>
      <c r="AC11" s="293"/>
      <c r="AD11" s="294"/>
      <c r="AE11" s="294"/>
      <c r="AF11" s="294"/>
      <c r="AG11" s="294"/>
      <c r="AH11" s="294"/>
      <c r="AI11" s="294"/>
      <c r="AJ11" s="294"/>
      <c r="AK11" s="293"/>
      <c r="AL11" s="3157"/>
      <c r="AM11" s="3158"/>
      <c r="AN11" s="3159"/>
      <c r="AO11" s="3160"/>
      <c r="AP11" s="3161"/>
      <c r="AQ11" s="3162"/>
      <c r="AR11" s="3163"/>
      <c r="AS11" s="3164"/>
      <c r="AT11" s="294"/>
      <c r="AU11" s="221"/>
      <c r="AW11" s="425"/>
      <c r="AX11" s="425" t="str">
        <f t="shared" si="0"/>
        <v>Добавить группу потребителей</v>
      </c>
      <c r="AY11" s="425"/>
      <c r="AZ11" s="425"/>
    </row>
    <row r="12" spans="1:52" ht="14.25" hidden="1" customHeight="1">
      <c r="A12" s="1278"/>
      <c r="B12" s="1278"/>
      <c r="C12" s="1278"/>
      <c r="D12" s="1278"/>
      <c r="E12" s="5315"/>
      <c r="F12" s="5315"/>
      <c r="G12" s="5315"/>
      <c r="H12" s="5314"/>
      <c r="I12" s="1278"/>
      <c r="J12" s="1278"/>
      <c r="K12" s="1278"/>
      <c r="L12" s="1279"/>
      <c r="M12" s="1280"/>
      <c r="N12" s="1280"/>
      <c r="O12" s="461"/>
      <c r="P12" s="284"/>
      <c r="Q12" s="303"/>
      <c r="R12" s="279"/>
      <c r="S12" s="1197"/>
      <c r="T12" s="291" t="s">
        <v>532</v>
      </c>
      <c r="U12" s="294"/>
      <c r="V12" s="294"/>
      <c r="W12" s="294"/>
      <c r="X12" s="294"/>
      <c r="Y12" s="294"/>
      <c r="Z12" s="294"/>
      <c r="AA12" s="294"/>
      <c r="AB12" s="294"/>
      <c r="AC12" s="293"/>
      <c r="AD12" s="294"/>
      <c r="AE12" s="294"/>
      <c r="AF12" s="294"/>
      <c r="AG12" s="294"/>
      <c r="AH12" s="294"/>
      <c r="AI12" s="294"/>
      <c r="AJ12" s="294"/>
      <c r="AK12" s="293"/>
      <c r="AL12" s="3165"/>
      <c r="AM12" s="3166"/>
      <c r="AN12" s="3167"/>
      <c r="AO12" s="3168"/>
      <c r="AP12" s="3169"/>
      <c r="AQ12" s="3170"/>
      <c r="AR12" s="3171"/>
      <c r="AS12" s="3172"/>
      <c r="AT12" s="294"/>
      <c r="AU12" s="221"/>
      <c r="AW12" s="425"/>
      <c r="AX12" s="425" t="str">
        <f t="shared" si="0"/>
        <v>Добавить схему подключения</v>
      </c>
      <c r="AY12" s="425"/>
      <c r="AZ12" s="425"/>
    </row>
    <row r="13" spans="1:52" s="2167" customFormat="1" ht="0.7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168"/>
      <c r="AM13" s="2168"/>
      <c r="AN13" s="2168"/>
      <c r="AO13" s="2168"/>
      <c r="AP13" s="2168"/>
      <c r="AQ13" s="2168"/>
      <c r="AR13" s="2168"/>
      <c r="AS13" s="2168"/>
      <c r="AT13" s="1237"/>
      <c r="AU13" s="1237"/>
      <c r="AW13" s="705"/>
      <c r="AX13" s="705" t="str">
        <f t="shared" si="0"/>
        <v>Добавить источник для дифференциации</v>
      </c>
      <c r="AY13" s="705"/>
      <c r="AZ13" s="705"/>
    </row>
    <row r="14" spans="1:52" s="2167" customFormat="1" ht="0.7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169"/>
      <c r="AM14" s="2169"/>
      <c r="AN14" s="2169"/>
      <c r="AO14" s="2169"/>
      <c r="AP14" s="2169"/>
      <c r="AQ14" s="2169"/>
      <c r="AR14" s="2169"/>
      <c r="AS14" s="2169"/>
      <c r="AT14" s="1241"/>
      <c r="AU14" s="1241"/>
      <c r="AW14" s="705"/>
      <c r="AX14" s="705" t="str">
        <f t="shared" si="0"/>
        <v>Добавить централизованную систему для дифференциации</v>
      </c>
      <c r="AY14" s="705"/>
      <c r="AZ14" s="705"/>
    </row>
    <row r="15" spans="1:52" s="2167" customFormat="1" ht="0.7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169"/>
      <c r="AM15" s="2169"/>
      <c r="AN15" s="2169"/>
      <c r="AO15" s="2169"/>
      <c r="AP15" s="2169"/>
      <c r="AQ15" s="2169"/>
      <c r="AR15" s="2169"/>
      <c r="AS15" s="2169"/>
      <c r="AT15" s="1241"/>
      <c r="AU15" s="1241"/>
      <c r="AW15" s="705"/>
      <c r="AX15" s="705" t="str">
        <f t="shared" si="0"/>
        <v>Добавить территорию для дифференциации</v>
      </c>
      <c r="AY15" s="705"/>
      <c r="AZ15" s="705"/>
    </row>
    <row r="16" spans="1:52" ht="14.25" hidden="1" customHeight="1">
      <c r="AC16" s="253"/>
      <c r="AK16" s="253"/>
      <c r="AL16" s="2138"/>
      <c r="AM16" s="2138"/>
      <c r="AN16" s="2138"/>
      <c r="AO16" s="2138"/>
      <c r="AP16" s="2138"/>
      <c r="AQ16" s="2138"/>
      <c r="AR16" s="2138"/>
      <c r="AS16" s="2138"/>
    </row>
    <row r="17" spans="1:52" ht="14.25" hidden="1" customHeight="1">
      <c r="AD17" s="1275"/>
      <c r="AE17" s="1275"/>
      <c r="AF17" s="1275"/>
      <c r="AG17" s="1276"/>
      <c r="AH17" s="5319"/>
      <c r="AI17" s="5320" t="s">
        <v>62</v>
      </c>
      <c r="AJ17" s="5319"/>
      <c r="AK17" s="5320" t="s">
        <v>62</v>
      </c>
      <c r="AL17" s="2138"/>
      <c r="AM17" s="2138"/>
      <c r="AN17" s="2138"/>
      <c r="AO17" s="2138"/>
      <c r="AP17" s="2138"/>
      <c r="AQ17" s="2138"/>
      <c r="AR17" s="2138"/>
      <c r="AS17" s="2138"/>
    </row>
    <row r="18" spans="1:52" ht="14.25" hidden="1" customHeight="1">
      <c r="AD18" s="1275"/>
      <c r="AE18" s="1275"/>
      <c r="AF18" s="1275"/>
      <c r="AG18" s="254" t="str">
        <f>AH17&amp;"-"&amp;AJ17</f>
        <v>-</v>
      </c>
      <c r="AH18" s="5320"/>
      <c r="AI18" s="5320"/>
      <c r="AJ18" s="5320"/>
      <c r="AK18" s="5320"/>
      <c r="AL18" s="2138"/>
      <c r="AM18" s="2138"/>
      <c r="AN18" s="2138"/>
      <c r="AO18" s="2138"/>
      <c r="AP18" s="2138"/>
      <c r="AQ18" s="2138"/>
      <c r="AR18" s="2138"/>
      <c r="AS18" s="2138"/>
    </row>
    <row r="19" spans="1:52" ht="14.25" hidden="1" customHeight="1">
      <c r="AK19" s="253"/>
      <c r="AL19" s="2138"/>
      <c r="AM19" s="2138"/>
      <c r="AN19" s="2138"/>
      <c r="AO19" s="2138"/>
      <c r="AP19" s="2138"/>
      <c r="AQ19" s="2138"/>
      <c r="AR19" s="2138"/>
      <c r="AS19" s="2138"/>
    </row>
    <row r="20" spans="1:52" s="1832" customFormat="1" ht="22.5" hidden="1" customHeight="1">
      <c r="L20" s="1245"/>
      <c r="M20" s="1277"/>
      <c r="N20" s="1277"/>
      <c r="O20" s="1282" t="s">
        <v>533</v>
      </c>
      <c r="P20" s="1277"/>
      <c r="Q20" s="1286"/>
      <c r="R20" s="1286"/>
      <c r="S20" s="647"/>
      <c r="Z20" s="1282"/>
      <c r="AB20" s="1282"/>
      <c r="AC20" s="1281"/>
      <c r="AH20" s="1282"/>
      <c r="AJ20" s="1282"/>
      <c r="AK20" s="1281"/>
      <c r="AL20" s="2174"/>
      <c r="AM20" s="2174"/>
      <c r="AN20" s="2174"/>
      <c r="AO20" s="2174"/>
      <c r="AP20" s="2175"/>
      <c r="AQ20" s="2174"/>
      <c r="AR20" s="2175"/>
      <c r="AS20" s="2174"/>
      <c r="AV20" s="436"/>
      <c r="AW20" s="436"/>
      <c r="AX20" s="436"/>
      <c r="AY20" s="436"/>
      <c r="AZ20" s="436"/>
    </row>
    <row r="21" spans="1:52" s="1832" customFormat="1" ht="14.25" hidden="1" customHeight="1">
      <c r="L21" s="1245"/>
      <c r="M21" s="1277"/>
      <c r="N21" s="1277"/>
      <c r="O21" s="1277"/>
      <c r="P21" s="1277"/>
      <c r="Q21" s="1286"/>
      <c r="R21" s="1286"/>
      <c r="S21" s="647"/>
      <c r="AC21" s="1281"/>
      <c r="AK21" s="1281"/>
      <c r="AL21" s="2174"/>
      <c r="AM21" s="2174"/>
      <c r="AN21" s="2174"/>
      <c r="AO21" s="2174"/>
      <c r="AP21" s="2174"/>
      <c r="AQ21" s="2174"/>
      <c r="AR21" s="2174"/>
      <c r="AS21" s="2174"/>
      <c r="AV21" s="436"/>
      <c r="AW21" s="436"/>
      <c r="AX21" s="436"/>
      <c r="AY21" s="436"/>
      <c r="AZ21" s="436"/>
    </row>
    <row r="22" spans="1:52" s="1832" customFormat="1" ht="14.2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L22" s="2174"/>
      <c r="AM22" s="2174"/>
      <c r="AN22" s="2174"/>
      <c r="AO22" s="2174"/>
      <c r="AP22" s="2174"/>
      <c r="AQ22" s="2176" t="s">
        <v>536</v>
      </c>
      <c r="AR22" s="2174"/>
      <c r="AS22" s="2176" t="s">
        <v>537</v>
      </c>
      <c r="AV22" s="436"/>
      <c r="AW22" s="436"/>
      <c r="AX22" s="436"/>
      <c r="AY22" s="436"/>
      <c r="AZ22" s="436"/>
    </row>
    <row r="23" spans="1:52" ht="14.25" hidden="1" customHeight="1">
      <c r="O23" s="1279"/>
      <c r="AL23" s="2138"/>
      <c r="AM23" s="2138"/>
      <c r="AN23" s="2138"/>
      <c r="AO23" s="2138"/>
      <c r="AP23" s="2138"/>
      <c r="AQ23" s="2138"/>
      <c r="AR23" s="2138"/>
      <c r="AS23" s="2138"/>
    </row>
    <row r="24" spans="1:52" ht="14.25" hidden="1" customHeight="1">
      <c r="O24" s="1279"/>
      <c r="AL24" s="2138"/>
      <c r="AM24" s="2138"/>
      <c r="AN24" s="2138"/>
      <c r="AO24" s="2138"/>
      <c r="AP24" s="2138"/>
      <c r="AQ24" s="2138"/>
      <c r="AR24" s="2138"/>
      <c r="AS24" s="2138"/>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138"/>
      <c r="AM25" s="2138"/>
      <c r="AN25" s="2138"/>
      <c r="AO25" s="2138"/>
      <c r="AP25" s="2138"/>
      <c r="AQ25" s="2138"/>
      <c r="AR25" s="2138"/>
      <c r="AS25" s="2138"/>
    </row>
    <row r="26" spans="1:52" ht="14.25" customHeight="1">
      <c r="Q26" s="304"/>
      <c r="R26" s="304"/>
      <c r="S26" s="5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298"/>
      <c r="U26" s="5298"/>
      <c r="V26" s="5298"/>
      <c r="W26" s="5298"/>
      <c r="X26" s="5298"/>
      <c r="Y26" s="5298"/>
      <c r="Z26" s="5298"/>
      <c r="AA26" s="5298"/>
      <c r="AB26" s="5298"/>
      <c r="AC26" s="5298"/>
      <c r="AD26" s="5298"/>
      <c r="AE26" s="5298"/>
      <c r="AF26" s="5298"/>
      <c r="AG26" s="5298"/>
      <c r="AH26" s="5298"/>
      <c r="AI26" s="5298"/>
      <c r="AJ26" s="5298"/>
      <c r="AK26" s="1151"/>
      <c r="AL26" s="2177"/>
      <c r="AM26" s="2177"/>
      <c r="AN26" s="2177"/>
      <c r="AO26" s="2177"/>
      <c r="AP26" s="2177"/>
      <c r="AQ26" s="2177"/>
      <c r="AR26" s="2177"/>
      <c r="AS26" s="2177"/>
    </row>
    <row r="27" spans="1:52"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c r="AL27" s="2178"/>
      <c r="AM27" s="2178"/>
      <c r="AN27" s="2178"/>
      <c r="AO27" s="2178"/>
      <c r="AP27" s="2178"/>
      <c r="AQ27" s="2178"/>
      <c r="AR27" s="2178"/>
      <c r="AS27" s="2178"/>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179"/>
      <c r="AM28" s="2179"/>
      <c r="AN28" s="2179"/>
      <c r="AO28" s="2179"/>
      <c r="AP28" s="2179"/>
      <c r="AQ28" s="2179"/>
      <c r="AR28" s="2179"/>
      <c r="AS28" s="2179"/>
      <c r="AT28" s="434"/>
    </row>
    <row r="29" spans="1:52"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5307" t="str">
        <f>IF(TITLE_NAME_OR_PR_CHANGE="",IF(TITLE_NAME_OR_PR="","",TITLE_NAME_OR_PR),TITLE_NAME_OR_PR_CHANGE)</f>
        <v>Комитет по тарифному регулированию Мурманской области</v>
      </c>
      <c r="AM29" s="5307"/>
      <c r="AN29" s="5307"/>
      <c r="AO29" s="5307"/>
      <c r="AP29" s="5307"/>
      <c r="AQ29" s="5307"/>
      <c r="AR29" s="5307"/>
      <c r="AS29" s="2138"/>
      <c r="AT29" s="252"/>
      <c r="AU29" s="199"/>
      <c r="AV29" s="295"/>
      <c r="AW29" s="295"/>
      <c r="AX29" s="295"/>
      <c r="AY29" s="295"/>
      <c r="AZ29" s="295"/>
    </row>
    <row r="30" spans="1:52"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5316">
        <f>IF(TITLE_DATE_PR_CHANGE="",IF(TITLE_DATE_PR="","",TITLE_DATE_PR),TITLE_DATE_PR_CHANGE)</f>
        <v>45646.340555555558</v>
      </c>
      <c r="AM30" s="5316"/>
      <c r="AN30" s="5316"/>
      <c r="AO30" s="5316"/>
      <c r="AP30" s="5316"/>
      <c r="AQ30" s="5316"/>
      <c r="AR30" s="5316"/>
      <c r="AS30" s="2138"/>
      <c r="AT30" s="252"/>
      <c r="AU30" s="199"/>
      <c r="AV30" s="295"/>
      <c r="AW30" s="295"/>
      <c r="AX30" s="295"/>
      <c r="AY30" s="295"/>
      <c r="AZ30" s="295"/>
    </row>
    <row r="31" spans="1:52"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5307" t="str">
        <f>IF(TITLE_NUMBER_PR_CHANGE="",IF(TITLE_NUMBER_PR="","",TITLE_NUMBER_PR),TITLE_NUMBER_PR_CHANGE)</f>
        <v>51/6; 51/7</v>
      </c>
      <c r="AM31" s="5307"/>
      <c r="AN31" s="5307"/>
      <c r="AO31" s="5307"/>
      <c r="AP31" s="5307"/>
      <c r="AQ31" s="5307"/>
      <c r="AR31" s="5307"/>
      <c r="AS31" s="2138"/>
      <c r="AT31" s="252"/>
      <c r="AU31" s="199"/>
      <c r="AV31" s="295"/>
      <c r="AW31" s="295"/>
      <c r="AX31" s="295"/>
      <c r="AY31" s="295"/>
      <c r="AZ31" s="295"/>
    </row>
    <row r="32" spans="1:52"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5307" t="str">
        <f>IF(TITLE_IST_PUB_CHANGE="",IF(TITLE_IST_PUB="","",TITLE_IST_PUB),TITLE_IST_PUB_CHANGE)</f>
        <v>Официальный электронный бюллетень Правительства Мурманской области</v>
      </c>
      <c r="AM32" s="5307"/>
      <c r="AN32" s="5307"/>
      <c r="AO32" s="5307"/>
      <c r="AP32" s="5307"/>
      <c r="AQ32" s="5307"/>
      <c r="AR32" s="5307"/>
      <c r="AS32" s="2138"/>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179"/>
      <c r="AM33" s="2179"/>
      <c r="AN33" s="2179"/>
      <c r="AO33" s="2179"/>
      <c r="AP33" s="2179"/>
      <c r="AQ33" s="2179"/>
      <c r="AR33" s="2179"/>
      <c r="AS33" s="2179"/>
      <c r="AT33" s="434"/>
    </row>
    <row r="34" spans="1:52"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5316">
        <f>IF(TITLE_DATE_PR_CHANGE="",IF(TITLE_DATE_PR="","",TITLE_DATE_PR),TITLE_DATE_PR_CHANGE)</f>
        <v>45646.340555555558</v>
      </c>
      <c r="AM34" s="5316"/>
      <c r="AN34" s="5316"/>
      <c r="AO34" s="5316"/>
      <c r="AP34" s="5316"/>
      <c r="AQ34" s="5316"/>
      <c r="AR34" s="5316"/>
      <c r="AS34" s="2138"/>
      <c r="AT34" s="252"/>
      <c r="AU34" s="199"/>
      <c r="AV34" s="295"/>
      <c r="AW34" s="295"/>
      <c r="AX34" s="295"/>
      <c r="AY34" s="295"/>
      <c r="AZ34" s="295"/>
    </row>
    <row r="35" spans="1:52" s="2180" customFormat="1" ht="18.7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5307" t="str">
        <f>IF(TITLE_NUMBER_PR_CHANGE="",IF(TITLE_NUMBER_PR="","",TITLE_NUMBER_PR),TITLE_NUMBER_PR_CHANGE)</f>
        <v>51/6; 51/7</v>
      </c>
      <c r="AM35" s="5307"/>
      <c r="AN35" s="5307"/>
      <c r="AO35" s="5307"/>
      <c r="AP35" s="5307"/>
      <c r="AQ35" s="5307"/>
      <c r="AR35" s="5307"/>
      <c r="AS35" s="2138"/>
      <c r="AT35" s="252"/>
      <c r="AU35" s="199"/>
      <c r="AV35" s="295"/>
      <c r="AW35" s="295"/>
      <c r="AX35" s="295"/>
      <c r="AY35" s="295"/>
      <c r="AZ35" s="295"/>
    </row>
    <row r="36" spans="1:52" s="218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543</v>
      </c>
      <c r="AD36" s="252"/>
      <c r="AE36" s="252"/>
      <c r="AF36" s="252"/>
      <c r="AG36" s="252"/>
      <c r="AH36" s="252"/>
      <c r="AI36" s="252"/>
      <c r="AJ36" s="252"/>
      <c r="AK36" s="197" t="s">
        <v>543</v>
      </c>
      <c r="AL36" s="2138"/>
      <c r="AM36" s="2138"/>
      <c r="AN36" s="2138"/>
      <c r="AO36" s="2138"/>
      <c r="AP36" s="2138"/>
      <c r="AQ36" s="2138"/>
      <c r="AR36" s="2138"/>
      <c r="AS36" s="2182" t="s">
        <v>543</v>
      </c>
      <c r="AV36" s="295"/>
      <c r="AW36" s="295"/>
      <c r="AX36" s="295"/>
      <c r="AY36" s="295"/>
      <c r="AZ36" s="295"/>
    </row>
    <row r="37" spans="1:52"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c r="AL37" s="5308" t="s">
        <v>99</v>
      </c>
      <c r="AM37" s="5308"/>
      <c r="AN37" s="5308"/>
      <c r="AO37" s="5308"/>
      <c r="AP37" s="5308"/>
      <c r="AQ37" s="5308"/>
      <c r="AR37" s="5308"/>
      <c r="AS37" s="5308"/>
    </row>
    <row r="38" spans="1:52"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t="s">
        <v>417</v>
      </c>
      <c r="AM38" s="5180"/>
      <c r="AN38" s="5180"/>
      <c r="AO38" s="5180"/>
      <c r="AP38" s="5180"/>
      <c r="AQ38" s="5180"/>
      <c r="AR38" s="5180"/>
      <c r="AS38" s="5180"/>
      <c r="AT38" s="5180"/>
      <c r="AU38" s="5180"/>
    </row>
    <row r="39" spans="1:52" ht="14.25" customHeight="1">
      <c r="Q39" s="304"/>
      <c r="R39" s="304"/>
      <c r="S39" s="5322" t="s">
        <v>83</v>
      </c>
      <c r="T39" s="5274" t="s">
        <v>544</v>
      </c>
      <c r="U39" s="219"/>
      <c r="V39" s="5323" t="s">
        <v>545</v>
      </c>
      <c r="W39" s="5324"/>
      <c r="X39" s="5324"/>
      <c r="Y39" s="5324"/>
      <c r="Z39" s="5324"/>
      <c r="AA39" s="5324"/>
      <c r="AB39" s="5325"/>
      <c r="AC39" s="5326" t="s">
        <v>546</v>
      </c>
      <c r="AD39" s="5323" t="s">
        <v>545</v>
      </c>
      <c r="AE39" s="5324"/>
      <c r="AF39" s="5324"/>
      <c r="AG39" s="5324"/>
      <c r="AH39" s="5324"/>
      <c r="AI39" s="5324"/>
      <c r="AJ39" s="5325"/>
      <c r="AK39" s="5326" t="s">
        <v>547</v>
      </c>
      <c r="AL39" s="5323" t="s">
        <v>545</v>
      </c>
      <c r="AM39" s="5324"/>
      <c r="AN39" s="5324"/>
      <c r="AO39" s="5324"/>
      <c r="AP39" s="5324"/>
      <c r="AQ39" s="5324"/>
      <c r="AR39" s="5325"/>
      <c r="AS39" s="5326" t="s">
        <v>546</v>
      </c>
      <c r="AT39" s="5329" t="s">
        <v>548</v>
      </c>
      <c r="AU39" s="5180"/>
    </row>
    <row r="40" spans="1:52" ht="33.75" customHeight="1">
      <c r="Q40" s="304"/>
      <c r="R40" s="304"/>
      <c r="S40" s="5322"/>
      <c r="T40" s="5274"/>
      <c r="U40" s="937"/>
      <c r="V40" s="5244" t="s">
        <v>549</v>
      </c>
      <c r="W40" s="5332" t="s">
        <v>550</v>
      </c>
      <c r="X40" s="5151" t="s">
        <v>551</v>
      </c>
      <c r="Y40" s="5150"/>
      <c r="Z40" s="5151" t="s">
        <v>568</v>
      </c>
      <c r="AA40" s="5156"/>
      <c r="AB40" s="5150"/>
      <c r="AC40" s="5327"/>
      <c r="AD40" s="5244" t="s">
        <v>549</v>
      </c>
      <c r="AE40" s="5332" t="s">
        <v>550</v>
      </c>
      <c r="AF40" s="5151" t="s">
        <v>551</v>
      </c>
      <c r="AG40" s="5150"/>
      <c r="AH40" s="5151" t="s">
        <v>552</v>
      </c>
      <c r="AI40" s="5156"/>
      <c r="AJ40" s="5150"/>
      <c r="AK40" s="5327"/>
      <c r="AL40" s="5244" t="s">
        <v>549</v>
      </c>
      <c r="AM40" s="5332" t="s">
        <v>550</v>
      </c>
      <c r="AN40" s="5151" t="s">
        <v>551</v>
      </c>
      <c r="AO40" s="5150"/>
      <c r="AP40" s="5151" t="s">
        <v>568</v>
      </c>
      <c r="AQ40" s="5156"/>
      <c r="AR40" s="5150"/>
      <c r="AS40" s="5327"/>
      <c r="AT40" s="5330"/>
      <c r="AU40" s="5180"/>
    </row>
    <row r="41" spans="1:52" ht="33.7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Q41" s="304"/>
      <c r="R41" s="304"/>
      <c r="S41" s="5322"/>
      <c r="T41" s="5274"/>
      <c r="U41" s="220"/>
      <c r="V41" s="5293"/>
      <c r="W41" s="5333"/>
      <c r="X41" s="1127" t="s">
        <v>560</v>
      </c>
      <c r="Y41" s="1127" t="s">
        <v>561</v>
      </c>
      <c r="Z41" s="1254" t="s">
        <v>562</v>
      </c>
      <c r="AA41" s="5282" t="s">
        <v>563</v>
      </c>
      <c r="AB41" s="5284"/>
      <c r="AC41" s="5328"/>
      <c r="AD41" s="5293"/>
      <c r="AE41" s="5333"/>
      <c r="AF41" s="1127" t="s">
        <v>560</v>
      </c>
      <c r="AG41" s="1127" t="s">
        <v>561</v>
      </c>
      <c r="AH41" s="1254" t="s">
        <v>562</v>
      </c>
      <c r="AI41" s="5282" t="s">
        <v>563</v>
      </c>
      <c r="AJ41" s="5284"/>
      <c r="AK41" s="5328"/>
      <c r="AL41" s="5293"/>
      <c r="AM41" s="5333"/>
      <c r="AN41" s="2183" t="s">
        <v>560</v>
      </c>
      <c r="AO41" s="2183" t="s">
        <v>561</v>
      </c>
      <c r="AP41" s="2183" t="s">
        <v>562</v>
      </c>
      <c r="AQ41" s="5282" t="s">
        <v>563</v>
      </c>
      <c r="AR41" s="5284"/>
      <c r="AS41" s="5328"/>
      <c r="AT41" s="5331"/>
      <c r="AU41" s="5180"/>
    </row>
    <row r="42" spans="1:52"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251">
        <f ca="1">OFFSET(V42,0,-1)+1</f>
        <v>3</v>
      </c>
      <c r="W42" s="1251"/>
      <c r="X42" s="1251">
        <f ca="1">OFFSET(X42,0,-1)+1</f>
        <v>1</v>
      </c>
      <c r="Y42" s="1251">
        <f ca="1">OFFSET(Y42,0,-1)+1</f>
        <v>2</v>
      </c>
      <c r="Z42" s="1251">
        <f ca="1">OFFSET(Z42,0,-1)+1</f>
        <v>3</v>
      </c>
      <c r="AA42" s="5321">
        <f ca="1">OFFSET(AA42,0,-1)+1</f>
        <v>4</v>
      </c>
      <c r="AB42" s="5321"/>
      <c r="AC42" s="1251">
        <f ca="1">OFFSET(AC42,0,-2)+1</f>
        <v>5</v>
      </c>
      <c r="AD42" s="1251">
        <f ca="1">OFFSET(AD42,0,-1)+1</f>
        <v>6</v>
      </c>
      <c r="AE42" s="1251"/>
      <c r="AF42" s="1251">
        <f ca="1">OFFSET(AF42,0,-1)+1</f>
        <v>1</v>
      </c>
      <c r="AG42" s="1251">
        <f ca="1">OFFSET(AG42,0,-1)+1</f>
        <v>2</v>
      </c>
      <c r="AH42" s="1251">
        <f ca="1">OFFSET(AH42,0,-1)+1</f>
        <v>3</v>
      </c>
      <c r="AI42" s="5321">
        <f ca="1">OFFSET(AI42,0,-1)+1</f>
        <v>4</v>
      </c>
      <c r="AJ42" s="5321"/>
      <c r="AK42" s="1251">
        <f ca="1">OFFSET(AK42,0,-2)+1</f>
        <v>5</v>
      </c>
      <c r="AL42" s="2185">
        <f ca="1">OFFSET(AL42,0,-1)+1</f>
        <v>6</v>
      </c>
      <c r="AM42" s="2185"/>
      <c r="AN42" s="2185">
        <f ca="1">OFFSET(AN42,0,-1)+1</f>
        <v>1</v>
      </c>
      <c r="AO42" s="2185">
        <f ca="1">OFFSET(AO42,0,-1)+1</f>
        <v>2</v>
      </c>
      <c r="AP42" s="2185">
        <f ca="1">OFFSET(AP42,0,-1)+1</f>
        <v>3</v>
      </c>
      <c r="AQ42" s="5321">
        <f ca="1">OFFSET(AQ42,0,-1)+1</f>
        <v>4</v>
      </c>
      <c r="AR42" s="5321"/>
      <c r="AS42" s="2185">
        <f ca="1">OFFSET(AS42,0,-2)+1</f>
        <v>5</v>
      </c>
      <c r="AT42" s="1153">
        <f ca="1">OFFSET(AT42,0,-1)</f>
        <v>5</v>
      </c>
      <c r="AU42" s="1251">
        <f ca="1">OFFSET(AU42,0,-1)+1</f>
        <v>6</v>
      </c>
      <c r="AV42" s="436"/>
      <c r="AW42" s="436"/>
      <c r="AX42" s="436"/>
      <c r="AY42" s="436"/>
      <c r="AZ42" s="436"/>
    </row>
    <row r="43" spans="1:52" ht="102.75" customHeight="1">
      <c r="A43" s="1278" t="s">
        <v>220</v>
      </c>
      <c r="B43" s="1278"/>
      <c r="C43" s="1278"/>
      <c r="D43" s="1278"/>
      <c r="E43" s="5314">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127</v>
      </c>
      <c r="U43" s="218"/>
      <c r="V43" s="5300"/>
      <c r="W43" s="5301"/>
      <c r="X43" s="5301"/>
      <c r="Y43" s="5301"/>
      <c r="Z43" s="5301"/>
      <c r="AA43" s="5301"/>
      <c r="AB43" s="5301"/>
      <c r="AC43" s="5302"/>
      <c r="AD43" s="5300" t="str">
        <f>INDEX(PT_DIFFERENTIATION_NTAR,MATCH(A43,PT_DIFFERENTIATION_NTAR_ID,0))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AE43" s="5301"/>
      <c r="AF43" s="5301"/>
      <c r="AG43" s="5301"/>
      <c r="AH43" s="5301"/>
      <c r="AI43" s="5301"/>
      <c r="AJ43" s="5301"/>
      <c r="AK43" s="5301"/>
      <c r="AL43" s="5300"/>
      <c r="AM43" s="5301"/>
      <c r="AN43" s="5301"/>
      <c r="AO43" s="5301"/>
      <c r="AP43" s="5301"/>
      <c r="AQ43" s="5301"/>
      <c r="AR43" s="5301"/>
      <c r="AS43" s="5302"/>
      <c r="AT43" s="5302"/>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74" si="1">IF(T43="","",T43)</f>
        <v>Наименование тарифа</v>
      </c>
      <c r="AY43" s="425"/>
      <c r="AZ43" s="425"/>
    </row>
    <row r="44" spans="1:52" ht="21" customHeight="1">
      <c r="A44" s="1278" t="s">
        <v>220</v>
      </c>
      <c r="B44" s="1278" t="s">
        <v>221</v>
      </c>
      <c r="C44" s="1278"/>
      <c r="D44" s="1278"/>
      <c r="E44" s="5315"/>
      <c r="F44" s="5314">
        <v>1</v>
      </c>
      <c r="G44" s="1278"/>
      <c r="H44" s="1278"/>
      <c r="I44" s="1278"/>
      <c r="J44" s="1278"/>
      <c r="K44" s="1278"/>
      <c r="L44" s="1279"/>
      <c r="M44" s="1280"/>
      <c r="N44" s="1280"/>
      <c r="O44" s="1280"/>
      <c r="P44" s="1248"/>
      <c r="Q44" s="276"/>
      <c r="R44" s="277"/>
      <c r="S44" s="1252" t="str">
        <f>INDEX(PT_DIFFERENTIATION_NUM_TER,MATCH(B44,PT_DIFFERENTIATION_TER_ID,0))</f>
        <v>1.1</v>
      </c>
      <c r="T44" s="228" t="s">
        <v>516</v>
      </c>
      <c r="U44" s="218"/>
      <c r="V44" s="5300"/>
      <c r="W44" s="5301"/>
      <c r="X44" s="5301"/>
      <c r="Y44" s="5301"/>
      <c r="Z44" s="5301"/>
      <c r="AA44" s="5301"/>
      <c r="AB44" s="5301"/>
      <c r="AC44" s="5302"/>
      <c r="AD44" s="5300" t="str">
        <f>INDEX(PT_DIFFERENTIATION_TER,MATCH(B44,PT_DIFFERENTIATION_TER_ID,0))</f>
        <v>Территория 2</v>
      </c>
      <c r="AE44" s="5301"/>
      <c r="AF44" s="5301"/>
      <c r="AG44" s="5301"/>
      <c r="AH44" s="5301"/>
      <c r="AI44" s="5301"/>
      <c r="AJ44" s="5301"/>
      <c r="AK44" s="5301"/>
      <c r="AL44" s="5300"/>
      <c r="AM44" s="5301"/>
      <c r="AN44" s="5301"/>
      <c r="AO44" s="5301"/>
      <c r="AP44" s="5301"/>
      <c r="AQ44" s="5301"/>
      <c r="AR44" s="5301"/>
      <c r="AS44" s="5302"/>
      <c r="AT44" s="5302"/>
      <c r="AU44" s="1176" t="s">
        <v>517</v>
      </c>
      <c r="AW44" s="425"/>
      <c r="AX44" s="425" t="str">
        <f t="shared" si="1"/>
        <v>Территория действия тарифа</v>
      </c>
      <c r="AY44" s="425"/>
      <c r="AZ44" s="425"/>
    </row>
    <row r="45" spans="1:52" ht="23.25" customHeight="1">
      <c r="A45" s="1278" t="s">
        <v>220</v>
      </c>
      <c r="B45" s="1278" t="s">
        <v>221</v>
      </c>
      <c r="C45" s="1278" t="s">
        <v>222</v>
      </c>
      <c r="D45" s="1278"/>
      <c r="E45" s="5315"/>
      <c r="F45" s="5315"/>
      <c r="G45" s="5314">
        <v>1</v>
      </c>
      <c r="H45" s="1278"/>
      <c r="I45" s="1278"/>
      <c r="J45" s="1278"/>
      <c r="K45" s="1278"/>
      <c r="L45" s="1279"/>
      <c r="M45" s="1280"/>
      <c r="N45" s="1280"/>
      <c r="O45" s="1280"/>
      <c r="P45" s="278"/>
      <c r="Q45" s="276"/>
      <c r="R45" s="277"/>
      <c r="S45" s="1252" t="str">
        <f>INDEX(PT_DIFFERENTIATION_NUM_CS,MATCH(C45,PT_DIFFERENTIATION_CS_ID,0))</f>
        <v>1.1.1</v>
      </c>
      <c r="T45" s="229" t="s">
        <v>518</v>
      </c>
      <c r="U45" s="218"/>
      <c r="V45" s="5300"/>
      <c r="W45" s="5301"/>
      <c r="X45" s="5301"/>
      <c r="Y45" s="5301"/>
      <c r="Z45" s="5301"/>
      <c r="AA45" s="5301"/>
      <c r="AB45" s="5301"/>
      <c r="AC45" s="5302"/>
      <c r="AD45" s="5300" t="str">
        <f>INDEX(PT_DIFFERENTIATION_CS,MATCH(C45,PT_DIFFERENTIATION_CS_ID,0))</f>
        <v>открытая система теплоснабжения г. Кировск</v>
      </c>
      <c r="AE45" s="5301"/>
      <c r="AF45" s="5301"/>
      <c r="AG45" s="5301"/>
      <c r="AH45" s="5301"/>
      <c r="AI45" s="5301"/>
      <c r="AJ45" s="5301"/>
      <c r="AK45" s="5301"/>
      <c r="AL45" s="5300"/>
      <c r="AM45" s="5301"/>
      <c r="AN45" s="5301"/>
      <c r="AO45" s="5301"/>
      <c r="AP45" s="5301"/>
      <c r="AQ45" s="5301"/>
      <c r="AR45" s="5301"/>
      <c r="AS45" s="5302"/>
      <c r="AT45" s="5302"/>
      <c r="AU45" s="1176" t="s">
        <v>519</v>
      </c>
      <c r="AW45" s="425"/>
      <c r="AX45" s="425" t="str">
        <f t="shared" si="1"/>
        <v xml:space="preserve">Наименование системы теплоснабжения </v>
      </c>
      <c r="AY45" s="425"/>
      <c r="AZ45" s="425"/>
    </row>
    <row r="46" spans="1:52" ht="21" customHeight="1">
      <c r="A46" s="1278" t="s">
        <v>220</v>
      </c>
      <c r="B46" s="1278" t="s">
        <v>221</v>
      </c>
      <c r="C46" s="1278" t="s">
        <v>222</v>
      </c>
      <c r="D46" s="1278" t="s">
        <v>223</v>
      </c>
      <c r="E46" s="5315"/>
      <c r="F46" s="5315"/>
      <c r="G46" s="5315"/>
      <c r="H46" s="5314">
        <v>1</v>
      </c>
      <c r="I46" s="1278"/>
      <c r="J46" s="1278"/>
      <c r="K46" s="1278"/>
      <c r="L46" s="1279"/>
      <c r="M46" s="1280"/>
      <c r="N46" s="1280"/>
      <c r="O46" s="1280"/>
      <c r="P46" s="278"/>
      <c r="Q46" s="276"/>
      <c r="R46" s="277"/>
      <c r="S46" s="1252" t="str">
        <f>INDEX(PT_DIFFERENTIATION_NUM_IST_TE,MATCH(D46,PT_DIFFERENTIATION_IST_TE_ID,0))</f>
        <v>1.1.1.1</v>
      </c>
      <c r="T46" s="230" t="s">
        <v>520</v>
      </c>
      <c r="U46" s="218"/>
      <c r="V46" s="5300"/>
      <c r="W46" s="5301"/>
      <c r="X46" s="5301"/>
      <c r="Y46" s="5301"/>
      <c r="Z46" s="5301"/>
      <c r="AA46" s="5301"/>
      <c r="AB46" s="5301"/>
      <c r="AC46" s="5302"/>
      <c r="AD46" s="5300" t="str">
        <f>INDEX(PT_DIFFERENTIATION_IST_TE,MATCH(D46,PT_DIFFERENTIATION_IST_TE_ID,0))</f>
        <v>Апатитская ТЭЦ</v>
      </c>
      <c r="AE46" s="5301"/>
      <c r="AF46" s="5301"/>
      <c r="AG46" s="5301"/>
      <c r="AH46" s="5301"/>
      <c r="AI46" s="5301"/>
      <c r="AJ46" s="5301"/>
      <c r="AK46" s="5301"/>
      <c r="AL46" s="5300"/>
      <c r="AM46" s="5301"/>
      <c r="AN46" s="5301"/>
      <c r="AO46" s="5301"/>
      <c r="AP46" s="5301"/>
      <c r="AQ46" s="5301"/>
      <c r="AR46" s="5301"/>
      <c r="AS46" s="5302"/>
      <c r="AT46" s="5302"/>
      <c r="AU46" s="1176" t="s">
        <v>521</v>
      </c>
      <c r="AW46" s="425"/>
      <c r="AX46" s="425" t="str">
        <f t="shared" si="1"/>
        <v xml:space="preserve">Источник тепловой энергии  </v>
      </c>
      <c r="AY46" s="425"/>
      <c r="AZ46" s="425"/>
    </row>
    <row r="47" spans="1:52" ht="47.25" customHeight="1">
      <c r="A47" s="1278" t="s">
        <v>220</v>
      </c>
      <c r="B47" s="1278" t="s">
        <v>221</v>
      </c>
      <c r="C47" s="1278" t="s">
        <v>222</v>
      </c>
      <c r="D47" s="1278" t="s">
        <v>223</v>
      </c>
      <c r="E47" s="5315"/>
      <c r="F47" s="5315"/>
      <c r="G47" s="5315"/>
      <c r="H47" s="5315"/>
      <c r="I47" s="5312" t="str">
        <f>S46&amp;".1"</f>
        <v>1.1.1.1.1</v>
      </c>
      <c r="J47" s="1278"/>
      <c r="K47" s="1278"/>
      <c r="L47" s="1279" t="s">
        <v>522</v>
      </c>
      <c r="P47" s="5313">
        <v>1</v>
      </c>
      <c r="Q47" s="1247"/>
      <c r="R47" s="280"/>
      <c r="S47" s="1252" t="str">
        <f>$I47</f>
        <v>1.1.1.1.1</v>
      </c>
      <c r="T47" s="203" t="s">
        <v>523</v>
      </c>
      <c r="U47" s="218"/>
      <c r="V47" s="5303"/>
      <c r="W47" s="5304"/>
      <c r="X47" s="5304"/>
      <c r="Y47" s="5304"/>
      <c r="Z47" s="5304"/>
      <c r="AA47" s="5304"/>
      <c r="AB47" s="5304"/>
      <c r="AC47" s="5305"/>
      <c r="AD47" s="5303" t="s">
        <v>564</v>
      </c>
      <c r="AE47" s="5304"/>
      <c r="AF47" s="5304"/>
      <c r="AG47" s="5304"/>
      <c r="AH47" s="5304"/>
      <c r="AI47" s="5304"/>
      <c r="AJ47" s="5304"/>
      <c r="AK47" s="5304"/>
      <c r="AL47" s="5303"/>
      <c r="AM47" s="5304"/>
      <c r="AN47" s="5304"/>
      <c r="AO47" s="5304"/>
      <c r="AP47" s="5304"/>
      <c r="AQ47" s="5304"/>
      <c r="AR47" s="5304"/>
      <c r="AS47" s="5305"/>
      <c r="AT47" s="5305"/>
      <c r="AU47" s="1176" t="s">
        <v>524</v>
      </c>
      <c r="AW47" s="425"/>
      <c r="AX47" s="425" t="str">
        <f t="shared" si="1"/>
        <v>Схема подключения теплопотребляющей установки к коллектору источника тепловой энергии</v>
      </c>
      <c r="AY47" s="425"/>
      <c r="AZ47" s="425"/>
    </row>
    <row r="48" spans="1:52" ht="21" customHeight="1">
      <c r="A48" s="1278" t="s">
        <v>220</v>
      </c>
      <c r="B48" s="1278" t="s">
        <v>221</v>
      </c>
      <c r="C48" s="1278" t="s">
        <v>222</v>
      </c>
      <c r="D48" s="1278" t="s">
        <v>223</v>
      </c>
      <c r="E48" s="5315"/>
      <c r="F48" s="5315"/>
      <c r="G48" s="5315"/>
      <c r="H48" s="5315"/>
      <c r="I48" s="5335"/>
      <c r="J48" s="5312" t="str">
        <f>I47&amp;".1"</f>
        <v>1.1.1.1.1.1</v>
      </c>
      <c r="K48" s="1278"/>
      <c r="L48" s="1279" t="s">
        <v>525</v>
      </c>
      <c r="P48" s="5313"/>
      <c r="Q48" s="5313">
        <v>1</v>
      </c>
      <c r="R48" s="281"/>
      <c r="S48" s="1252" t="str">
        <f>$J48</f>
        <v>1.1.1.1.1.1</v>
      </c>
      <c r="T48" s="204" t="s">
        <v>526</v>
      </c>
      <c r="U48" s="218"/>
      <c r="V48" s="5303"/>
      <c r="W48" s="5304"/>
      <c r="X48" s="5304"/>
      <c r="Y48" s="5304"/>
      <c r="Z48" s="5304"/>
      <c r="AA48" s="5304"/>
      <c r="AB48" s="5304"/>
      <c r="AC48" s="5305"/>
      <c r="AD48" s="5303" t="s">
        <v>565</v>
      </c>
      <c r="AE48" s="5304"/>
      <c r="AF48" s="5304"/>
      <c r="AG48" s="5304"/>
      <c r="AH48" s="5304"/>
      <c r="AI48" s="5304"/>
      <c r="AJ48" s="5304"/>
      <c r="AK48" s="5304"/>
      <c r="AL48" s="5303"/>
      <c r="AM48" s="5304"/>
      <c r="AN48" s="5304"/>
      <c r="AO48" s="5304"/>
      <c r="AP48" s="5304"/>
      <c r="AQ48" s="5304"/>
      <c r="AR48" s="5304"/>
      <c r="AS48" s="5305"/>
      <c r="AT48" s="5305"/>
      <c r="AU48" s="1176" t="s">
        <v>527</v>
      </c>
      <c r="AW48" s="425"/>
      <c r="AX48" s="425" t="str">
        <f t="shared" si="1"/>
        <v>Группа потребителей</v>
      </c>
      <c r="AY48" s="425"/>
      <c r="AZ48" s="425"/>
    </row>
    <row r="49" spans="1:52" ht="21" customHeight="1">
      <c r="A49" s="1278" t="s">
        <v>220</v>
      </c>
      <c r="B49" s="1278" t="s">
        <v>221</v>
      </c>
      <c r="C49" s="1278" t="s">
        <v>222</v>
      </c>
      <c r="D49" s="1278" t="s">
        <v>223</v>
      </c>
      <c r="E49" s="5315"/>
      <c r="F49" s="5315"/>
      <c r="G49" s="5315"/>
      <c r="H49" s="5315"/>
      <c r="I49" s="5335"/>
      <c r="J49" s="5335"/>
      <c r="K49" s="5312" t="str">
        <f>J48&amp;".1"</f>
        <v>1.1.1.1.1.1.1</v>
      </c>
      <c r="L49" s="1279" t="s">
        <v>528</v>
      </c>
      <c r="P49" s="5313"/>
      <c r="Q49" s="5313"/>
      <c r="R49" s="281">
        <v>1</v>
      </c>
      <c r="S49" s="1252" t="str">
        <f>$K49</f>
        <v>1.1.1.1.1.1.1</v>
      </c>
      <c r="T49" s="1263" t="s">
        <v>566</v>
      </c>
      <c r="U49" s="218"/>
      <c r="V49" s="667"/>
      <c r="W49" s="250"/>
      <c r="X49" s="667"/>
      <c r="Y49" s="1175"/>
      <c r="Z49" s="5317"/>
      <c r="AA49" s="5161" t="s">
        <v>62</v>
      </c>
      <c r="AB49" s="5317"/>
      <c r="AC49" s="5161" t="s">
        <v>62</v>
      </c>
      <c r="AD49" s="667">
        <v>1642.09</v>
      </c>
      <c r="AE49" s="250"/>
      <c r="AF49" s="667"/>
      <c r="AG49" s="1175"/>
      <c r="AH49" s="5317">
        <v>45658.562893518516</v>
      </c>
      <c r="AI49" s="5161" t="s">
        <v>62</v>
      </c>
      <c r="AJ49" s="5336">
        <v>45838.562951388885</v>
      </c>
      <c r="AK49" s="5161" t="s">
        <v>62</v>
      </c>
      <c r="AL49" s="2139">
        <v>2453.1999999999998</v>
      </c>
      <c r="AM49" s="2140"/>
      <c r="AN49" s="2139"/>
      <c r="AO49" s="2141"/>
      <c r="AP49" s="5317">
        <v>45839.563101851854</v>
      </c>
      <c r="AQ49" s="5161" t="s">
        <v>62</v>
      </c>
      <c r="AR49" s="5317">
        <v>46022.563194444447</v>
      </c>
      <c r="AS49" s="5161" t="s">
        <v>62</v>
      </c>
      <c r="AT49" s="1264"/>
      <c r="AU49" s="5309" t="s">
        <v>529</v>
      </c>
      <c r="AV49" s="436" t="e">
        <f ca="1">STRCHECKDATE(V50:AT50)</f>
        <v>#NAME?</v>
      </c>
      <c r="AW49" s="425"/>
      <c r="AX49" s="425" t="str">
        <f t="shared" si="1"/>
        <v>вода</v>
      </c>
      <c r="AY49" s="425"/>
      <c r="AZ49" s="425"/>
    </row>
    <row r="50" spans="1:52" ht="0.75" customHeight="1">
      <c r="A50" s="1278" t="s">
        <v>220</v>
      </c>
      <c r="B50" s="1278" t="s">
        <v>221</v>
      </c>
      <c r="C50" s="1278" t="s">
        <v>222</v>
      </c>
      <c r="D50" s="1278" t="s">
        <v>223</v>
      </c>
      <c r="E50" s="5315"/>
      <c r="F50" s="5315"/>
      <c r="G50" s="5315"/>
      <c r="H50" s="5315"/>
      <c r="I50" s="5335"/>
      <c r="J50" s="5335"/>
      <c r="K50" s="5312"/>
      <c r="L50" s="1279"/>
      <c r="P50" s="5313"/>
      <c r="Q50" s="5313"/>
      <c r="R50" s="281"/>
      <c r="S50" s="1258"/>
      <c r="T50" s="218"/>
      <c r="U50" s="218"/>
      <c r="V50" s="250"/>
      <c r="W50" s="250"/>
      <c r="X50" s="250"/>
      <c r="Y50" s="254" t="str">
        <f>Z49&amp;"-"&amp;AB49</f>
        <v>-</v>
      </c>
      <c r="Z50" s="5318"/>
      <c r="AA50" s="5161"/>
      <c r="AB50" s="5318"/>
      <c r="AC50" s="5161"/>
      <c r="AD50" s="250"/>
      <c r="AE50" s="250"/>
      <c r="AF50" s="250"/>
      <c r="AG50" s="254" t="str">
        <f>AH49&amp;"-"&amp;AJ49</f>
        <v>45658,5628935185-45838,5629513889</v>
      </c>
      <c r="AH50" s="5318"/>
      <c r="AI50" s="5161"/>
      <c r="AJ50" s="5337"/>
      <c r="AK50" s="5161"/>
      <c r="AL50" s="2140"/>
      <c r="AM50" s="2140"/>
      <c r="AN50" s="2140"/>
      <c r="AO50" s="2142" t="str">
        <f>AP49&amp;"-"&amp;AR49</f>
        <v>45839,5631018519-46022,5631944444</v>
      </c>
      <c r="AP50" s="5318"/>
      <c r="AQ50" s="5161"/>
      <c r="AR50" s="5318"/>
      <c r="AS50" s="5161"/>
      <c r="AT50" s="1265"/>
      <c r="AU50" s="5310"/>
      <c r="AW50" s="425"/>
      <c r="AX50" s="425" t="str">
        <f t="shared" si="1"/>
        <v/>
      </c>
      <c r="AY50" s="425"/>
      <c r="AZ50" s="425"/>
    </row>
    <row r="51" spans="1:52" ht="11.25" customHeight="1">
      <c r="A51" s="1278" t="s">
        <v>220</v>
      </c>
      <c r="B51" s="1278" t="s">
        <v>221</v>
      </c>
      <c r="C51" s="1278" t="s">
        <v>222</v>
      </c>
      <c r="D51" s="1278" t="s">
        <v>223</v>
      </c>
      <c r="E51" s="5315"/>
      <c r="F51" s="5315"/>
      <c r="G51" s="5315"/>
      <c r="H51" s="5315"/>
      <c r="I51" s="5335"/>
      <c r="J51" s="5312"/>
      <c r="K51" s="1278"/>
      <c r="L51" s="1279"/>
      <c r="P51" s="5313"/>
      <c r="Q51" s="5313"/>
      <c r="R51" s="280"/>
      <c r="S51" s="1197"/>
      <c r="T51" s="206" t="s">
        <v>530</v>
      </c>
      <c r="U51" s="294"/>
      <c r="V51" s="294"/>
      <c r="W51" s="294"/>
      <c r="X51" s="294"/>
      <c r="Y51" s="294"/>
      <c r="Z51" s="294"/>
      <c r="AA51" s="294"/>
      <c r="AB51" s="294"/>
      <c r="AC51" s="294"/>
      <c r="AD51" s="294"/>
      <c r="AE51" s="294"/>
      <c r="AF51" s="294"/>
      <c r="AG51" s="294"/>
      <c r="AH51" s="294"/>
      <c r="AI51" s="294"/>
      <c r="AJ51" s="294"/>
      <c r="AK51" s="294"/>
      <c r="AL51" s="3173"/>
      <c r="AM51" s="3174"/>
      <c r="AN51" s="3175"/>
      <c r="AO51" s="3176"/>
      <c r="AP51" s="3177"/>
      <c r="AQ51" s="3178"/>
      <c r="AR51" s="3179"/>
      <c r="AS51" s="3180"/>
      <c r="AT51" s="249"/>
      <c r="AU51" s="5311"/>
      <c r="AW51" s="425"/>
      <c r="AX51" s="425" t="str">
        <f t="shared" si="1"/>
        <v>Добавить вид теплоносителя (параметры теплоносителя)</v>
      </c>
      <c r="AY51" s="425"/>
      <c r="AZ51" s="425"/>
    </row>
    <row r="52" spans="1:52" ht="11.25" customHeight="1">
      <c r="A52" s="1278" t="s">
        <v>220</v>
      </c>
      <c r="B52" s="1278" t="s">
        <v>221</v>
      </c>
      <c r="C52" s="1278" t="s">
        <v>222</v>
      </c>
      <c r="D52" s="1278" t="s">
        <v>223</v>
      </c>
      <c r="E52" s="5315"/>
      <c r="F52" s="5315"/>
      <c r="G52" s="5315"/>
      <c r="H52" s="5315"/>
      <c r="I52" s="5312"/>
      <c r="J52" s="1278"/>
      <c r="K52" s="1278"/>
      <c r="L52" s="1279"/>
      <c r="P52" s="5313"/>
      <c r="Q52" s="1247"/>
      <c r="R52" s="280"/>
      <c r="S52" s="1197"/>
      <c r="T52" s="205" t="s">
        <v>531</v>
      </c>
      <c r="U52" s="294"/>
      <c r="V52" s="294"/>
      <c r="W52" s="294"/>
      <c r="X52" s="294"/>
      <c r="Y52" s="294"/>
      <c r="Z52" s="294"/>
      <c r="AA52" s="294"/>
      <c r="AB52" s="294"/>
      <c r="AC52" s="293"/>
      <c r="AD52" s="294"/>
      <c r="AE52" s="294"/>
      <c r="AF52" s="294"/>
      <c r="AG52" s="294"/>
      <c r="AH52" s="294"/>
      <c r="AI52" s="294"/>
      <c r="AJ52" s="294"/>
      <c r="AK52" s="293"/>
      <c r="AL52" s="3181"/>
      <c r="AM52" s="3182"/>
      <c r="AN52" s="3183"/>
      <c r="AO52" s="3184"/>
      <c r="AP52" s="3185"/>
      <c r="AQ52" s="3186"/>
      <c r="AR52" s="3187"/>
      <c r="AS52" s="3188"/>
      <c r="AT52" s="294"/>
      <c r="AU52" s="221"/>
      <c r="AW52" s="425"/>
      <c r="AX52" s="425" t="str">
        <f t="shared" si="1"/>
        <v>Добавить группу потребителей</v>
      </c>
      <c r="AY52" s="425"/>
      <c r="AZ52" s="425"/>
    </row>
    <row r="53" spans="1:52" ht="14.25" customHeight="1">
      <c r="A53" s="1278" t="s">
        <v>220</v>
      </c>
      <c r="B53" s="1278" t="s">
        <v>221</v>
      </c>
      <c r="C53" s="1278" t="s">
        <v>222</v>
      </c>
      <c r="D53" s="1278" t="s">
        <v>223</v>
      </c>
      <c r="E53" s="5315"/>
      <c r="F53" s="5315"/>
      <c r="G53" s="5315"/>
      <c r="H53" s="5314"/>
      <c r="I53" s="1278"/>
      <c r="J53" s="1278"/>
      <c r="K53" s="1278"/>
      <c r="L53" s="1279"/>
      <c r="M53" s="1280"/>
      <c r="N53" s="1280"/>
      <c r="O53" s="461"/>
      <c r="P53" s="284"/>
      <c r="Q53" s="303"/>
      <c r="R53" s="279"/>
      <c r="S53" s="1197"/>
      <c r="T53" s="291" t="s">
        <v>532</v>
      </c>
      <c r="U53" s="294"/>
      <c r="V53" s="294"/>
      <c r="W53" s="294"/>
      <c r="X53" s="294"/>
      <c r="Y53" s="294"/>
      <c r="Z53" s="294"/>
      <c r="AA53" s="294"/>
      <c r="AB53" s="294"/>
      <c r="AC53" s="293"/>
      <c r="AD53" s="294"/>
      <c r="AE53" s="294"/>
      <c r="AF53" s="294"/>
      <c r="AG53" s="294"/>
      <c r="AH53" s="294"/>
      <c r="AI53" s="294"/>
      <c r="AJ53" s="294"/>
      <c r="AK53" s="293"/>
      <c r="AL53" s="3189"/>
      <c r="AM53" s="3190"/>
      <c r="AN53" s="3191"/>
      <c r="AO53" s="3192"/>
      <c r="AP53" s="3193"/>
      <c r="AQ53" s="3194"/>
      <c r="AR53" s="3195"/>
      <c r="AS53" s="3196"/>
      <c r="AT53" s="294"/>
      <c r="AU53" s="221"/>
      <c r="AW53" s="425"/>
      <c r="AX53" s="425" t="str">
        <f t="shared" si="1"/>
        <v>Добавить схему подключения</v>
      </c>
      <c r="AY53" s="425"/>
      <c r="AZ53" s="425"/>
    </row>
    <row r="54" spans="1:52" s="2167" customFormat="1" ht="0.75" customHeight="1">
      <c r="A54" s="1259" t="s">
        <v>220</v>
      </c>
      <c r="B54" s="1259" t="s">
        <v>221</v>
      </c>
      <c r="C54" s="1259" t="s">
        <v>222</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169"/>
      <c r="AM54" s="2169"/>
      <c r="AN54" s="2169"/>
      <c r="AO54" s="2169"/>
      <c r="AP54" s="2169"/>
      <c r="AQ54" s="2169"/>
      <c r="AR54" s="2169"/>
      <c r="AS54" s="2169"/>
      <c r="AT54" s="1241"/>
      <c r="AU54" s="1241"/>
      <c r="AW54" s="705"/>
      <c r="AX54" s="705" t="str">
        <f t="shared" si="1"/>
        <v>Добавить источник для дифференциации</v>
      </c>
      <c r="AY54" s="705"/>
      <c r="AZ54" s="705"/>
    </row>
    <row r="55" spans="1:52" s="2167" customFormat="1" ht="0.75" customHeight="1">
      <c r="A55" s="1259" t="s">
        <v>220</v>
      </c>
      <c r="B55" s="1259" t="s">
        <v>221</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169"/>
      <c r="AM55" s="2169"/>
      <c r="AN55" s="2169"/>
      <c r="AO55" s="2169"/>
      <c r="AP55" s="2169"/>
      <c r="AQ55" s="2169"/>
      <c r="AR55" s="2169"/>
      <c r="AS55" s="2169"/>
      <c r="AT55" s="1241"/>
      <c r="AU55" s="1241"/>
      <c r="AW55" s="705"/>
      <c r="AX55" s="705" t="str">
        <f t="shared" si="1"/>
        <v>Добавить централизованную систему для дифференциации</v>
      </c>
      <c r="AY55" s="705"/>
      <c r="AZ55" s="705"/>
    </row>
    <row r="56" spans="1:52" s="1819" customFormat="1" ht="0.75" customHeight="1">
      <c r="A56" s="1259" t="s">
        <v>220</v>
      </c>
      <c r="B56" s="1259"/>
      <c r="C56" s="1259"/>
      <c r="D56" s="1259"/>
      <c r="E56" s="5314"/>
      <c r="F56" s="1259"/>
      <c r="G56" s="1259"/>
      <c r="H56" s="1259"/>
      <c r="I56" s="1259"/>
      <c r="J56" s="1259"/>
      <c r="K56" s="1259"/>
      <c r="L56" s="1262"/>
      <c r="M56" s="1238"/>
      <c r="N56" s="1238"/>
      <c r="O56" s="443"/>
      <c r="P56" s="312"/>
      <c r="Q56" s="1260"/>
      <c r="R56" s="312"/>
      <c r="S56" s="1239"/>
      <c r="T56" s="1242" t="s">
        <v>174</v>
      </c>
      <c r="U56" s="1241"/>
      <c r="V56" s="1241"/>
      <c r="W56" s="1241"/>
      <c r="X56" s="1241"/>
      <c r="Y56" s="1241"/>
      <c r="Z56" s="1241"/>
      <c r="AA56" s="1241"/>
      <c r="AB56" s="1241"/>
      <c r="AC56" s="1241"/>
      <c r="AD56" s="1241"/>
      <c r="AE56" s="1241"/>
      <c r="AF56" s="1241"/>
      <c r="AG56" s="1241"/>
      <c r="AH56" s="1241"/>
      <c r="AI56" s="1241"/>
      <c r="AJ56" s="1241"/>
      <c r="AK56" s="1241"/>
      <c r="AL56" s="2169"/>
      <c r="AM56" s="2169"/>
      <c r="AN56" s="2169"/>
      <c r="AO56" s="2169"/>
      <c r="AP56" s="2169"/>
      <c r="AQ56" s="2169"/>
      <c r="AR56" s="2169"/>
      <c r="AS56" s="2169"/>
      <c r="AT56" s="1241"/>
      <c r="AU56" s="1241"/>
      <c r="AW56" s="425"/>
      <c r="AX56" s="425" t="str">
        <f t="shared" si="1"/>
        <v>Добавить территорию для дифференциации</v>
      </c>
      <c r="AY56" s="425"/>
      <c r="AZ56" s="425"/>
    </row>
    <row r="57" spans="1:52" s="3197" customFormat="1" ht="35.25" customHeight="1">
      <c r="A57" s="2211" t="s">
        <v>225</v>
      </c>
      <c r="B57" s="2211"/>
      <c r="C57" s="2211"/>
      <c r="D57" s="2211"/>
      <c r="E57" s="5314" t="s">
        <v>98</v>
      </c>
      <c r="F57" s="2211"/>
      <c r="G57" s="2211"/>
      <c r="H57" s="2211"/>
      <c r="I57" s="2211"/>
      <c r="J57" s="2211"/>
      <c r="K57" s="2211"/>
      <c r="L57" s="2212"/>
      <c r="M57" s="2213"/>
      <c r="N57" s="2213"/>
      <c r="O57" s="2213"/>
      <c r="P57" s="2344"/>
      <c r="Q57" s="2299"/>
      <c r="R57" s="2301"/>
      <c r="S57" s="2217" t="str">
        <f>INDEX(PT_DIFFERENTIATION_NUM_NTAR,MATCH(A57,PT_DIFFERENTIATION_NTAR_ID,0))</f>
        <v>2</v>
      </c>
      <c r="T57" s="2345" t="s">
        <v>127</v>
      </c>
      <c r="U57" s="2219"/>
      <c r="V57" s="5300"/>
      <c r="W57" s="5301"/>
      <c r="X57" s="5301"/>
      <c r="Y57" s="5301"/>
      <c r="Z57" s="5301"/>
      <c r="AA57" s="5301"/>
      <c r="AB57" s="5301"/>
      <c r="AC57" s="5302"/>
      <c r="AD57" s="5300" t="str">
        <f>INDEX(PT_DIFFERENTIATION_NTAR,MATCH(A57,PT_DIFFERENTIATION_NTAR_ID,0))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AE57" s="5301"/>
      <c r="AF57" s="5301"/>
      <c r="AG57" s="5301"/>
      <c r="AH57" s="5301"/>
      <c r="AI57" s="5301"/>
      <c r="AJ57" s="5301"/>
      <c r="AK57" s="5301"/>
      <c r="AL57" s="5300"/>
      <c r="AM57" s="5301"/>
      <c r="AN57" s="5301"/>
      <c r="AO57" s="5301"/>
      <c r="AP57" s="5301"/>
      <c r="AQ57" s="5301"/>
      <c r="AR57" s="5301"/>
      <c r="AS57" s="5302"/>
      <c r="AT57" s="5302"/>
      <c r="AU57" s="2220" t="s">
        <v>515</v>
      </c>
      <c r="AV57" s="2182"/>
      <c r="AW57" s="2221"/>
      <c r="AX57" s="2221" t="str">
        <f t="shared" si="1"/>
        <v>Наименование тарифа</v>
      </c>
      <c r="AY57" s="2221"/>
      <c r="AZ57" s="2221"/>
    </row>
    <row r="58" spans="1:52" s="3198" customFormat="1" ht="21" customHeight="1">
      <c r="A58" s="2211"/>
      <c r="B58" s="2211" t="s">
        <v>226</v>
      </c>
      <c r="C58" s="2211"/>
      <c r="D58" s="2211"/>
      <c r="E58" s="5315">
        <v>1</v>
      </c>
      <c r="F58" s="5314">
        <v>1</v>
      </c>
      <c r="G58" s="2211"/>
      <c r="H58" s="2211"/>
      <c r="I58" s="2211"/>
      <c r="J58" s="2211"/>
      <c r="K58" s="2211"/>
      <c r="L58" s="2212"/>
      <c r="M58" s="2213"/>
      <c r="N58" s="2213"/>
      <c r="O58" s="2213"/>
      <c r="P58" s="2214"/>
      <c r="Q58" s="2215"/>
      <c r="R58" s="2216"/>
      <c r="S58" s="2217" t="str">
        <f>INDEX(PT_DIFFERENTIATION_NUM_TER,MATCH(B58,PT_DIFFERENTIATION_TER_ID,0))</f>
        <v>2.1</v>
      </c>
      <c r="T58" s="2218" t="s">
        <v>516</v>
      </c>
      <c r="U58" s="2219"/>
      <c r="V58" s="5300"/>
      <c r="W58" s="5301"/>
      <c r="X58" s="5301"/>
      <c r="Y58" s="5301"/>
      <c r="Z58" s="5301"/>
      <c r="AA58" s="5301"/>
      <c r="AB58" s="5301"/>
      <c r="AC58" s="5302"/>
      <c r="AD58" s="5300" t="str">
        <f>INDEX(PT_DIFFERENTIATION_TER,MATCH(B58,PT_DIFFERENTIATION_TER_ID,0))</f>
        <v>Территория 1</v>
      </c>
      <c r="AE58" s="5301"/>
      <c r="AF58" s="5301"/>
      <c r="AG58" s="5301"/>
      <c r="AH58" s="5301"/>
      <c r="AI58" s="5301"/>
      <c r="AJ58" s="5301"/>
      <c r="AK58" s="5301"/>
      <c r="AL58" s="5300"/>
      <c r="AM58" s="5301"/>
      <c r="AN58" s="5301"/>
      <c r="AO58" s="5301"/>
      <c r="AP58" s="5301"/>
      <c r="AQ58" s="5301"/>
      <c r="AR58" s="5301"/>
      <c r="AS58" s="5302"/>
      <c r="AT58" s="5302"/>
      <c r="AU58" s="2220" t="s">
        <v>517</v>
      </c>
      <c r="AV58" s="2182"/>
      <c r="AW58" s="2221"/>
      <c r="AX58" s="2221" t="str">
        <f t="shared" si="1"/>
        <v>Территория действия тарифа</v>
      </c>
      <c r="AY58" s="2221"/>
      <c r="AZ58" s="2221"/>
    </row>
    <row r="59" spans="1:52" s="3199" customFormat="1" ht="23.25" customHeight="1">
      <c r="A59" s="2211"/>
      <c r="B59" s="2211"/>
      <c r="C59" s="2211" t="s">
        <v>227</v>
      </c>
      <c r="D59" s="2211"/>
      <c r="E59" s="5315">
        <v>1</v>
      </c>
      <c r="F59" s="5315"/>
      <c r="G59" s="5314">
        <v>1</v>
      </c>
      <c r="H59" s="2211"/>
      <c r="I59" s="2211"/>
      <c r="J59" s="2211"/>
      <c r="K59" s="2211"/>
      <c r="L59" s="2212"/>
      <c r="M59" s="2213"/>
      <c r="N59" s="2213"/>
      <c r="O59" s="2213"/>
      <c r="P59" s="2223"/>
      <c r="Q59" s="2215"/>
      <c r="R59" s="2216"/>
      <c r="S59" s="2217" t="str">
        <f>INDEX(PT_DIFFERENTIATION_NUM_CS,MATCH(C59,PT_DIFFERENTIATION_CS_ID,0))</f>
        <v>2.1.1</v>
      </c>
      <c r="T59" s="2224" t="s">
        <v>518</v>
      </c>
      <c r="U59" s="2219"/>
      <c r="V59" s="5300"/>
      <c r="W59" s="5301"/>
      <c r="X59" s="5301"/>
      <c r="Y59" s="5301"/>
      <c r="Z59" s="5301"/>
      <c r="AA59" s="5301"/>
      <c r="AB59" s="5301"/>
      <c r="AC59" s="5302"/>
      <c r="AD59" s="5300" t="str">
        <f>INDEX(PT_DIFFERENTIATION_CS,MATCH(C59,PT_DIFFERENTIATION_CS_ID,0))</f>
        <v xml:space="preserve">открытая система теплоснабжения г. Апатиты
</v>
      </c>
      <c r="AE59" s="5301"/>
      <c r="AF59" s="5301"/>
      <c r="AG59" s="5301"/>
      <c r="AH59" s="5301"/>
      <c r="AI59" s="5301"/>
      <c r="AJ59" s="5301"/>
      <c r="AK59" s="5301"/>
      <c r="AL59" s="5300"/>
      <c r="AM59" s="5301"/>
      <c r="AN59" s="5301"/>
      <c r="AO59" s="5301"/>
      <c r="AP59" s="5301"/>
      <c r="AQ59" s="5301"/>
      <c r="AR59" s="5301"/>
      <c r="AS59" s="5302"/>
      <c r="AT59" s="5302"/>
      <c r="AU59" s="2220" t="s">
        <v>519</v>
      </c>
      <c r="AV59" s="2182"/>
      <c r="AW59" s="2221"/>
      <c r="AX59" s="2221" t="str">
        <f t="shared" si="1"/>
        <v xml:space="preserve">Наименование системы теплоснабжения </v>
      </c>
      <c r="AY59" s="2221"/>
      <c r="AZ59" s="2221"/>
    </row>
    <row r="60" spans="1:52" s="3200" customFormat="1" ht="21" customHeight="1">
      <c r="A60" s="2211"/>
      <c r="B60" s="2211"/>
      <c r="C60" s="2211"/>
      <c r="D60" s="2211" t="s">
        <v>228</v>
      </c>
      <c r="E60" s="5315">
        <v>1</v>
      </c>
      <c r="F60" s="5315"/>
      <c r="G60" s="5315"/>
      <c r="H60" s="5314">
        <v>1</v>
      </c>
      <c r="I60" s="2211"/>
      <c r="J60" s="2211"/>
      <c r="K60" s="2211"/>
      <c r="L60" s="2212"/>
      <c r="M60" s="2213"/>
      <c r="N60" s="2213"/>
      <c r="O60" s="2213"/>
      <c r="P60" s="2223"/>
      <c r="Q60" s="2215"/>
      <c r="R60" s="2216"/>
      <c r="S60" s="2217" t="str">
        <f>INDEX(PT_DIFFERENTIATION_NUM_IST_TE,MATCH(D60,PT_DIFFERENTIATION_IST_TE_ID,0))</f>
        <v>2.1.1.1</v>
      </c>
      <c r="T60" s="2226" t="s">
        <v>520</v>
      </c>
      <c r="U60" s="2219"/>
      <c r="V60" s="5300"/>
      <c r="W60" s="5301"/>
      <c r="X60" s="5301"/>
      <c r="Y60" s="5301"/>
      <c r="Z60" s="5301"/>
      <c r="AA60" s="5301"/>
      <c r="AB60" s="5301"/>
      <c r="AC60" s="5302"/>
      <c r="AD60" s="5300" t="str">
        <f>INDEX(PT_DIFFERENTIATION_IST_TE,MATCH(D60,PT_DIFFERENTIATION_IST_TE_ID,0))</f>
        <v>Апатитская ТЭЦ</v>
      </c>
      <c r="AE60" s="5301"/>
      <c r="AF60" s="5301"/>
      <c r="AG60" s="5301"/>
      <c r="AH60" s="5301"/>
      <c r="AI60" s="5301"/>
      <c r="AJ60" s="5301"/>
      <c r="AK60" s="5301"/>
      <c r="AL60" s="5300"/>
      <c r="AM60" s="5301"/>
      <c r="AN60" s="5301"/>
      <c r="AO60" s="5301"/>
      <c r="AP60" s="5301"/>
      <c r="AQ60" s="5301"/>
      <c r="AR60" s="5301"/>
      <c r="AS60" s="5302"/>
      <c r="AT60" s="5302"/>
      <c r="AU60" s="2220" t="s">
        <v>521</v>
      </c>
      <c r="AV60" s="2182"/>
      <c r="AW60" s="2221"/>
      <c r="AX60" s="2221" t="str">
        <f t="shared" si="1"/>
        <v xml:space="preserve">Источник тепловой энергии  </v>
      </c>
      <c r="AY60" s="2221"/>
      <c r="AZ60" s="2221"/>
    </row>
    <row r="61" spans="1:52" s="3201" customFormat="1" ht="47.25" customHeight="1">
      <c r="A61" s="2211"/>
      <c r="B61" s="2211"/>
      <c r="C61" s="2211"/>
      <c r="D61" s="2211"/>
      <c r="E61" s="5315">
        <v>1</v>
      </c>
      <c r="F61" s="5315"/>
      <c r="G61" s="5315"/>
      <c r="H61" s="5315"/>
      <c r="I61" s="5312" t="str">
        <f>S60&amp;".1"</f>
        <v>2.1.1.1.1</v>
      </c>
      <c r="J61" s="2211"/>
      <c r="K61" s="2211"/>
      <c r="L61" s="2212" t="s">
        <v>522</v>
      </c>
      <c r="M61" s="2174"/>
      <c r="N61" s="2228"/>
      <c r="O61" s="2228"/>
      <c r="P61" s="5313">
        <v>1</v>
      </c>
      <c r="Q61" s="2229"/>
      <c r="R61" s="2230"/>
      <c r="S61" s="2217" t="str">
        <f>$I61</f>
        <v>2.1.1.1.1</v>
      </c>
      <c r="T61" s="2231" t="s">
        <v>523</v>
      </c>
      <c r="U61" s="2219"/>
      <c r="V61" s="5303"/>
      <c r="W61" s="5304"/>
      <c r="X61" s="5304"/>
      <c r="Y61" s="5304"/>
      <c r="Z61" s="5304"/>
      <c r="AA61" s="5304"/>
      <c r="AB61" s="5304"/>
      <c r="AC61" s="5305"/>
      <c r="AD61" s="5303" t="s">
        <v>565</v>
      </c>
      <c r="AE61" s="5304"/>
      <c r="AF61" s="5304"/>
      <c r="AG61" s="5304"/>
      <c r="AH61" s="5304"/>
      <c r="AI61" s="5304"/>
      <c r="AJ61" s="5304"/>
      <c r="AK61" s="5304"/>
      <c r="AL61" s="5303"/>
      <c r="AM61" s="5304"/>
      <c r="AN61" s="5304"/>
      <c r="AO61" s="5304"/>
      <c r="AP61" s="5304"/>
      <c r="AQ61" s="5304"/>
      <c r="AR61" s="5304"/>
      <c r="AS61" s="5305"/>
      <c r="AT61" s="5305"/>
      <c r="AU61" s="2220" t="s">
        <v>524</v>
      </c>
      <c r="AV61" s="2182"/>
      <c r="AW61" s="2221"/>
      <c r="AX61" s="2221" t="str">
        <f t="shared" si="1"/>
        <v>Схема подключения теплопотребляющей установки к коллектору источника тепловой энергии</v>
      </c>
      <c r="AY61" s="2221"/>
      <c r="AZ61" s="2221"/>
    </row>
    <row r="62" spans="1:52" s="3202" customFormat="1" ht="21" customHeight="1">
      <c r="A62" s="2211"/>
      <c r="B62" s="2211"/>
      <c r="C62" s="2211"/>
      <c r="D62" s="2211"/>
      <c r="E62" s="5315">
        <v>1</v>
      </c>
      <c r="F62" s="5315"/>
      <c r="G62" s="5315"/>
      <c r="H62" s="5315"/>
      <c r="I62" s="5335"/>
      <c r="J62" s="5312" t="str">
        <f>I61&amp;".1"</f>
        <v>2.1.1.1.1.1</v>
      </c>
      <c r="K62" s="2211"/>
      <c r="L62" s="2212" t="s">
        <v>525</v>
      </c>
      <c r="M62" s="2174"/>
      <c r="N62" s="2174"/>
      <c r="O62" s="2228"/>
      <c r="P62" s="5313"/>
      <c r="Q62" s="5313">
        <v>1</v>
      </c>
      <c r="R62" s="2233"/>
      <c r="S62" s="2217" t="str">
        <f>$J62</f>
        <v>2.1.1.1.1.1</v>
      </c>
      <c r="T62" s="2234" t="s">
        <v>526</v>
      </c>
      <c r="U62" s="2219"/>
      <c r="V62" s="5303"/>
      <c r="W62" s="5304"/>
      <c r="X62" s="5304"/>
      <c r="Y62" s="5304"/>
      <c r="Z62" s="5304"/>
      <c r="AA62" s="5304"/>
      <c r="AB62" s="5304"/>
      <c r="AC62" s="5305"/>
      <c r="AD62" s="5303" t="s">
        <v>565</v>
      </c>
      <c r="AE62" s="5304"/>
      <c r="AF62" s="5304"/>
      <c r="AG62" s="5304"/>
      <c r="AH62" s="5304"/>
      <c r="AI62" s="5304"/>
      <c r="AJ62" s="5304"/>
      <c r="AK62" s="5304"/>
      <c r="AL62" s="5303"/>
      <c r="AM62" s="5304"/>
      <c r="AN62" s="5304"/>
      <c r="AO62" s="5304"/>
      <c r="AP62" s="5304"/>
      <c r="AQ62" s="5304"/>
      <c r="AR62" s="5304"/>
      <c r="AS62" s="5305"/>
      <c r="AT62" s="5305"/>
      <c r="AU62" s="2220" t="s">
        <v>527</v>
      </c>
      <c r="AV62" s="2182"/>
      <c r="AW62" s="2221"/>
      <c r="AX62" s="2221" t="str">
        <f t="shared" si="1"/>
        <v>Группа потребителей</v>
      </c>
      <c r="AY62" s="2221"/>
      <c r="AZ62" s="2221"/>
    </row>
    <row r="63" spans="1:52" s="3203" customFormat="1" ht="21" customHeight="1">
      <c r="A63" s="2211"/>
      <c r="B63" s="2211"/>
      <c r="C63" s="2211"/>
      <c r="D63" s="2211"/>
      <c r="E63" s="5315">
        <v>1</v>
      </c>
      <c r="F63" s="5315"/>
      <c r="G63" s="5315"/>
      <c r="H63" s="5315"/>
      <c r="I63" s="5335"/>
      <c r="J63" s="5335"/>
      <c r="K63" s="5312" t="str">
        <f>J62&amp;".1"</f>
        <v>2.1.1.1.1.1.1</v>
      </c>
      <c r="L63" s="2212" t="s">
        <v>528</v>
      </c>
      <c r="M63" s="2174"/>
      <c r="N63" s="2174"/>
      <c r="O63" s="2174"/>
      <c r="P63" s="5313"/>
      <c r="Q63" s="5313"/>
      <c r="R63" s="2233">
        <v>1</v>
      </c>
      <c r="S63" s="2217" t="str">
        <f>$K63</f>
        <v>2.1.1.1.1.1.1</v>
      </c>
      <c r="T63" s="2236" t="s">
        <v>566</v>
      </c>
      <c r="U63" s="2219"/>
      <c r="V63" s="2139"/>
      <c r="W63" s="2140"/>
      <c r="X63" s="2139"/>
      <c r="Y63" s="2141"/>
      <c r="Z63" s="5317"/>
      <c r="AA63" s="5161" t="s">
        <v>62</v>
      </c>
      <c r="AB63" s="5317"/>
      <c r="AC63" s="5161" t="s">
        <v>62</v>
      </c>
      <c r="AD63" s="2139">
        <v>1803.93</v>
      </c>
      <c r="AE63" s="2140"/>
      <c r="AF63" s="2139"/>
      <c r="AG63" s="2141"/>
      <c r="AH63" s="5317">
        <v>45658.564155092594</v>
      </c>
      <c r="AI63" s="5161" t="s">
        <v>62</v>
      </c>
      <c r="AJ63" s="5317">
        <v>45838.566805555558</v>
      </c>
      <c r="AK63" s="5161" t="s">
        <v>62</v>
      </c>
      <c r="AL63" s="2139">
        <v>2633.01</v>
      </c>
      <c r="AM63" s="2140"/>
      <c r="AN63" s="2139"/>
      <c r="AO63" s="2141"/>
      <c r="AP63" s="5317">
        <v>45839.56689814815</v>
      </c>
      <c r="AQ63" s="5161" t="s">
        <v>62</v>
      </c>
      <c r="AR63" s="5317">
        <v>46022.566990740743</v>
      </c>
      <c r="AS63" s="5161" t="s">
        <v>62</v>
      </c>
      <c r="AT63" s="2140"/>
      <c r="AU63" s="5309" t="s">
        <v>529</v>
      </c>
      <c r="AV63" s="2182" t="e">
        <f ca="1">STRCHECKDATE(V64:AT64)</f>
        <v>#NAME?</v>
      </c>
      <c r="AW63" s="2221"/>
      <c r="AX63" s="2221" t="str">
        <f t="shared" si="1"/>
        <v>вода</v>
      </c>
      <c r="AY63" s="2221"/>
      <c r="AZ63" s="2221"/>
    </row>
    <row r="64" spans="1:52" s="3204" customFormat="1" ht="0.75" customHeight="1">
      <c r="A64" s="2211"/>
      <c r="B64" s="2211"/>
      <c r="C64" s="2211"/>
      <c r="D64" s="2211"/>
      <c r="E64" s="5315">
        <v>1</v>
      </c>
      <c r="F64" s="5315"/>
      <c r="G64" s="5315"/>
      <c r="H64" s="5315"/>
      <c r="I64" s="5335"/>
      <c r="J64" s="5335"/>
      <c r="K64" s="5312"/>
      <c r="L64" s="2212"/>
      <c r="M64" s="2174"/>
      <c r="N64" s="2174"/>
      <c r="O64" s="2174"/>
      <c r="P64" s="5313"/>
      <c r="Q64" s="5313"/>
      <c r="R64" s="2233"/>
      <c r="S64" s="2238"/>
      <c r="T64" s="2219"/>
      <c r="U64" s="2219"/>
      <c r="V64" s="2140"/>
      <c r="W64" s="2140"/>
      <c r="X64" s="2140"/>
      <c r="Y64" s="2142" t="str">
        <f>Z63&amp;"-"&amp;AB63</f>
        <v>-</v>
      </c>
      <c r="Z64" s="5318"/>
      <c r="AA64" s="5161"/>
      <c r="AB64" s="5318"/>
      <c r="AC64" s="5161"/>
      <c r="AD64" s="2140"/>
      <c r="AE64" s="2140"/>
      <c r="AF64" s="2140"/>
      <c r="AG64" s="2142" t="str">
        <f>AH63&amp;"-"&amp;AJ63</f>
        <v>45658,5641550926-45838,5668055556</v>
      </c>
      <c r="AH64" s="5318"/>
      <c r="AI64" s="5161"/>
      <c r="AJ64" s="5318"/>
      <c r="AK64" s="5161"/>
      <c r="AL64" s="2140"/>
      <c r="AM64" s="2140"/>
      <c r="AN64" s="2140"/>
      <c r="AO64" s="2142" t="str">
        <f>AP63&amp;"-"&amp;AR63</f>
        <v>45839,5668981482-46022,5669907407</v>
      </c>
      <c r="AP64" s="5318"/>
      <c r="AQ64" s="5161"/>
      <c r="AR64" s="5318"/>
      <c r="AS64" s="5161"/>
      <c r="AT64" s="2140"/>
      <c r="AU64" s="5310"/>
      <c r="AV64" s="2182"/>
      <c r="AW64" s="2221"/>
      <c r="AX64" s="2221" t="str">
        <f t="shared" si="1"/>
        <v/>
      </c>
      <c r="AY64" s="2221"/>
      <c r="AZ64" s="2221"/>
    </row>
    <row r="65" spans="1:52" s="3205" customFormat="1" ht="15" customHeight="1">
      <c r="A65" s="2211"/>
      <c r="B65" s="2211"/>
      <c r="C65" s="2211"/>
      <c r="D65" s="2211"/>
      <c r="E65" s="5315">
        <v>1</v>
      </c>
      <c r="F65" s="5315"/>
      <c r="G65" s="5315"/>
      <c r="H65" s="5315"/>
      <c r="I65" s="5335"/>
      <c r="J65" s="5312"/>
      <c r="K65" s="2211"/>
      <c r="L65" s="2212"/>
      <c r="M65" s="2174"/>
      <c r="N65" s="2174"/>
      <c r="O65" s="2228"/>
      <c r="P65" s="5313"/>
      <c r="Q65" s="5313"/>
      <c r="R65" s="2230"/>
      <c r="S65" s="3206"/>
      <c r="T65" s="3207" t="s">
        <v>530</v>
      </c>
      <c r="U65" s="3208"/>
      <c r="V65" s="3209"/>
      <c r="W65" s="3210"/>
      <c r="X65" s="3211"/>
      <c r="Y65" s="3212"/>
      <c r="Z65" s="3213"/>
      <c r="AA65" s="3214"/>
      <c r="AB65" s="3215"/>
      <c r="AC65" s="3216"/>
      <c r="AD65" s="3217"/>
      <c r="AE65" s="3218"/>
      <c r="AF65" s="3219"/>
      <c r="AG65" s="3220"/>
      <c r="AH65" s="3221"/>
      <c r="AI65" s="3222"/>
      <c r="AJ65" s="3223"/>
      <c r="AK65" s="3224"/>
      <c r="AL65" s="3225"/>
      <c r="AM65" s="3226"/>
      <c r="AN65" s="3227"/>
      <c r="AO65" s="3228"/>
      <c r="AP65" s="3229"/>
      <c r="AQ65" s="3230"/>
      <c r="AR65" s="3231"/>
      <c r="AS65" s="3232"/>
      <c r="AT65" s="3233"/>
      <c r="AU65" s="5311"/>
      <c r="AV65" s="2182"/>
      <c r="AW65" s="2221"/>
      <c r="AX65" s="2221" t="str">
        <f t="shared" si="1"/>
        <v>Добавить вид теплоносителя (параметры теплоносителя)</v>
      </c>
      <c r="AY65" s="2221"/>
      <c r="AZ65" s="2221"/>
    </row>
    <row r="66" spans="1:52" s="3234" customFormat="1" ht="15" customHeight="1">
      <c r="A66" s="2211"/>
      <c r="B66" s="2211"/>
      <c r="C66" s="2211"/>
      <c r="D66" s="2211"/>
      <c r="E66" s="5315">
        <v>1</v>
      </c>
      <c r="F66" s="5315"/>
      <c r="G66" s="5315"/>
      <c r="H66" s="5315"/>
      <c r="I66" s="5312"/>
      <c r="J66" s="2211"/>
      <c r="K66" s="2211"/>
      <c r="L66" s="2212"/>
      <c r="M66" s="2174"/>
      <c r="N66" s="2228"/>
      <c r="O66" s="2228"/>
      <c r="P66" s="5313"/>
      <c r="Q66" s="2229"/>
      <c r="R66" s="2230"/>
      <c r="S66" s="3235"/>
      <c r="T66" s="3236" t="s">
        <v>531</v>
      </c>
      <c r="U66" s="3237"/>
      <c r="V66" s="3238"/>
      <c r="W66" s="3239"/>
      <c r="X66" s="3240"/>
      <c r="Y66" s="3241"/>
      <c r="Z66" s="3242"/>
      <c r="AA66" s="3243"/>
      <c r="AB66" s="3244"/>
      <c r="AC66" s="3245"/>
      <c r="AD66" s="3246"/>
      <c r="AE66" s="3247"/>
      <c r="AF66" s="3248"/>
      <c r="AG66" s="3249"/>
      <c r="AH66" s="3250"/>
      <c r="AI66" s="3251"/>
      <c r="AJ66" s="3252"/>
      <c r="AK66" s="3253"/>
      <c r="AL66" s="3254"/>
      <c r="AM66" s="3255"/>
      <c r="AN66" s="3256"/>
      <c r="AO66" s="3257"/>
      <c r="AP66" s="3258"/>
      <c r="AQ66" s="3259"/>
      <c r="AR66" s="3260"/>
      <c r="AS66" s="3261"/>
      <c r="AT66" s="3262"/>
      <c r="AU66" s="3263"/>
      <c r="AV66" s="2182"/>
      <c r="AW66" s="2221"/>
      <c r="AX66" s="2221" t="str">
        <f t="shared" si="1"/>
        <v>Добавить группу потребителей</v>
      </c>
      <c r="AY66" s="2221"/>
      <c r="AZ66" s="2221"/>
    </row>
    <row r="67" spans="1:52" s="3264" customFormat="1" ht="14.25" customHeight="1">
      <c r="A67" s="2211"/>
      <c r="B67" s="2211"/>
      <c r="C67" s="2211"/>
      <c r="D67" s="2211"/>
      <c r="E67" s="5315">
        <v>1</v>
      </c>
      <c r="F67" s="5315"/>
      <c r="G67" s="5315"/>
      <c r="H67" s="5314"/>
      <c r="I67" s="2211"/>
      <c r="J67" s="2211"/>
      <c r="K67" s="2211"/>
      <c r="L67" s="2212"/>
      <c r="M67" s="2213"/>
      <c r="N67" s="2213"/>
      <c r="O67" s="2174"/>
      <c r="P67" s="2299"/>
      <c r="Q67" s="2300"/>
      <c r="R67" s="2301"/>
      <c r="S67" s="3265"/>
      <c r="T67" s="3266" t="s">
        <v>532</v>
      </c>
      <c r="U67" s="3267"/>
      <c r="V67" s="3268"/>
      <c r="W67" s="3269"/>
      <c r="X67" s="3270"/>
      <c r="Y67" s="3271"/>
      <c r="Z67" s="3272"/>
      <c r="AA67" s="3273"/>
      <c r="AB67" s="3274"/>
      <c r="AC67" s="3275"/>
      <c r="AD67" s="3276"/>
      <c r="AE67" s="3277"/>
      <c r="AF67" s="3278"/>
      <c r="AG67" s="3279"/>
      <c r="AH67" s="3280"/>
      <c r="AI67" s="3281"/>
      <c r="AJ67" s="3282"/>
      <c r="AK67" s="3283"/>
      <c r="AL67" s="3284"/>
      <c r="AM67" s="3285"/>
      <c r="AN67" s="3286"/>
      <c r="AO67" s="3287"/>
      <c r="AP67" s="3288"/>
      <c r="AQ67" s="3289"/>
      <c r="AR67" s="3290"/>
      <c r="AS67" s="3291"/>
      <c r="AT67" s="3292"/>
      <c r="AU67" s="3293"/>
      <c r="AV67" s="2182"/>
      <c r="AW67" s="2221"/>
      <c r="AX67" s="2221" t="str">
        <f t="shared" si="1"/>
        <v>Добавить схему подключения</v>
      </c>
      <c r="AY67" s="2221"/>
      <c r="AZ67" s="2221"/>
    </row>
    <row r="68" spans="1:52" s="3294" customFormat="1" ht="0.75" customHeight="1">
      <c r="A68" s="2332"/>
      <c r="B68" s="2332"/>
      <c r="C68" s="2332"/>
      <c r="D68" s="2332"/>
      <c r="E68" s="5315">
        <v>1</v>
      </c>
      <c r="F68" s="5315"/>
      <c r="G68" s="5314"/>
      <c r="H68" s="2332"/>
      <c r="I68" s="2332"/>
      <c r="J68" s="2332"/>
      <c r="K68" s="2332"/>
      <c r="L68" s="2333"/>
      <c r="M68" s="2334"/>
      <c r="N68" s="2334"/>
      <c r="O68" s="2182"/>
      <c r="P68" s="2335"/>
      <c r="Q68" s="2336"/>
      <c r="R68" s="2335"/>
      <c r="S68" s="2337"/>
      <c r="T68" s="2338" t="s">
        <v>168</v>
      </c>
      <c r="U68" s="2168"/>
      <c r="V68" s="2168"/>
      <c r="W68" s="2168"/>
      <c r="X68" s="2168"/>
      <c r="Y68" s="2168"/>
      <c r="Z68" s="2168"/>
      <c r="AA68" s="2168"/>
      <c r="AB68" s="2168"/>
      <c r="AC68" s="2168"/>
      <c r="AD68" s="2168"/>
      <c r="AE68" s="2168"/>
      <c r="AF68" s="2168"/>
      <c r="AG68" s="2168"/>
      <c r="AH68" s="2168"/>
      <c r="AI68" s="2168"/>
      <c r="AJ68" s="2168"/>
      <c r="AK68" s="2168"/>
      <c r="AL68" s="2168"/>
      <c r="AM68" s="2168"/>
      <c r="AN68" s="2168"/>
      <c r="AO68" s="2168"/>
      <c r="AP68" s="2168"/>
      <c r="AQ68" s="2168"/>
      <c r="AR68" s="2168"/>
      <c r="AS68" s="2168"/>
      <c r="AT68" s="2168"/>
      <c r="AU68" s="2168"/>
      <c r="AV68" s="2182"/>
      <c r="AW68" s="2221"/>
      <c r="AX68" s="2221" t="str">
        <f t="shared" si="1"/>
        <v>Добавить источник для дифференциации</v>
      </c>
      <c r="AY68" s="2221"/>
      <c r="AZ68" s="2221"/>
    </row>
    <row r="69" spans="1:52" s="3295" customFormat="1" ht="0.75" customHeight="1">
      <c r="A69" s="2332"/>
      <c r="B69" s="2332"/>
      <c r="C69" s="2332"/>
      <c r="D69" s="2332"/>
      <c r="E69" s="5315">
        <v>1</v>
      </c>
      <c r="F69" s="5314"/>
      <c r="G69" s="2332"/>
      <c r="H69" s="2332"/>
      <c r="I69" s="2332"/>
      <c r="J69" s="2332"/>
      <c r="K69" s="2332"/>
      <c r="L69" s="2333"/>
      <c r="M69" s="2340"/>
      <c r="N69" s="2340"/>
      <c r="O69" s="2182"/>
      <c r="P69" s="2335"/>
      <c r="Q69" s="2336"/>
      <c r="R69" s="2335"/>
      <c r="S69" s="2341"/>
      <c r="T69" s="2342" t="s">
        <v>169</v>
      </c>
      <c r="U69" s="2169"/>
      <c r="V69" s="2169"/>
      <c r="W69" s="2169"/>
      <c r="X69" s="2169"/>
      <c r="Y69" s="2169"/>
      <c r="Z69" s="2169"/>
      <c r="AA69" s="2169"/>
      <c r="AB69" s="2169"/>
      <c r="AC69" s="2169"/>
      <c r="AD69" s="2169"/>
      <c r="AE69" s="2169"/>
      <c r="AF69" s="2169"/>
      <c r="AG69" s="2169"/>
      <c r="AH69" s="2169"/>
      <c r="AI69" s="2169"/>
      <c r="AJ69" s="2169"/>
      <c r="AK69" s="2169"/>
      <c r="AL69" s="2169"/>
      <c r="AM69" s="2169"/>
      <c r="AN69" s="2169"/>
      <c r="AO69" s="2169"/>
      <c r="AP69" s="2169"/>
      <c r="AQ69" s="2169"/>
      <c r="AR69" s="2169"/>
      <c r="AS69" s="2169"/>
      <c r="AT69" s="2169"/>
      <c r="AU69" s="2169"/>
      <c r="AV69" s="2182"/>
      <c r="AW69" s="2221"/>
      <c r="AX69" s="2221" t="str">
        <f t="shared" si="1"/>
        <v>Добавить централизованную систему для дифференциации</v>
      </c>
      <c r="AY69" s="2221"/>
      <c r="AZ69" s="2221"/>
    </row>
    <row r="70" spans="1:52" s="3296" customFormat="1" ht="0.75" customHeight="1">
      <c r="A70" s="2332"/>
      <c r="B70" s="2332"/>
      <c r="C70" s="2332"/>
      <c r="D70" s="2332"/>
      <c r="E70" s="5314">
        <v>1</v>
      </c>
      <c r="F70" s="2332"/>
      <c r="G70" s="2332"/>
      <c r="H70" s="2332"/>
      <c r="I70" s="2332"/>
      <c r="J70" s="2332"/>
      <c r="K70" s="2332"/>
      <c r="L70" s="2333"/>
      <c r="M70" s="2340"/>
      <c r="N70" s="2340"/>
      <c r="O70" s="2182"/>
      <c r="P70" s="2335"/>
      <c r="Q70" s="2336"/>
      <c r="R70" s="2335"/>
      <c r="S70" s="2341"/>
      <c r="T70" s="2445" t="s">
        <v>174</v>
      </c>
      <c r="U70" s="2169"/>
      <c r="V70" s="2169"/>
      <c r="W70" s="2169"/>
      <c r="X70" s="2169"/>
      <c r="Y70" s="2169"/>
      <c r="Z70" s="2169"/>
      <c r="AA70" s="2169"/>
      <c r="AB70" s="2169"/>
      <c r="AC70" s="2169"/>
      <c r="AD70" s="2169"/>
      <c r="AE70" s="2169"/>
      <c r="AF70" s="2169"/>
      <c r="AG70" s="2169"/>
      <c r="AH70" s="2169"/>
      <c r="AI70" s="2169"/>
      <c r="AJ70" s="2169"/>
      <c r="AK70" s="2169"/>
      <c r="AL70" s="2169"/>
      <c r="AM70" s="2169"/>
      <c r="AN70" s="2169"/>
      <c r="AO70" s="2169"/>
      <c r="AP70" s="2169"/>
      <c r="AQ70" s="2169"/>
      <c r="AR70" s="2169"/>
      <c r="AS70" s="2169"/>
      <c r="AT70" s="2169"/>
      <c r="AU70" s="2169"/>
      <c r="AV70" s="2182"/>
      <c r="AW70" s="2221"/>
      <c r="AX70" s="2221" t="str">
        <f t="shared" si="1"/>
        <v>Добавить территорию для дифференциации</v>
      </c>
      <c r="AY70" s="2221"/>
      <c r="AZ70" s="2221"/>
    </row>
    <row r="71" spans="1:52" s="3297" customFormat="1" ht="21" customHeight="1">
      <c r="A71" s="2211" t="s">
        <v>232</v>
      </c>
      <c r="B71" s="2211"/>
      <c r="C71" s="2211"/>
      <c r="D71" s="2211"/>
      <c r="E71" s="5314" t="s">
        <v>85</v>
      </c>
      <c r="F71" s="2211"/>
      <c r="G71" s="2211"/>
      <c r="H71" s="2211"/>
      <c r="I71" s="2211"/>
      <c r="J71" s="2211"/>
      <c r="K71" s="2211"/>
      <c r="L71" s="2212"/>
      <c r="M71" s="2213"/>
      <c r="N71" s="2213"/>
      <c r="O71" s="2213"/>
      <c r="P71" s="2344"/>
      <c r="Q71" s="2299"/>
      <c r="R71" s="2301"/>
      <c r="S71" s="2217" t="str">
        <f>INDEX(PT_DIFFERENTIATION_NUM_NTAR,MATCH(A71,PT_DIFFERENTIATION_NTAR_ID,0))</f>
        <v>3</v>
      </c>
      <c r="T71" s="2345" t="s">
        <v>127</v>
      </c>
      <c r="U71" s="2219"/>
      <c r="V71" s="5300"/>
      <c r="W71" s="5301"/>
      <c r="X71" s="5301"/>
      <c r="Y71" s="5301"/>
      <c r="Z71" s="5301"/>
      <c r="AA71" s="5301"/>
      <c r="AB71" s="5301"/>
      <c r="AC71" s="5302"/>
      <c r="AD71" s="5300" t="str">
        <f>INDEX(PT_DIFFERENTIATION_NTAR,MATCH(A71,PT_DIFFERENTIATION_NTAR_ID,0))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E71" s="5301"/>
      <c r="AF71" s="5301"/>
      <c r="AG71" s="5301"/>
      <c r="AH71" s="5301"/>
      <c r="AI71" s="5301"/>
      <c r="AJ71" s="5301"/>
      <c r="AK71" s="5301"/>
      <c r="AL71" s="5300"/>
      <c r="AM71" s="5301"/>
      <c r="AN71" s="5301"/>
      <c r="AO71" s="5301"/>
      <c r="AP71" s="5301"/>
      <c r="AQ71" s="5301"/>
      <c r="AR71" s="5301"/>
      <c r="AS71" s="5302"/>
      <c r="AT71" s="5302"/>
      <c r="AU71" s="2220" t="s">
        <v>515</v>
      </c>
      <c r="AV71" s="2182"/>
      <c r="AW71" s="2221"/>
      <c r="AX71" s="2221" t="str">
        <f t="shared" si="1"/>
        <v>Наименование тарифа</v>
      </c>
      <c r="AY71" s="2221"/>
      <c r="AZ71" s="2221"/>
    </row>
    <row r="72" spans="1:52" s="3298" customFormat="1" ht="21" customHeight="1">
      <c r="A72" s="2211"/>
      <c r="B72" s="2211" t="s">
        <v>233</v>
      </c>
      <c r="C72" s="2211"/>
      <c r="D72" s="2211"/>
      <c r="E72" s="5315" t="s">
        <v>98</v>
      </c>
      <c r="F72" s="5314">
        <v>1</v>
      </c>
      <c r="G72" s="2211"/>
      <c r="H72" s="2211"/>
      <c r="I72" s="2211"/>
      <c r="J72" s="2211"/>
      <c r="K72" s="2211"/>
      <c r="L72" s="2212"/>
      <c r="M72" s="2213"/>
      <c r="N72" s="2213"/>
      <c r="O72" s="2213"/>
      <c r="P72" s="2214"/>
      <c r="Q72" s="2215"/>
      <c r="R72" s="2216"/>
      <c r="S72" s="2217" t="str">
        <f>INDEX(PT_DIFFERENTIATION_NUM_TER,MATCH(B72,PT_DIFFERENTIATION_TER_ID,0))</f>
        <v>3.1</v>
      </c>
      <c r="T72" s="2218" t="s">
        <v>516</v>
      </c>
      <c r="U72" s="2219"/>
      <c r="V72" s="5300"/>
      <c r="W72" s="5301"/>
      <c r="X72" s="5301"/>
      <c r="Y72" s="5301"/>
      <c r="Z72" s="5301"/>
      <c r="AA72" s="5301"/>
      <c r="AB72" s="5301"/>
      <c r="AC72" s="5302"/>
      <c r="AD72" s="5300" t="str">
        <f>INDEX(PT_DIFFERENTIATION_TER,MATCH(B72,PT_DIFFERENTIATION_TER_ID,0))</f>
        <v>Территория 3</v>
      </c>
      <c r="AE72" s="5301"/>
      <c r="AF72" s="5301"/>
      <c r="AG72" s="5301"/>
      <c r="AH72" s="5301"/>
      <c r="AI72" s="5301"/>
      <c r="AJ72" s="5301"/>
      <c r="AK72" s="5301"/>
      <c r="AL72" s="5300"/>
      <c r="AM72" s="5301"/>
      <c r="AN72" s="5301"/>
      <c r="AO72" s="5301"/>
      <c r="AP72" s="5301"/>
      <c r="AQ72" s="5301"/>
      <c r="AR72" s="5301"/>
      <c r="AS72" s="5302"/>
      <c r="AT72" s="5302"/>
      <c r="AU72" s="2220" t="s">
        <v>517</v>
      </c>
      <c r="AV72" s="2182"/>
      <c r="AW72" s="2221"/>
      <c r="AX72" s="2221" t="str">
        <f t="shared" si="1"/>
        <v>Территория действия тарифа</v>
      </c>
      <c r="AY72" s="2221"/>
      <c r="AZ72" s="2221"/>
    </row>
    <row r="73" spans="1:52" s="3299" customFormat="1" ht="23.25" customHeight="1">
      <c r="A73" s="2211"/>
      <c r="B73" s="2211"/>
      <c r="C73" s="2211" t="s">
        <v>234</v>
      </c>
      <c r="D73" s="2211"/>
      <c r="E73" s="5315" t="s">
        <v>98</v>
      </c>
      <c r="F73" s="5315"/>
      <c r="G73" s="5314">
        <v>1</v>
      </c>
      <c r="H73" s="2211"/>
      <c r="I73" s="2211"/>
      <c r="J73" s="2211"/>
      <c r="K73" s="2211"/>
      <c r="L73" s="2212"/>
      <c r="M73" s="2213"/>
      <c r="N73" s="2213"/>
      <c r="O73" s="2213"/>
      <c r="P73" s="2223"/>
      <c r="Q73" s="2215"/>
      <c r="R73" s="2216"/>
      <c r="S73" s="2217" t="str">
        <f>INDEX(PT_DIFFERENTIATION_NUM_CS,MATCH(C73,PT_DIFFERENTIATION_CS_ID,0))</f>
        <v>3.1.1</v>
      </c>
      <c r="T73" s="2224" t="s">
        <v>518</v>
      </c>
      <c r="U73" s="2219"/>
      <c r="V73" s="5300"/>
      <c r="W73" s="5301"/>
      <c r="X73" s="5301"/>
      <c r="Y73" s="5301"/>
      <c r="Z73" s="5301"/>
      <c r="AA73" s="5301"/>
      <c r="AB73" s="5301"/>
      <c r="AC73" s="5302"/>
      <c r="AD73" s="5300" t="str">
        <f>INDEX(PT_DIFFERENTIATION_CS,MATCH(C73,PT_DIFFERENTIATION_CS_ID,0))</f>
        <v>закрытая система теплоснабжения нп Раякоски</v>
      </c>
      <c r="AE73" s="5301"/>
      <c r="AF73" s="5301"/>
      <c r="AG73" s="5301"/>
      <c r="AH73" s="5301"/>
      <c r="AI73" s="5301"/>
      <c r="AJ73" s="5301"/>
      <c r="AK73" s="5301"/>
      <c r="AL73" s="5300"/>
      <c r="AM73" s="5301"/>
      <c r="AN73" s="5301"/>
      <c r="AO73" s="5301"/>
      <c r="AP73" s="5301"/>
      <c r="AQ73" s="5301"/>
      <c r="AR73" s="5301"/>
      <c r="AS73" s="5302"/>
      <c r="AT73" s="5302"/>
      <c r="AU73" s="2220" t="s">
        <v>519</v>
      </c>
      <c r="AV73" s="2182"/>
      <c r="AW73" s="2221"/>
      <c r="AX73" s="2221" t="str">
        <f t="shared" si="1"/>
        <v xml:space="preserve">Наименование системы теплоснабжения </v>
      </c>
      <c r="AY73" s="2221"/>
      <c r="AZ73" s="2221"/>
    </row>
    <row r="74" spans="1:52" s="3300" customFormat="1" ht="21" customHeight="1">
      <c r="A74" s="2211"/>
      <c r="B74" s="2211"/>
      <c r="C74" s="2211"/>
      <c r="D74" s="2211" t="s">
        <v>235</v>
      </c>
      <c r="E74" s="5315" t="s">
        <v>98</v>
      </c>
      <c r="F74" s="5315"/>
      <c r="G74" s="5315"/>
      <c r="H74" s="5314">
        <v>1</v>
      </c>
      <c r="I74" s="2211"/>
      <c r="J74" s="2211"/>
      <c r="K74" s="2211"/>
      <c r="L74" s="2212"/>
      <c r="M74" s="2213"/>
      <c r="N74" s="2213"/>
      <c r="O74" s="2213"/>
      <c r="P74" s="2223"/>
      <c r="Q74" s="2215"/>
      <c r="R74" s="2216"/>
      <c r="S74" s="2217" t="str">
        <f>INDEX(PT_DIFFERENTIATION_NUM_IST_TE,MATCH(D74,PT_DIFFERENTIATION_IST_TE_ID,0))</f>
        <v>3.1.1.1</v>
      </c>
      <c r="T74" s="2226" t="s">
        <v>520</v>
      </c>
      <c r="U74" s="2219"/>
      <c r="V74" s="5300"/>
      <c r="W74" s="5301"/>
      <c r="X74" s="5301"/>
      <c r="Y74" s="5301"/>
      <c r="Z74" s="5301"/>
      <c r="AA74" s="5301"/>
      <c r="AB74" s="5301"/>
      <c r="AC74" s="5302"/>
      <c r="AD74" s="5300" t="str">
        <f>INDEX(PT_DIFFERENTIATION_IST_TE,MATCH(D74,PT_DIFFERENTIATION_IST_TE_ID,0))</f>
        <v>Электрокотельные нп Раякоски</v>
      </c>
      <c r="AE74" s="5301"/>
      <c r="AF74" s="5301"/>
      <c r="AG74" s="5301"/>
      <c r="AH74" s="5301"/>
      <c r="AI74" s="5301"/>
      <c r="AJ74" s="5301"/>
      <c r="AK74" s="5301"/>
      <c r="AL74" s="5300"/>
      <c r="AM74" s="5301"/>
      <c r="AN74" s="5301"/>
      <c r="AO74" s="5301"/>
      <c r="AP74" s="5301"/>
      <c r="AQ74" s="5301"/>
      <c r="AR74" s="5301"/>
      <c r="AS74" s="5302"/>
      <c r="AT74" s="5302"/>
      <c r="AU74" s="2220" t="s">
        <v>521</v>
      </c>
      <c r="AV74" s="2182"/>
      <c r="AW74" s="2221"/>
      <c r="AX74" s="2221" t="str">
        <f t="shared" si="1"/>
        <v xml:space="preserve">Источник тепловой энергии  </v>
      </c>
      <c r="AY74" s="2221"/>
      <c r="AZ74" s="2221"/>
    </row>
    <row r="75" spans="1:52" s="3301" customFormat="1" ht="47.25" customHeight="1">
      <c r="A75" s="2211"/>
      <c r="B75" s="2211"/>
      <c r="C75" s="2211"/>
      <c r="D75" s="2211"/>
      <c r="E75" s="5315" t="s">
        <v>98</v>
      </c>
      <c r="F75" s="5315"/>
      <c r="G75" s="5315"/>
      <c r="H75" s="5315"/>
      <c r="I75" s="5312" t="str">
        <f>S74&amp;".1"</f>
        <v>3.1.1.1.1</v>
      </c>
      <c r="J75" s="2211"/>
      <c r="K75" s="2211"/>
      <c r="L75" s="2212" t="s">
        <v>522</v>
      </c>
      <c r="M75" s="2174"/>
      <c r="N75" s="2228"/>
      <c r="O75" s="2228"/>
      <c r="P75" s="5313">
        <v>1</v>
      </c>
      <c r="Q75" s="2229"/>
      <c r="R75" s="2230"/>
      <c r="S75" s="2217" t="str">
        <f>$I75</f>
        <v>3.1.1.1.1</v>
      </c>
      <c r="T75" s="2231" t="s">
        <v>523</v>
      </c>
      <c r="U75" s="2219"/>
      <c r="V75" s="5303"/>
      <c r="W75" s="5304"/>
      <c r="X75" s="5304"/>
      <c r="Y75" s="5304"/>
      <c r="Z75" s="5304"/>
      <c r="AA75" s="5304"/>
      <c r="AB75" s="5304"/>
      <c r="AC75" s="5305"/>
      <c r="AD75" s="5303" t="s">
        <v>565</v>
      </c>
      <c r="AE75" s="5304"/>
      <c r="AF75" s="5304"/>
      <c r="AG75" s="5304"/>
      <c r="AH75" s="5304"/>
      <c r="AI75" s="5304"/>
      <c r="AJ75" s="5304"/>
      <c r="AK75" s="5304"/>
      <c r="AL75" s="5303"/>
      <c r="AM75" s="5304"/>
      <c r="AN75" s="5304"/>
      <c r="AO75" s="5304"/>
      <c r="AP75" s="5304"/>
      <c r="AQ75" s="5304"/>
      <c r="AR75" s="5304"/>
      <c r="AS75" s="5305"/>
      <c r="AT75" s="5305"/>
      <c r="AU75" s="2220" t="s">
        <v>524</v>
      </c>
      <c r="AV75" s="2182"/>
      <c r="AW75" s="2221"/>
      <c r="AX75" s="2221" t="str">
        <f t="shared" ref="AX75:AX106" si="2">IF(T75="","",T75)</f>
        <v>Схема подключения теплопотребляющей установки к коллектору источника тепловой энергии</v>
      </c>
      <c r="AY75" s="2221"/>
      <c r="AZ75" s="2221"/>
    </row>
    <row r="76" spans="1:52" s="3302" customFormat="1" ht="21" customHeight="1">
      <c r="A76" s="2211"/>
      <c r="B76" s="2211"/>
      <c r="C76" s="2211"/>
      <c r="D76" s="2211"/>
      <c r="E76" s="5315" t="s">
        <v>98</v>
      </c>
      <c r="F76" s="5315"/>
      <c r="G76" s="5315"/>
      <c r="H76" s="5315"/>
      <c r="I76" s="5335"/>
      <c r="J76" s="5312" t="str">
        <f>I75&amp;".1"</f>
        <v>3.1.1.1.1.1</v>
      </c>
      <c r="K76" s="2211"/>
      <c r="L76" s="2212" t="s">
        <v>525</v>
      </c>
      <c r="M76" s="2174"/>
      <c r="N76" s="2174"/>
      <c r="O76" s="2228"/>
      <c r="P76" s="5313"/>
      <c r="Q76" s="5313">
        <v>1</v>
      </c>
      <c r="R76" s="2233"/>
      <c r="S76" s="2217" t="str">
        <f>$J76</f>
        <v>3.1.1.1.1.1</v>
      </c>
      <c r="T76" s="2234" t="s">
        <v>526</v>
      </c>
      <c r="U76" s="2219"/>
      <c r="V76" s="5303"/>
      <c r="W76" s="5304"/>
      <c r="X76" s="5304"/>
      <c r="Y76" s="5304"/>
      <c r="Z76" s="5304"/>
      <c r="AA76" s="5304"/>
      <c r="AB76" s="5304"/>
      <c r="AC76" s="5305"/>
      <c r="AD76" s="5303" t="s">
        <v>569</v>
      </c>
      <c r="AE76" s="5304"/>
      <c r="AF76" s="5304"/>
      <c r="AG76" s="5304"/>
      <c r="AH76" s="5304"/>
      <c r="AI76" s="5304"/>
      <c r="AJ76" s="5304"/>
      <c r="AK76" s="5304"/>
      <c r="AL76" s="5303"/>
      <c r="AM76" s="5304"/>
      <c r="AN76" s="5304"/>
      <c r="AO76" s="5304"/>
      <c r="AP76" s="5304"/>
      <c r="AQ76" s="5304"/>
      <c r="AR76" s="5304"/>
      <c r="AS76" s="5305"/>
      <c r="AT76" s="5305"/>
      <c r="AU76" s="2220" t="s">
        <v>527</v>
      </c>
      <c r="AV76" s="2182"/>
      <c r="AW76" s="2221"/>
      <c r="AX76" s="2221" t="str">
        <f t="shared" si="2"/>
        <v>Группа потребителей</v>
      </c>
      <c r="AY76" s="2221"/>
      <c r="AZ76" s="2221"/>
    </row>
    <row r="77" spans="1:52" s="3303" customFormat="1" ht="21" customHeight="1">
      <c r="A77" s="2211"/>
      <c r="B77" s="2211"/>
      <c r="C77" s="2211"/>
      <c r="D77" s="2211"/>
      <c r="E77" s="5315" t="s">
        <v>98</v>
      </c>
      <c r="F77" s="5315"/>
      <c r="G77" s="5315"/>
      <c r="H77" s="5315"/>
      <c r="I77" s="5335"/>
      <c r="J77" s="5335"/>
      <c r="K77" s="5312" t="str">
        <f>J76&amp;".1"</f>
        <v>3.1.1.1.1.1.1</v>
      </c>
      <c r="L77" s="2212" t="s">
        <v>528</v>
      </c>
      <c r="M77" s="2174"/>
      <c r="N77" s="2174"/>
      <c r="O77" s="2174"/>
      <c r="P77" s="5313"/>
      <c r="Q77" s="5313"/>
      <c r="R77" s="2233">
        <v>1</v>
      </c>
      <c r="S77" s="2217" t="str">
        <f>$K77</f>
        <v>3.1.1.1.1.1.1</v>
      </c>
      <c r="T77" s="2236" t="s">
        <v>566</v>
      </c>
      <c r="U77" s="2219"/>
      <c r="V77" s="2139"/>
      <c r="W77" s="2140"/>
      <c r="X77" s="2139"/>
      <c r="Y77" s="2141"/>
      <c r="Z77" s="5317"/>
      <c r="AA77" s="5161" t="s">
        <v>62</v>
      </c>
      <c r="AB77" s="5317"/>
      <c r="AC77" s="5161" t="s">
        <v>62</v>
      </c>
      <c r="AD77" s="2139">
        <v>11763.06</v>
      </c>
      <c r="AE77" s="2140"/>
      <c r="AF77" s="2139"/>
      <c r="AG77" s="2141"/>
      <c r="AH77" s="5317">
        <v>45658.568206018521</v>
      </c>
      <c r="AI77" s="5161" t="s">
        <v>62</v>
      </c>
      <c r="AJ77" s="5317">
        <v>45838.568252314813</v>
      </c>
      <c r="AK77" s="5161" t="s">
        <v>62</v>
      </c>
      <c r="AL77" s="2139">
        <v>13588.29</v>
      </c>
      <c r="AM77" s="2140"/>
      <c r="AN77" s="2139"/>
      <c r="AO77" s="2141"/>
      <c r="AP77" s="5317">
        <v>45839.568344907406</v>
      </c>
      <c r="AQ77" s="5161" t="s">
        <v>62</v>
      </c>
      <c r="AR77" s="5317">
        <v>46022.568402777775</v>
      </c>
      <c r="AS77" s="5161" t="s">
        <v>62</v>
      </c>
      <c r="AT77" s="2140"/>
      <c r="AU77" s="5309" t="s">
        <v>529</v>
      </c>
      <c r="AV77" s="2182" t="e">
        <f ca="1">STRCHECKDATE(V78:AT78)</f>
        <v>#NAME?</v>
      </c>
      <c r="AW77" s="2221"/>
      <c r="AX77" s="2221" t="str">
        <f t="shared" si="2"/>
        <v>вода</v>
      </c>
      <c r="AY77" s="2221"/>
      <c r="AZ77" s="2221"/>
    </row>
    <row r="78" spans="1:52" s="3304" customFormat="1" ht="0.75" customHeight="1">
      <c r="A78" s="2211"/>
      <c r="B78" s="2211"/>
      <c r="C78" s="2211"/>
      <c r="D78" s="2211"/>
      <c r="E78" s="5315" t="s">
        <v>98</v>
      </c>
      <c r="F78" s="5315"/>
      <c r="G78" s="5315"/>
      <c r="H78" s="5315"/>
      <c r="I78" s="5335"/>
      <c r="J78" s="5335"/>
      <c r="K78" s="5312"/>
      <c r="L78" s="2212"/>
      <c r="M78" s="2174"/>
      <c r="N78" s="2174"/>
      <c r="O78" s="2174"/>
      <c r="P78" s="5313"/>
      <c r="Q78" s="5313"/>
      <c r="R78" s="2233"/>
      <c r="S78" s="2238"/>
      <c r="T78" s="2219"/>
      <c r="U78" s="2219"/>
      <c r="V78" s="2140"/>
      <c r="W78" s="2140"/>
      <c r="X78" s="2140"/>
      <c r="Y78" s="2142" t="str">
        <f>Z77&amp;"-"&amp;AB77</f>
        <v>-</v>
      </c>
      <c r="Z78" s="5318"/>
      <c r="AA78" s="5161"/>
      <c r="AB78" s="5318"/>
      <c r="AC78" s="5161"/>
      <c r="AD78" s="2140"/>
      <c r="AE78" s="2140"/>
      <c r="AF78" s="2140"/>
      <c r="AG78" s="2142" t="str">
        <f>AH77&amp;"-"&amp;AJ77</f>
        <v>45658,5682060185-45838,5682523148</v>
      </c>
      <c r="AH78" s="5318"/>
      <c r="AI78" s="5161"/>
      <c r="AJ78" s="5318"/>
      <c r="AK78" s="5161"/>
      <c r="AL78" s="2140"/>
      <c r="AM78" s="2140"/>
      <c r="AN78" s="2140"/>
      <c r="AO78" s="2142" t="str">
        <f>AP77&amp;"-"&amp;AR77</f>
        <v>45839,5683449074-46022,5684027778</v>
      </c>
      <c r="AP78" s="5318"/>
      <c r="AQ78" s="5161"/>
      <c r="AR78" s="5318"/>
      <c r="AS78" s="5161"/>
      <c r="AT78" s="2140"/>
      <c r="AU78" s="5310"/>
      <c r="AV78" s="2182"/>
      <c r="AW78" s="2221"/>
      <c r="AX78" s="2221" t="str">
        <f t="shared" si="2"/>
        <v/>
      </c>
      <c r="AY78" s="2221"/>
      <c r="AZ78" s="2221"/>
    </row>
    <row r="79" spans="1:52" s="3305" customFormat="1" ht="15" customHeight="1">
      <c r="A79" s="2211"/>
      <c r="B79" s="2211"/>
      <c r="C79" s="2211"/>
      <c r="D79" s="2211"/>
      <c r="E79" s="5315" t="s">
        <v>98</v>
      </c>
      <c r="F79" s="5315"/>
      <c r="G79" s="5315"/>
      <c r="H79" s="5315"/>
      <c r="I79" s="5335"/>
      <c r="J79" s="5312"/>
      <c r="K79" s="2211"/>
      <c r="L79" s="2212"/>
      <c r="M79" s="2174"/>
      <c r="N79" s="2174"/>
      <c r="O79" s="2228"/>
      <c r="P79" s="5313"/>
      <c r="Q79" s="5313"/>
      <c r="R79" s="2230"/>
      <c r="S79" s="3306"/>
      <c r="T79" s="3307" t="s">
        <v>530</v>
      </c>
      <c r="U79" s="3308"/>
      <c r="V79" s="3309"/>
      <c r="W79" s="3310"/>
      <c r="X79" s="3311"/>
      <c r="Y79" s="3312"/>
      <c r="Z79" s="3313"/>
      <c r="AA79" s="3314"/>
      <c r="AB79" s="3315"/>
      <c r="AC79" s="3316"/>
      <c r="AD79" s="3317"/>
      <c r="AE79" s="3318"/>
      <c r="AF79" s="3319"/>
      <c r="AG79" s="3320"/>
      <c r="AH79" s="3321"/>
      <c r="AI79" s="3322"/>
      <c r="AJ79" s="3323"/>
      <c r="AK79" s="3324"/>
      <c r="AL79" s="3325"/>
      <c r="AM79" s="3326"/>
      <c r="AN79" s="3327"/>
      <c r="AO79" s="3328"/>
      <c r="AP79" s="3329"/>
      <c r="AQ79" s="3330"/>
      <c r="AR79" s="3331"/>
      <c r="AS79" s="3332"/>
      <c r="AT79" s="3333"/>
      <c r="AU79" s="5311"/>
      <c r="AV79" s="2182"/>
      <c r="AW79" s="2221"/>
      <c r="AX79" s="2221" t="str">
        <f t="shared" si="2"/>
        <v>Добавить вид теплоносителя (параметры теплоносителя)</v>
      </c>
      <c r="AY79" s="2221"/>
      <c r="AZ79" s="2221"/>
    </row>
    <row r="80" spans="1:52" s="3334" customFormat="1" ht="15" customHeight="1">
      <c r="A80" s="2211"/>
      <c r="B80" s="2211"/>
      <c r="C80" s="2211"/>
      <c r="D80" s="2211"/>
      <c r="E80" s="5315" t="s">
        <v>98</v>
      </c>
      <c r="F80" s="5315"/>
      <c r="G80" s="5315"/>
      <c r="H80" s="5315"/>
      <c r="I80" s="5312"/>
      <c r="J80" s="2211"/>
      <c r="K80" s="2211"/>
      <c r="L80" s="2212"/>
      <c r="M80" s="2174"/>
      <c r="N80" s="2228"/>
      <c r="O80" s="2228"/>
      <c r="P80" s="5313"/>
      <c r="Q80" s="2229"/>
      <c r="R80" s="2230"/>
      <c r="S80" s="3335"/>
      <c r="T80" s="3336" t="s">
        <v>531</v>
      </c>
      <c r="U80" s="3337"/>
      <c r="V80" s="3338"/>
      <c r="W80" s="3339"/>
      <c r="X80" s="3340"/>
      <c r="Y80" s="3341"/>
      <c r="Z80" s="3342"/>
      <c r="AA80" s="3343"/>
      <c r="AB80" s="3344"/>
      <c r="AC80" s="3345"/>
      <c r="AD80" s="3346"/>
      <c r="AE80" s="3347"/>
      <c r="AF80" s="3348"/>
      <c r="AG80" s="3349"/>
      <c r="AH80" s="3350"/>
      <c r="AI80" s="3351"/>
      <c r="AJ80" s="3352"/>
      <c r="AK80" s="3353"/>
      <c r="AL80" s="3354"/>
      <c r="AM80" s="3355"/>
      <c r="AN80" s="3356"/>
      <c r="AO80" s="3357"/>
      <c r="AP80" s="3358"/>
      <c r="AQ80" s="3359"/>
      <c r="AR80" s="3360"/>
      <c r="AS80" s="3361"/>
      <c r="AT80" s="3362"/>
      <c r="AU80" s="3363"/>
      <c r="AV80" s="2182"/>
      <c r="AW80" s="2221"/>
      <c r="AX80" s="2221" t="str">
        <f t="shared" si="2"/>
        <v>Добавить группу потребителей</v>
      </c>
      <c r="AY80" s="2221"/>
      <c r="AZ80" s="2221"/>
    </row>
    <row r="81" spans="1:52" s="3364" customFormat="1" ht="14.25" customHeight="1">
      <c r="A81" s="2211"/>
      <c r="B81" s="2211"/>
      <c r="C81" s="2211"/>
      <c r="D81" s="2211"/>
      <c r="E81" s="5315" t="s">
        <v>98</v>
      </c>
      <c r="F81" s="5315"/>
      <c r="G81" s="5315"/>
      <c r="H81" s="5314"/>
      <c r="I81" s="2211"/>
      <c r="J81" s="2211"/>
      <c r="K81" s="2211"/>
      <c r="L81" s="2212"/>
      <c r="M81" s="2213"/>
      <c r="N81" s="2213"/>
      <c r="O81" s="2174"/>
      <c r="P81" s="2299"/>
      <c r="Q81" s="2300"/>
      <c r="R81" s="2301"/>
      <c r="S81" s="3365"/>
      <c r="T81" s="3366" t="s">
        <v>532</v>
      </c>
      <c r="U81" s="3367"/>
      <c r="V81" s="3368"/>
      <c r="W81" s="3369"/>
      <c r="X81" s="3370"/>
      <c r="Y81" s="3371"/>
      <c r="Z81" s="3372"/>
      <c r="AA81" s="3373"/>
      <c r="AB81" s="3374"/>
      <c r="AC81" s="3375"/>
      <c r="AD81" s="3376"/>
      <c r="AE81" s="3377"/>
      <c r="AF81" s="3378"/>
      <c r="AG81" s="3379"/>
      <c r="AH81" s="3380"/>
      <c r="AI81" s="3381"/>
      <c r="AJ81" s="3382"/>
      <c r="AK81" s="3383"/>
      <c r="AL81" s="3384"/>
      <c r="AM81" s="3385"/>
      <c r="AN81" s="3386"/>
      <c r="AO81" s="3387"/>
      <c r="AP81" s="3388"/>
      <c r="AQ81" s="3389"/>
      <c r="AR81" s="3390"/>
      <c r="AS81" s="3391"/>
      <c r="AT81" s="3392"/>
      <c r="AU81" s="3393"/>
      <c r="AV81" s="2182"/>
      <c r="AW81" s="2221"/>
      <c r="AX81" s="2221" t="str">
        <f t="shared" si="2"/>
        <v>Добавить схему подключения</v>
      </c>
      <c r="AY81" s="2221"/>
      <c r="AZ81" s="2221"/>
    </row>
    <row r="82" spans="1:52" s="3394" customFormat="1" ht="0.75" customHeight="1">
      <c r="A82" s="2332"/>
      <c r="B82" s="2332"/>
      <c r="C82" s="2332"/>
      <c r="D82" s="2332"/>
      <c r="E82" s="5315" t="s">
        <v>98</v>
      </c>
      <c r="F82" s="5315"/>
      <c r="G82" s="5314"/>
      <c r="H82" s="2332"/>
      <c r="I82" s="2332"/>
      <c r="J82" s="2332"/>
      <c r="K82" s="2332"/>
      <c r="L82" s="2333"/>
      <c r="M82" s="2334"/>
      <c r="N82" s="2334"/>
      <c r="O82" s="2182"/>
      <c r="P82" s="2335"/>
      <c r="Q82" s="2336"/>
      <c r="R82" s="2335"/>
      <c r="S82" s="2337"/>
      <c r="T82" s="2338" t="s">
        <v>168</v>
      </c>
      <c r="U82" s="2168"/>
      <c r="V82" s="2168"/>
      <c r="W82" s="2168"/>
      <c r="X82" s="2168"/>
      <c r="Y82" s="2168"/>
      <c r="Z82" s="2168"/>
      <c r="AA82" s="2168"/>
      <c r="AB82" s="2168"/>
      <c r="AC82" s="2168"/>
      <c r="AD82" s="2168"/>
      <c r="AE82" s="2168"/>
      <c r="AF82" s="2168"/>
      <c r="AG82" s="2168"/>
      <c r="AH82" s="2168"/>
      <c r="AI82" s="2168"/>
      <c r="AJ82" s="2168"/>
      <c r="AK82" s="2168"/>
      <c r="AL82" s="2168"/>
      <c r="AM82" s="2168"/>
      <c r="AN82" s="2168"/>
      <c r="AO82" s="2168"/>
      <c r="AP82" s="2168"/>
      <c r="AQ82" s="2168"/>
      <c r="AR82" s="2168"/>
      <c r="AS82" s="2168"/>
      <c r="AT82" s="2168"/>
      <c r="AU82" s="2168"/>
      <c r="AV82" s="2182"/>
      <c r="AW82" s="2221"/>
      <c r="AX82" s="2221" t="str">
        <f t="shared" si="2"/>
        <v>Добавить источник для дифференциации</v>
      </c>
      <c r="AY82" s="2221"/>
      <c r="AZ82" s="2221"/>
    </row>
    <row r="83" spans="1:52" s="3395" customFormat="1" ht="0.75" customHeight="1">
      <c r="A83" s="2332"/>
      <c r="B83" s="2332"/>
      <c r="C83" s="2332"/>
      <c r="D83" s="2332"/>
      <c r="E83" s="5315" t="s">
        <v>98</v>
      </c>
      <c r="F83" s="5314"/>
      <c r="G83" s="2332"/>
      <c r="H83" s="2332"/>
      <c r="I83" s="2332"/>
      <c r="J83" s="2332"/>
      <c r="K83" s="2332"/>
      <c r="L83" s="2333"/>
      <c r="M83" s="2340"/>
      <c r="N83" s="2340"/>
      <c r="O83" s="2182"/>
      <c r="P83" s="2335"/>
      <c r="Q83" s="2336"/>
      <c r="R83" s="2335"/>
      <c r="S83" s="2341"/>
      <c r="T83" s="2342" t="s">
        <v>169</v>
      </c>
      <c r="U83" s="2169"/>
      <c r="V83" s="2169"/>
      <c r="W83" s="2169"/>
      <c r="X83" s="2169"/>
      <c r="Y83" s="2169"/>
      <c r="Z83" s="2169"/>
      <c r="AA83" s="2169"/>
      <c r="AB83" s="2169"/>
      <c r="AC83" s="2169"/>
      <c r="AD83" s="2169"/>
      <c r="AE83" s="2169"/>
      <c r="AF83" s="2169"/>
      <c r="AG83" s="2169"/>
      <c r="AH83" s="2169"/>
      <c r="AI83" s="2169"/>
      <c r="AJ83" s="2169"/>
      <c r="AK83" s="2169"/>
      <c r="AL83" s="2169"/>
      <c r="AM83" s="2169"/>
      <c r="AN83" s="2169"/>
      <c r="AO83" s="2169"/>
      <c r="AP83" s="2169"/>
      <c r="AQ83" s="2169"/>
      <c r="AR83" s="2169"/>
      <c r="AS83" s="2169"/>
      <c r="AT83" s="2169"/>
      <c r="AU83" s="2169"/>
      <c r="AV83" s="2182"/>
      <c r="AW83" s="2221"/>
      <c r="AX83" s="2221" t="str">
        <f t="shared" si="2"/>
        <v>Добавить централизованную систему для дифференциации</v>
      </c>
      <c r="AY83" s="2221"/>
      <c r="AZ83" s="2221"/>
    </row>
    <row r="84" spans="1:52" s="3396" customFormat="1" ht="0.75" customHeight="1">
      <c r="A84" s="2332"/>
      <c r="B84" s="2332"/>
      <c r="C84" s="2332"/>
      <c r="D84" s="2332"/>
      <c r="E84" s="5314" t="s">
        <v>98</v>
      </c>
      <c r="F84" s="2332"/>
      <c r="G84" s="2332"/>
      <c r="H84" s="2332"/>
      <c r="I84" s="2332"/>
      <c r="J84" s="2332"/>
      <c r="K84" s="2332"/>
      <c r="L84" s="2333"/>
      <c r="M84" s="2340"/>
      <c r="N84" s="2340"/>
      <c r="O84" s="2182"/>
      <c r="P84" s="2335"/>
      <c r="Q84" s="2336"/>
      <c r="R84" s="2335"/>
      <c r="S84" s="2341"/>
      <c r="T84" s="2445" t="s">
        <v>174</v>
      </c>
      <c r="U84" s="2169"/>
      <c r="V84" s="2169"/>
      <c r="W84" s="2169"/>
      <c r="X84" s="2169"/>
      <c r="Y84" s="2169"/>
      <c r="Z84" s="2169"/>
      <c r="AA84" s="2169"/>
      <c r="AB84" s="2169"/>
      <c r="AC84" s="2169"/>
      <c r="AD84" s="2169"/>
      <c r="AE84" s="2169"/>
      <c r="AF84" s="2169"/>
      <c r="AG84" s="2169"/>
      <c r="AH84" s="2169"/>
      <c r="AI84" s="2169"/>
      <c r="AJ84" s="2169"/>
      <c r="AK84" s="2169"/>
      <c r="AL84" s="2169"/>
      <c r="AM84" s="2169"/>
      <c r="AN84" s="2169"/>
      <c r="AO84" s="2169"/>
      <c r="AP84" s="2169"/>
      <c r="AQ84" s="2169"/>
      <c r="AR84" s="2169"/>
      <c r="AS84" s="2169"/>
      <c r="AT84" s="2169"/>
      <c r="AU84" s="2169"/>
      <c r="AV84" s="2182"/>
      <c r="AW84" s="2221"/>
      <c r="AX84" s="2221" t="str">
        <f t="shared" si="2"/>
        <v>Добавить территорию для дифференциации</v>
      </c>
      <c r="AY84" s="2221"/>
      <c r="AZ84" s="2221"/>
    </row>
    <row r="85" spans="1:52" s="3397" customFormat="1" ht="21" customHeight="1">
      <c r="A85" s="2211" t="s">
        <v>237</v>
      </c>
      <c r="B85" s="2211"/>
      <c r="C85" s="2211"/>
      <c r="D85" s="2211"/>
      <c r="E85" s="5314" t="s">
        <v>86</v>
      </c>
      <c r="F85" s="2211"/>
      <c r="G85" s="2211"/>
      <c r="H85" s="2211"/>
      <c r="I85" s="2211"/>
      <c r="J85" s="2211"/>
      <c r="K85" s="2211"/>
      <c r="L85" s="2212"/>
      <c r="M85" s="2213"/>
      <c r="N85" s="2213"/>
      <c r="O85" s="2213"/>
      <c r="P85" s="2344"/>
      <c r="Q85" s="2299"/>
      <c r="R85" s="2301"/>
      <c r="S85" s="2217" t="str">
        <f>INDEX(PT_DIFFERENTIATION_NUM_NTAR,MATCH(A85,PT_DIFFERENTIATION_NTAR_ID,0))</f>
        <v>4</v>
      </c>
      <c r="T85" s="2345" t="s">
        <v>127</v>
      </c>
      <c r="U85" s="2219"/>
      <c r="V85" s="5300"/>
      <c r="W85" s="5301"/>
      <c r="X85" s="5301"/>
      <c r="Y85" s="5301"/>
      <c r="Z85" s="5301"/>
      <c r="AA85" s="5301"/>
      <c r="AB85" s="5301"/>
      <c r="AC85" s="5302"/>
      <c r="AD85" s="5300" t="str">
        <f>INDEX(PT_DIFFERENTIATION_NTAR,MATCH(A85,PT_DIFFERENTIATION_NTAR_ID,0))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E85" s="5301"/>
      <c r="AF85" s="5301"/>
      <c r="AG85" s="5301"/>
      <c r="AH85" s="5301"/>
      <c r="AI85" s="5301"/>
      <c r="AJ85" s="5301"/>
      <c r="AK85" s="5301"/>
      <c r="AL85" s="5300"/>
      <c r="AM85" s="5301"/>
      <c r="AN85" s="5301"/>
      <c r="AO85" s="5301"/>
      <c r="AP85" s="5301"/>
      <c r="AQ85" s="5301"/>
      <c r="AR85" s="5301"/>
      <c r="AS85" s="5302"/>
      <c r="AT85" s="5302"/>
      <c r="AU85" s="2220" t="s">
        <v>515</v>
      </c>
      <c r="AV85" s="2182"/>
      <c r="AW85" s="2221"/>
      <c r="AX85" s="2221" t="str">
        <f t="shared" si="2"/>
        <v>Наименование тарифа</v>
      </c>
      <c r="AY85" s="2221"/>
      <c r="AZ85" s="2221"/>
    </row>
    <row r="86" spans="1:52" s="3398" customFormat="1" ht="21" customHeight="1">
      <c r="A86" s="2211"/>
      <c r="B86" s="2211" t="s">
        <v>238</v>
      </c>
      <c r="C86" s="2211"/>
      <c r="D86" s="2211"/>
      <c r="E86" s="5315" t="s">
        <v>85</v>
      </c>
      <c r="F86" s="5314">
        <v>1</v>
      </c>
      <c r="G86" s="2211"/>
      <c r="H86" s="2211"/>
      <c r="I86" s="2211"/>
      <c r="J86" s="2211"/>
      <c r="K86" s="2211"/>
      <c r="L86" s="2212"/>
      <c r="M86" s="2213"/>
      <c r="N86" s="2213"/>
      <c r="O86" s="2213"/>
      <c r="P86" s="2214"/>
      <c r="Q86" s="2215"/>
      <c r="R86" s="2216"/>
      <c r="S86" s="2217" t="str">
        <f>INDEX(PT_DIFFERENTIATION_NUM_TER,MATCH(B86,PT_DIFFERENTIATION_TER_ID,0))</f>
        <v>4.1</v>
      </c>
      <c r="T86" s="2218" t="s">
        <v>516</v>
      </c>
      <c r="U86" s="2219"/>
      <c r="V86" s="5300"/>
      <c r="W86" s="5301"/>
      <c r="X86" s="5301"/>
      <c r="Y86" s="5301"/>
      <c r="Z86" s="5301"/>
      <c r="AA86" s="5301"/>
      <c r="AB86" s="5301"/>
      <c r="AC86" s="5302"/>
      <c r="AD86" s="5300" t="str">
        <f>INDEX(PT_DIFFERENTIATION_TER,MATCH(B86,PT_DIFFERENTIATION_TER_ID,0))</f>
        <v>Территория 3</v>
      </c>
      <c r="AE86" s="5301"/>
      <c r="AF86" s="5301"/>
      <c r="AG86" s="5301"/>
      <c r="AH86" s="5301"/>
      <c r="AI86" s="5301"/>
      <c r="AJ86" s="5301"/>
      <c r="AK86" s="5301"/>
      <c r="AL86" s="5300"/>
      <c r="AM86" s="5301"/>
      <c r="AN86" s="5301"/>
      <c r="AO86" s="5301"/>
      <c r="AP86" s="5301"/>
      <c r="AQ86" s="5301"/>
      <c r="AR86" s="5301"/>
      <c r="AS86" s="5302"/>
      <c r="AT86" s="5302"/>
      <c r="AU86" s="2220" t="s">
        <v>517</v>
      </c>
      <c r="AV86" s="2182"/>
      <c r="AW86" s="2221"/>
      <c r="AX86" s="2221" t="str">
        <f t="shared" si="2"/>
        <v>Территория действия тарифа</v>
      </c>
      <c r="AY86" s="2221"/>
      <c r="AZ86" s="2221"/>
    </row>
    <row r="87" spans="1:52" s="3399" customFormat="1" ht="23.25" customHeight="1">
      <c r="A87" s="2211"/>
      <c r="B87" s="2211"/>
      <c r="C87" s="2211" t="s">
        <v>239</v>
      </c>
      <c r="D87" s="2211"/>
      <c r="E87" s="5315" t="s">
        <v>85</v>
      </c>
      <c r="F87" s="5315"/>
      <c r="G87" s="5314">
        <v>1</v>
      </c>
      <c r="H87" s="2211"/>
      <c r="I87" s="2211"/>
      <c r="J87" s="2211"/>
      <c r="K87" s="2211"/>
      <c r="L87" s="2212"/>
      <c r="M87" s="2213"/>
      <c r="N87" s="2213"/>
      <c r="O87" s="2213"/>
      <c r="P87" s="2223"/>
      <c r="Q87" s="2215"/>
      <c r="R87" s="2216"/>
      <c r="S87" s="2217" t="str">
        <f>INDEX(PT_DIFFERENTIATION_NUM_CS,MATCH(C87,PT_DIFFERENTIATION_CS_ID,0))</f>
        <v>4.1.1</v>
      </c>
      <c r="T87" s="2224" t="s">
        <v>518</v>
      </c>
      <c r="U87" s="2219"/>
      <c r="V87" s="5300"/>
      <c r="W87" s="5301"/>
      <c r="X87" s="5301"/>
      <c r="Y87" s="5301"/>
      <c r="Z87" s="5301"/>
      <c r="AA87" s="5301"/>
      <c r="AB87" s="5301"/>
      <c r="AC87" s="5302"/>
      <c r="AD87" s="5300" t="str">
        <f>INDEX(PT_DIFFERENTIATION_CS,MATCH(C87,PT_DIFFERENTIATION_CS_ID,0))</f>
        <v>закрытая система теплоснабжения нп Раякоски</v>
      </c>
      <c r="AE87" s="5301"/>
      <c r="AF87" s="5301"/>
      <c r="AG87" s="5301"/>
      <c r="AH87" s="5301"/>
      <c r="AI87" s="5301"/>
      <c r="AJ87" s="5301"/>
      <c r="AK87" s="5301"/>
      <c r="AL87" s="5300"/>
      <c r="AM87" s="5301"/>
      <c r="AN87" s="5301"/>
      <c r="AO87" s="5301"/>
      <c r="AP87" s="5301"/>
      <c r="AQ87" s="5301"/>
      <c r="AR87" s="5301"/>
      <c r="AS87" s="5302"/>
      <c r="AT87" s="5302"/>
      <c r="AU87" s="2220" t="s">
        <v>519</v>
      </c>
      <c r="AV87" s="2182"/>
      <c r="AW87" s="2221"/>
      <c r="AX87" s="2221" t="str">
        <f t="shared" si="2"/>
        <v xml:space="preserve">Наименование системы теплоснабжения </v>
      </c>
      <c r="AY87" s="2221"/>
      <c r="AZ87" s="2221"/>
    </row>
    <row r="88" spans="1:52" s="3400" customFormat="1" ht="21" customHeight="1">
      <c r="A88" s="2211"/>
      <c r="B88" s="2211"/>
      <c r="C88" s="2211"/>
      <c r="D88" s="2211" t="s">
        <v>240</v>
      </c>
      <c r="E88" s="5315" t="s">
        <v>85</v>
      </c>
      <c r="F88" s="5315"/>
      <c r="G88" s="5315"/>
      <c r="H88" s="5314">
        <v>1</v>
      </c>
      <c r="I88" s="2211"/>
      <c r="J88" s="2211"/>
      <c r="K88" s="2211"/>
      <c r="L88" s="2212"/>
      <c r="M88" s="2213"/>
      <c r="N88" s="2213"/>
      <c r="O88" s="2213"/>
      <c r="P88" s="2223"/>
      <c r="Q88" s="2215"/>
      <c r="R88" s="2216"/>
      <c r="S88" s="2217" t="str">
        <f>INDEX(PT_DIFFERENTIATION_NUM_IST_TE,MATCH(D88,PT_DIFFERENTIATION_IST_TE_ID,0))</f>
        <v>4.1.1.1</v>
      </c>
      <c r="T88" s="2226" t="s">
        <v>520</v>
      </c>
      <c r="U88" s="2219"/>
      <c r="V88" s="5300"/>
      <c r="W88" s="5301"/>
      <c r="X88" s="5301"/>
      <c r="Y88" s="5301"/>
      <c r="Z88" s="5301"/>
      <c r="AA88" s="5301"/>
      <c r="AB88" s="5301"/>
      <c r="AC88" s="5302"/>
      <c r="AD88" s="5300" t="str">
        <f>INDEX(PT_DIFFERENTIATION_IST_TE,MATCH(D88,PT_DIFFERENTIATION_IST_TE_ID,0))</f>
        <v>Электрокотельные нп Раякоски</v>
      </c>
      <c r="AE88" s="5301"/>
      <c r="AF88" s="5301"/>
      <c r="AG88" s="5301"/>
      <c r="AH88" s="5301"/>
      <c r="AI88" s="5301"/>
      <c r="AJ88" s="5301"/>
      <c r="AK88" s="5301"/>
      <c r="AL88" s="5300"/>
      <c r="AM88" s="5301"/>
      <c r="AN88" s="5301"/>
      <c r="AO88" s="5301"/>
      <c r="AP88" s="5301"/>
      <c r="AQ88" s="5301"/>
      <c r="AR88" s="5301"/>
      <c r="AS88" s="5302"/>
      <c r="AT88" s="5302"/>
      <c r="AU88" s="2220" t="s">
        <v>521</v>
      </c>
      <c r="AV88" s="2182"/>
      <c r="AW88" s="2221"/>
      <c r="AX88" s="2221" t="str">
        <f t="shared" si="2"/>
        <v xml:space="preserve">Источник тепловой энергии  </v>
      </c>
      <c r="AY88" s="2221"/>
      <c r="AZ88" s="2221"/>
    </row>
    <row r="89" spans="1:52" s="3401" customFormat="1" ht="47.25" customHeight="1">
      <c r="A89" s="2211"/>
      <c r="B89" s="2211"/>
      <c r="C89" s="2211"/>
      <c r="D89" s="2211"/>
      <c r="E89" s="5315" t="s">
        <v>85</v>
      </c>
      <c r="F89" s="5315"/>
      <c r="G89" s="5315"/>
      <c r="H89" s="5315"/>
      <c r="I89" s="5312" t="str">
        <f>S88&amp;".1"</f>
        <v>4.1.1.1.1</v>
      </c>
      <c r="J89" s="2211"/>
      <c r="K89" s="2211"/>
      <c r="L89" s="2212" t="s">
        <v>522</v>
      </c>
      <c r="M89" s="2174"/>
      <c r="N89" s="2228"/>
      <c r="O89" s="2228"/>
      <c r="P89" s="5313">
        <v>1</v>
      </c>
      <c r="Q89" s="2229"/>
      <c r="R89" s="2230"/>
      <c r="S89" s="2217" t="str">
        <f>$I89</f>
        <v>4.1.1.1.1</v>
      </c>
      <c r="T89" s="2231" t="s">
        <v>523</v>
      </c>
      <c r="U89" s="2219"/>
      <c r="V89" s="5303"/>
      <c r="W89" s="5304"/>
      <c r="X89" s="5304"/>
      <c r="Y89" s="5304"/>
      <c r="Z89" s="5304"/>
      <c r="AA89" s="5304"/>
      <c r="AB89" s="5304"/>
      <c r="AC89" s="5305"/>
      <c r="AD89" s="5303" t="s">
        <v>565</v>
      </c>
      <c r="AE89" s="5304"/>
      <c r="AF89" s="5304"/>
      <c r="AG89" s="5304"/>
      <c r="AH89" s="5304"/>
      <c r="AI89" s="5304"/>
      <c r="AJ89" s="5304"/>
      <c r="AK89" s="5304"/>
      <c r="AL89" s="5303"/>
      <c r="AM89" s="5304"/>
      <c r="AN89" s="5304"/>
      <c r="AO89" s="5304"/>
      <c r="AP89" s="5304"/>
      <c r="AQ89" s="5304"/>
      <c r="AR89" s="5304"/>
      <c r="AS89" s="5305"/>
      <c r="AT89" s="5305"/>
      <c r="AU89" s="2220" t="s">
        <v>524</v>
      </c>
      <c r="AV89" s="2182"/>
      <c r="AW89" s="2221"/>
      <c r="AX89" s="2221" t="str">
        <f t="shared" si="2"/>
        <v>Схема подключения теплопотребляющей установки к коллектору источника тепловой энергии</v>
      </c>
      <c r="AY89" s="2221"/>
      <c r="AZ89" s="2221"/>
    </row>
    <row r="90" spans="1:52" s="3402" customFormat="1" ht="21" customHeight="1">
      <c r="A90" s="2211"/>
      <c r="B90" s="2211"/>
      <c r="C90" s="2211"/>
      <c r="D90" s="2211"/>
      <c r="E90" s="5315" t="s">
        <v>85</v>
      </c>
      <c r="F90" s="5315"/>
      <c r="G90" s="5315"/>
      <c r="H90" s="5315"/>
      <c r="I90" s="5335"/>
      <c r="J90" s="5312" t="str">
        <f>I89&amp;".1"</f>
        <v>4.1.1.1.1.1</v>
      </c>
      <c r="K90" s="2211"/>
      <c r="L90" s="2212" t="s">
        <v>525</v>
      </c>
      <c r="M90" s="2174"/>
      <c r="N90" s="2174"/>
      <c r="O90" s="2228"/>
      <c r="P90" s="5313"/>
      <c r="Q90" s="5313">
        <v>1</v>
      </c>
      <c r="R90" s="2233"/>
      <c r="S90" s="2217" t="str">
        <f>$J90</f>
        <v>4.1.1.1.1.1</v>
      </c>
      <c r="T90" s="2234" t="s">
        <v>526</v>
      </c>
      <c r="U90" s="2219"/>
      <c r="V90" s="5303"/>
      <c r="W90" s="5304"/>
      <c r="X90" s="5304"/>
      <c r="Y90" s="5304"/>
      <c r="Z90" s="5304"/>
      <c r="AA90" s="5304"/>
      <c r="AB90" s="5304"/>
      <c r="AC90" s="5305"/>
      <c r="AD90" s="5303" t="s">
        <v>567</v>
      </c>
      <c r="AE90" s="5304"/>
      <c r="AF90" s="5304"/>
      <c r="AG90" s="5304"/>
      <c r="AH90" s="5304"/>
      <c r="AI90" s="5304"/>
      <c r="AJ90" s="5304"/>
      <c r="AK90" s="5304"/>
      <c r="AL90" s="5303"/>
      <c r="AM90" s="5304"/>
      <c r="AN90" s="5304"/>
      <c r="AO90" s="5304"/>
      <c r="AP90" s="5304"/>
      <c r="AQ90" s="5304"/>
      <c r="AR90" s="5304"/>
      <c r="AS90" s="5305"/>
      <c r="AT90" s="5305"/>
      <c r="AU90" s="2220" t="s">
        <v>527</v>
      </c>
      <c r="AV90" s="2182"/>
      <c r="AW90" s="2221"/>
      <c r="AX90" s="2221" t="str">
        <f t="shared" si="2"/>
        <v>Группа потребителей</v>
      </c>
      <c r="AY90" s="2221"/>
      <c r="AZ90" s="2221"/>
    </row>
    <row r="91" spans="1:52" s="3403" customFormat="1" ht="21" customHeight="1">
      <c r="A91" s="2211"/>
      <c r="B91" s="2211"/>
      <c r="C91" s="2211"/>
      <c r="D91" s="2211"/>
      <c r="E91" s="5315" t="s">
        <v>85</v>
      </c>
      <c r="F91" s="5315"/>
      <c r="G91" s="5315"/>
      <c r="H91" s="5315"/>
      <c r="I91" s="5335"/>
      <c r="J91" s="5335"/>
      <c r="K91" s="5312" t="str">
        <f>J90&amp;".1"</f>
        <v>4.1.1.1.1.1.1</v>
      </c>
      <c r="L91" s="2212" t="s">
        <v>528</v>
      </c>
      <c r="M91" s="2174"/>
      <c r="N91" s="2174"/>
      <c r="O91" s="2174"/>
      <c r="P91" s="5313"/>
      <c r="Q91" s="5313"/>
      <c r="R91" s="2233">
        <v>1</v>
      </c>
      <c r="S91" s="2217" t="str">
        <f>$K91</f>
        <v>4.1.1.1.1.1.1</v>
      </c>
      <c r="T91" s="2236" t="s">
        <v>566</v>
      </c>
      <c r="U91" s="2219"/>
      <c r="V91" s="2139"/>
      <c r="W91" s="2140"/>
      <c r="X91" s="2139"/>
      <c r="Y91" s="2141"/>
      <c r="Z91" s="5317"/>
      <c r="AA91" s="5161" t="s">
        <v>62</v>
      </c>
      <c r="AB91" s="5317"/>
      <c r="AC91" s="5161" t="s">
        <v>62</v>
      </c>
      <c r="AD91" s="2139">
        <v>3331.11</v>
      </c>
      <c r="AE91" s="2140"/>
      <c r="AF91" s="2139"/>
      <c r="AG91" s="2141"/>
      <c r="AH91" s="5317">
        <v>45658.569560185184</v>
      </c>
      <c r="AI91" s="5161" t="s">
        <v>62</v>
      </c>
      <c r="AJ91" s="5317">
        <v>45838.569606481484</v>
      </c>
      <c r="AK91" s="5161" t="s">
        <v>62</v>
      </c>
      <c r="AL91" s="2139">
        <v>3900.74</v>
      </c>
      <c r="AM91" s="2140"/>
      <c r="AN91" s="2139"/>
      <c r="AO91" s="2141"/>
      <c r="AP91" s="5317">
        <v>45839.569780092592</v>
      </c>
      <c r="AQ91" s="5161" t="s">
        <v>62</v>
      </c>
      <c r="AR91" s="5317">
        <v>46022.569861111115</v>
      </c>
      <c r="AS91" s="5161" t="s">
        <v>62</v>
      </c>
      <c r="AT91" s="2140"/>
      <c r="AU91" s="5309" t="s">
        <v>529</v>
      </c>
      <c r="AV91" s="2182" t="e">
        <f ca="1">STRCHECKDATE(V92:AT92)</f>
        <v>#NAME?</v>
      </c>
      <c r="AW91" s="2221"/>
      <c r="AX91" s="2221" t="str">
        <f t="shared" si="2"/>
        <v>вода</v>
      </c>
      <c r="AY91" s="2221"/>
      <c r="AZ91" s="2221"/>
    </row>
    <row r="92" spans="1:52" s="3404" customFormat="1" ht="0.75" customHeight="1">
      <c r="A92" s="2211"/>
      <c r="B92" s="2211"/>
      <c r="C92" s="2211"/>
      <c r="D92" s="2211"/>
      <c r="E92" s="5315" t="s">
        <v>85</v>
      </c>
      <c r="F92" s="5315"/>
      <c r="G92" s="5315"/>
      <c r="H92" s="5315"/>
      <c r="I92" s="5335"/>
      <c r="J92" s="5335"/>
      <c r="K92" s="5312"/>
      <c r="L92" s="2212"/>
      <c r="M92" s="2174"/>
      <c r="N92" s="2174"/>
      <c r="O92" s="2174"/>
      <c r="P92" s="5313"/>
      <c r="Q92" s="5313"/>
      <c r="R92" s="2233"/>
      <c r="S92" s="2238"/>
      <c r="T92" s="2219"/>
      <c r="U92" s="2219"/>
      <c r="V92" s="2140"/>
      <c r="W92" s="2140"/>
      <c r="X92" s="2140"/>
      <c r="Y92" s="2142" t="str">
        <f>Z91&amp;"-"&amp;AB91</f>
        <v>-</v>
      </c>
      <c r="Z92" s="5318"/>
      <c r="AA92" s="5161"/>
      <c r="AB92" s="5318"/>
      <c r="AC92" s="5161"/>
      <c r="AD92" s="2140"/>
      <c r="AE92" s="2140"/>
      <c r="AF92" s="2140"/>
      <c r="AG92" s="2142" t="str">
        <f>AH91&amp;"-"&amp;AJ91</f>
        <v>45658,5695601852-45838,5696064815</v>
      </c>
      <c r="AH92" s="5318"/>
      <c r="AI92" s="5161"/>
      <c r="AJ92" s="5318"/>
      <c r="AK92" s="5161"/>
      <c r="AL92" s="2140"/>
      <c r="AM92" s="2140"/>
      <c r="AN92" s="2140"/>
      <c r="AO92" s="2142" t="str">
        <f>AP91&amp;"-"&amp;AR91</f>
        <v>45839,5697800926-46022,5698611111</v>
      </c>
      <c r="AP92" s="5318"/>
      <c r="AQ92" s="5161"/>
      <c r="AR92" s="5318"/>
      <c r="AS92" s="5161"/>
      <c r="AT92" s="2140"/>
      <c r="AU92" s="5310"/>
      <c r="AV92" s="2182"/>
      <c r="AW92" s="2221"/>
      <c r="AX92" s="2221" t="str">
        <f t="shared" si="2"/>
        <v/>
      </c>
      <c r="AY92" s="2221"/>
      <c r="AZ92" s="2221"/>
    </row>
    <row r="93" spans="1:52" s="3405" customFormat="1" ht="15" customHeight="1">
      <c r="A93" s="2211"/>
      <c r="B93" s="2211"/>
      <c r="C93" s="2211"/>
      <c r="D93" s="2211"/>
      <c r="E93" s="5315" t="s">
        <v>85</v>
      </c>
      <c r="F93" s="5315"/>
      <c r="G93" s="5315"/>
      <c r="H93" s="5315"/>
      <c r="I93" s="5335"/>
      <c r="J93" s="5312"/>
      <c r="K93" s="2211"/>
      <c r="L93" s="2212"/>
      <c r="M93" s="2174"/>
      <c r="N93" s="2174"/>
      <c r="O93" s="2228"/>
      <c r="P93" s="5313"/>
      <c r="Q93" s="5313"/>
      <c r="R93" s="2230"/>
      <c r="S93" s="3406"/>
      <c r="T93" s="3407" t="s">
        <v>530</v>
      </c>
      <c r="U93" s="3408"/>
      <c r="V93" s="3409"/>
      <c r="W93" s="3410"/>
      <c r="X93" s="3411"/>
      <c r="Y93" s="3412"/>
      <c r="Z93" s="3413"/>
      <c r="AA93" s="3414"/>
      <c r="AB93" s="3415"/>
      <c r="AC93" s="3416"/>
      <c r="AD93" s="3417"/>
      <c r="AE93" s="3418"/>
      <c r="AF93" s="3419"/>
      <c r="AG93" s="3420"/>
      <c r="AH93" s="3421"/>
      <c r="AI93" s="3422"/>
      <c r="AJ93" s="3423"/>
      <c r="AK93" s="3424"/>
      <c r="AL93" s="3425"/>
      <c r="AM93" s="3426"/>
      <c r="AN93" s="3427"/>
      <c r="AO93" s="3428"/>
      <c r="AP93" s="3429"/>
      <c r="AQ93" s="3430"/>
      <c r="AR93" s="3431"/>
      <c r="AS93" s="3432"/>
      <c r="AT93" s="3433"/>
      <c r="AU93" s="5311"/>
      <c r="AV93" s="2182"/>
      <c r="AW93" s="2221"/>
      <c r="AX93" s="2221" t="str">
        <f t="shared" si="2"/>
        <v>Добавить вид теплоносителя (параметры теплоносителя)</v>
      </c>
      <c r="AY93" s="2221"/>
      <c r="AZ93" s="2221"/>
    </row>
    <row r="94" spans="1:52" s="3434" customFormat="1" ht="15" customHeight="1">
      <c r="A94" s="2211"/>
      <c r="B94" s="2211"/>
      <c r="C94" s="2211"/>
      <c r="D94" s="2211"/>
      <c r="E94" s="5315" t="s">
        <v>85</v>
      </c>
      <c r="F94" s="5315"/>
      <c r="G94" s="5315"/>
      <c r="H94" s="5315"/>
      <c r="I94" s="5312"/>
      <c r="J94" s="2211"/>
      <c r="K94" s="2211"/>
      <c r="L94" s="2212"/>
      <c r="M94" s="2174"/>
      <c r="N94" s="2228"/>
      <c r="O94" s="2228"/>
      <c r="P94" s="5313"/>
      <c r="Q94" s="2229"/>
      <c r="R94" s="2230"/>
      <c r="S94" s="3435"/>
      <c r="T94" s="3436" t="s">
        <v>531</v>
      </c>
      <c r="U94" s="3437"/>
      <c r="V94" s="3438"/>
      <c r="W94" s="3439"/>
      <c r="X94" s="3440"/>
      <c r="Y94" s="3441"/>
      <c r="Z94" s="3442"/>
      <c r="AA94" s="3443"/>
      <c r="AB94" s="3444"/>
      <c r="AC94" s="3445"/>
      <c r="AD94" s="3446"/>
      <c r="AE94" s="3447"/>
      <c r="AF94" s="3448"/>
      <c r="AG94" s="3449"/>
      <c r="AH94" s="3450"/>
      <c r="AI94" s="3451"/>
      <c r="AJ94" s="3452"/>
      <c r="AK94" s="3453"/>
      <c r="AL94" s="3454"/>
      <c r="AM94" s="3455"/>
      <c r="AN94" s="3456"/>
      <c r="AO94" s="3457"/>
      <c r="AP94" s="3458"/>
      <c r="AQ94" s="3459"/>
      <c r="AR94" s="3460"/>
      <c r="AS94" s="3461"/>
      <c r="AT94" s="3462"/>
      <c r="AU94" s="3463"/>
      <c r="AV94" s="2182"/>
      <c r="AW94" s="2221"/>
      <c r="AX94" s="2221" t="str">
        <f t="shared" si="2"/>
        <v>Добавить группу потребителей</v>
      </c>
      <c r="AY94" s="2221"/>
      <c r="AZ94" s="2221"/>
    </row>
    <row r="95" spans="1:52" s="3464" customFormat="1" ht="14.25" customHeight="1">
      <c r="A95" s="2211"/>
      <c r="B95" s="2211"/>
      <c r="C95" s="2211"/>
      <c r="D95" s="2211"/>
      <c r="E95" s="5315" t="s">
        <v>85</v>
      </c>
      <c r="F95" s="5315"/>
      <c r="G95" s="5315"/>
      <c r="H95" s="5314"/>
      <c r="I95" s="2211"/>
      <c r="J95" s="2211"/>
      <c r="K95" s="2211"/>
      <c r="L95" s="2212"/>
      <c r="M95" s="2213"/>
      <c r="N95" s="2213"/>
      <c r="O95" s="2174"/>
      <c r="P95" s="2299"/>
      <c r="Q95" s="2300"/>
      <c r="R95" s="2301"/>
      <c r="S95" s="3465"/>
      <c r="T95" s="3466" t="s">
        <v>532</v>
      </c>
      <c r="U95" s="3467"/>
      <c r="V95" s="3468"/>
      <c r="W95" s="3469"/>
      <c r="X95" s="3470"/>
      <c r="Y95" s="3471"/>
      <c r="Z95" s="3472"/>
      <c r="AA95" s="3473"/>
      <c r="AB95" s="3474"/>
      <c r="AC95" s="3475"/>
      <c r="AD95" s="3476"/>
      <c r="AE95" s="3477"/>
      <c r="AF95" s="3478"/>
      <c r="AG95" s="3479"/>
      <c r="AH95" s="3480"/>
      <c r="AI95" s="3481"/>
      <c r="AJ95" s="3482"/>
      <c r="AK95" s="3483"/>
      <c r="AL95" s="3484"/>
      <c r="AM95" s="3485"/>
      <c r="AN95" s="3486"/>
      <c r="AO95" s="3487"/>
      <c r="AP95" s="3488"/>
      <c r="AQ95" s="3489"/>
      <c r="AR95" s="3490"/>
      <c r="AS95" s="3491"/>
      <c r="AT95" s="3492"/>
      <c r="AU95" s="3493"/>
      <c r="AV95" s="2182"/>
      <c r="AW95" s="2221"/>
      <c r="AX95" s="2221" t="str">
        <f t="shared" si="2"/>
        <v>Добавить схему подключения</v>
      </c>
      <c r="AY95" s="2221"/>
      <c r="AZ95" s="2221"/>
    </row>
    <row r="96" spans="1:52" s="3494" customFormat="1" ht="0.75" customHeight="1">
      <c r="A96" s="2332"/>
      <c r="B96" s="2332"/>
      <c r="C96" s="2332"/>
      <c r="D96" s="2332"/>
      <c r="E96" s="5315" t="s">
        <v>85</v>
      </c>
      <c r="F96" s="5315"/>
      <c r="G96" s="5314"/>
      <c r="H96" s="2332"/>
      <c r="I96" s="2332"/>
      <c r="J96" s="2332"/>
      <c r="K96" s="2332"/>
      <c r="L96" s="2333"/>
      <c r="M96" s="2334"/>
      <c r="N96" s="2334"/>
      <c r="O96" s="2182"/>
      <c r="P96" s="2335"/>
      <c r="Q96" s="2336"/>
      <c r="R96" s="2335"/>
      <c r="S96" s="2337"/>
      <c r="T96" s="2338" t="s">
        <v>168</v>
      </c>
      <c r="U96" s="2168"/>
      <c r="V96" s="2168"/>
      <c r="W96" s="2168"/>
      <c r="X96" s="2168"/>
      <c r="Y96" s="2168"/>
      <c r="Z96" s="2168"/>
      <c r="AA96" s="2168"/>
      <c r="AB96" s="2168"/>
      <c r="AC96" s="2168"/>
      <c r="AD96" s="2168"/>
      <c r="AE96" s="2168"/>
      <c r="AF96" s="2168"/>
      <c r="AG96" s="2168"/>
      <c r="AH96" s="2168"/>
      <c r="AI96" s="2168"/>
      <c r="AJ96" s="2168"/>
      <c r="AK96" s="2168"/>
      <c r="AL96" s="2168"/>
      <c r="AM96" s="2168"/>
      <c r="AN96" s="2168"/>
      <c r="AO96" s="2168"/>
      <c r="AP96" s="2168"/>
      <c r="AQ96" s="2168"/>
      <c r="AR96" s="2168"/>
      <c r="AS96" s="2168"/>
      <c r="AT96" s="2168"/>
      <c r="AU96" s="2168"/>
      <c r="AV96" s="2182"/>
      <c r="AW96" s="2221"/>
      <c r="AX96" s="2221" t="str">
        <f t="shared" si="2"/>
        <v>Добавить источник для дифференциации</v>
      </c>
      <c r="AY96" s="2221"/>
      <c r="AZ96" s="2221"/>
    </row>
    <row r="97" spans="1:52" s="3495" customFormat="1" ht="0.75" customHeight="1">
      <c r="A97" s="2332"/>
      <c r="B97" s="2332"/>
      <c r="C97" s="2332"/>
      <c r="D97" s="2332"/>
      <c r="E97" s="5315" t="s">
        <v>85</v>
      </c>
      <c r="F97" s="5314"/>
      <c r="G97" s="2332"/>
      <c r="H97" s="2332"/>
      <c r="I97" s="2332"/>
      <c r="J97" s="2332"/>
      <c r="K97" s="2332"/>
      <c r="L97" s="2333"/>
      <c r="M97" s="2340"/>
      <c r="N97" s="2340"/>
      <c r="O97" s="2182"/>
      <c r="P97" s="2335"/>
      <c r="Q97" s="2336"/>
      <c r="R97" s="2335"/>
      <c r="S97" s="2341"/>
      <c r="T97" s="2342" t="s">
        <v>169</v>
      </c>
      <c r="U97" s="2169"/>
      <c r="V97" s="2169"/>
      <c r="W97" s="2169"/>
      <c r="X97" s="2169"/>
      <c r="Y97" s="2169"/>
      <c r="Z97" s="2169"/>
      <c r="AA97" s="2169"/>
      <c r="AB97" s="2169"/>
      <c r="AC97" s="2169"/>
      <c r="AD97" s="2169"/>
      <c r="AE97" s="2169"/>
      <c r="AF97" s="2169"/>
      <c r="AG97" s="2169"/>
      <c r="AH97" s="2169"/>
      <c r="AI97" s="2169"/>
      <c r="AJ97" s="2169"/>
      <c r="AK97" s="2169"/>
      <c r="AL97" s="2169"/>
      <c r="AM97" s="2169"/>
      <c r="AN97" s="2169"/>
      <c r="AO97" s="2169"/>
      <c r="AP97" s="2169"/>
      <c r="AQ97" s="2169"/>
      <c r="AR97" s="2169"/>
      <c r="AS97" s="2169"/>
      <c r="AT97" s="2169"/>
      <c r="AU97" s="2169"/>
      <c r="AV97" s="2182"/>
      <c r="AW97" s="2221"/>
      <c r="AX97" s="2221" t="str">
        <f t="shared" si="2"/>
        <v>Добавить централизованную систему для дифференциации</v>
      </c>
      <c r="AY97" s="2221"/>
      <c r="AZ97" s="2221"/>
    </row>
    <row r="98" spans="1:52" s="3496" customFormat="1" ht="0.75" customHeight="1">
      <c r="A98" s="2332"/>
      <c r="B98" s="2332"/>
      <c r="C98" s="2332"/>
      <c r="D98" s="2332"/>
      <c r="E98" s="5314" t="s">
        <v>85</v>
      </c>
      <c r="F98" s="2332"/>
      <c r="G98" s="2332"/>
      <c r="H98" s="2332"/>
      <c r="I98" s="2332"/>
      <c r="J98" s="2332"/>
      <c r="K98" s="2332"/>
      <c r="L98" s="2333"/>
      <c r="M98" s="2340"/>
      <c r="N98" s="2340"/>
      <c r="O98" s="2182"/>
      <c r="P98" s="2335"/>
      <c r="Q98" s="2336"/>
      <c r="R98" s="2335"/>
      <c r="S98" s="2341"/>
      <c r="T98" s="2445" t="s">
        <v>174</v>
      </c>
      <c r="U98" s="2169"/>
      <c r="V98" s="2169"/>
      <c r="W98" s="2169"/>
      <c r="X98" s="2169"/>
      <c r="Y98" s="2169"/>
      <c r="Z98" s="2169"/>
      <c r="AA98" s="2169"/>
      <c r="AB98" s="2169"/>
      <c r="AC98" s="2169"/>
      <c r="AD98" s="2169"/>
      <c r="AE98" s="2169"/>
      <c r="AF98" s="2169"/>
      <c r="AG98" s="2169"/>
      <c r="AH98" s="2169"/>
      <c r="AI98" s="2169"/>
      <c r="AJ98" s="2169"/>
      <c r="AK98" s="2169"/>
      <c r="AL98" s="2169"/>
      <c r="AM98" s="2169"/>
      <c r="AN98" s="2169"/>
      <c r="AO98" s="2169"/>
      <c r="AP98" s="2169"/>
      <c r="AQ98" s="2169"/>
      <c r="AR98" s="2169"/>
      <c r="AS98" s="2169"/>
      <c r="AT98" s="2169"/>
      <c r="AU98" s="2169"/>
      <c r="AV98" s="2182"/>
      <c r="AW98" s="2221"/>
      <c r="AX98" s="2221" t="str">
        <f t="shared" si="2"/>
        <v>Добавить территорию для дифференциации</v>
      </c>
      <c r="AY98" s="2221"/>
      <c r="AZ98" s="2221"/>
    </row>
    <row r="99" spans="1:52" s="3497" customFormat="1" ht="21" customHeight="1">
      <c r="A99" s="2211" t="s">
        <v>242</v>
      </c>
      <c r="B99" s="2211"/>
      <c r="C99" s="2211"/>
      <c r="D99" s="2211"/>
      <c r="E99" s="5314" t="s">
        <v>115</v>
      </c>
      <c r="F99" s="2211"/>
      <c r="G99" s="2211"/>
      <c r="H99" s="2211"/>
      <c r="I99" s="2211"/>
      <c r="J99" s="2211"/>
      <c r="K99" s="2211"/>
      <c r="L99" s="2212"/>
      <c r="M99" s="2213"/>
      <c r="N99" s="2213"/>
      <c r="O99" s="2213"/>
      <c r="P99" s="2344"/>
      <c r="Q99" s="2299"/>
      <c r="R99" s="2301"/>
      <c r="S99" s="2217" t="str">
        <f>INDEX(PT_DIFFERENTIATION_NUM_NTAR,MATCH(A99,PT_DIFFERENTIATION_NTAR_ID,0))</f>
        <v>5</v>
      </c>
      <c r="T99" s="2345" t="s">
        <v>127</v>
      </c>
      <c r="U99" s="2219"/>
      <c r="V99" s="5300"/>
      <c r="W99" s="5301"/>
      <c r="X99" s="5301"/>
      <c r="Y99" s="5301"/>
      <c r="Z99" s="5301"/>
      <c r="AA99" s="5301"/>
      <c r="AB99" s="5301"/>
      <c r="AC99" s="5302"/>
      <c r="AD99" s="5300" t="str">
        <f>INDEX(PT_DIFFERENTIATION_NTAR,MATCH(A99,PT_DIFFERENTIATION_NTAR_ID,0))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AE99" s="5301"/>
      <c r="AF99" s="5301"/>
      <c r="AG99" s="5301"/>
      <c r="AH99" s="5301"/>
      <c r="AI99" s="5301"/>
      <c r="AJ99" s="5301"/>
      <c r="AK99" s="5301"/>
      <c r="AL99" s="5300"/>
      <c r="AM99" s="5301"/>
      <c r="AN99" s="5301"/>
      <c r="AO99" s="5301"/>
      <c r="AP99" s="5301"/>
      <c r="AQ99" s="5301"/>
      <c r="AR99" s="5301"/>
      <c r="AS99" s="5302"/>
      <c r="AT99" s="5302"/>
      <c r="AU99" s="2220" t="s">
        <v>515</v>
      </c>
      <c r="AV99" s="2182"/>
      <c r="AW99" s="2221"/>
      <c r="AX99" s="2221" t="str">
        <f t="shared" si="2"/>
        <v>Наименование тарифа</v>
      </c>
      <c r="AY99" s="2221"/>
      <c r="AZ99" s="2221"/>
    </row>
    <row r="100" spans="1:52" s="3498" customFormat="1" ht="21" customHeight="1">
      <c r="A100" s="2211"/>
      <c r="B100" s="2211" t="s">
        <v>243</v>
      </c>
      <c r="C100" s="2211"/>
      <c r="D100" s="2211"/>
      <c r="E100" s="5315" t="s">
        <v>86</v>
      </c>
      <c r="F100" s="5314">
        <v>1</v>
      </c>
      <c r="G100" s="2211"/>
      <c r="H100" s="2211"/>
      <c r="I100" s="2211"/>
      <c r="J100" s="2211"/>
      <c r="K100" s="2211"/>
      <c r="L100" s="2212"/>
      <c r="M100" s="2213"/>
      <c r="N100" s="2213"/>
      <c r="O100" s="2213"/>
      <c r="P100" s="2214"/>
      <c r="Q100" s="2215"/>
      <c r="R100" s="2216"/>
      <c r="S100" s="2217" t="str">
        <f>INDEX(PT_DIFFERENTIATION_NUM_TER,MATCH(B100,PT_DIFFERENTIATION_TER_ID,0))</f>
        <v>5.1</v>
      </c>
      <c r="T100" s="2218" t="s">
        <v>516</v>
      </c>
      <c r="U100" s="2219"/>
      <c r="V100" s="5300"/>
      <c r="W100" s="5301"/>
      <c r="X100" s="5301"/>
      <c r="Y100" s="5301"/>
      <c r="Z100" s="5301"/>
      <c r="AA100" s="5301"/>
      <c r="AB100" s="5301"/>
      <c r="AC100" s="5302"/>
      <c r="AD100" s="5300" t="str">
        <f>INDEX(PT_DIFFERENTIATION_TER,MATCH(B100,PT_DIFFERENTIATION_TER_ID,0))</f>
        <v>Территория 3</v>
      </c>
      <c r="AE100" s="5301"/>
      <c r="AF100" s="5301"/>
      <c r="AG100" s="5301"/>
      <c r="AH100" s="5301"/>
      <c r="AI100" s="5301"/>
      <c r="AJ100" s="5301"/>
      <c r="AK100" s="5301"/>
      <c r="AL100" s="5300"/>
      <c r="AM100" s="5301"/>
      <c r="AN100" s="5301"/>
      <c r="AO100" s="5301"/>
      <c r="AP100" s="5301"/>
      <c r="AQ100" s="5301"/>
      <c r="AR100" s="5301"/>
      <c r="AS100" s="5302"/>
      <c r="AT100" s="5302"/>
      <c r="AU100" s="2220" t="s">
        <v>517</v>
      </c>
      <c r="AV100" s="2182"/>
      <c r="AW100" s="2221"/>
      <c r="AX100" s="2221" t="str">
        <f t="shared" si="2"/>
        <v>Территория действия тарифа</v>
      </c>
      <c r="AY100" s="2221"/>
      <c r="AZ100" s="2221"/>
    </row>
    <row r="101" spans="1:52" s="3499" customFormat="1" ht="23.25" customHeight="1">
      <c r="A101" s="2211"/>
      <c r="B101" s="2211"/>
      <c r="C101" s="2211" t="s">
        <v>244</v>
      </c>
      <c r="D101" s="2211"/>
      <c r="E101" s="5315" t="s">
        <v>86</v>
      </c>
      <c r="F101" s="5315"/>
      <c r="G101" s="5314">
        <v>1</v>
      </c>
      <c r="H101" s="2211"/>
      <c r="I101" s="2211"/>
      <c r="J101" s="2211"/>
      <c r="K101" s="2211"/>
      <c r="L101" s="2212"/>
      <c r="M101" s="2213"/>
      <c r="N101" s="2213"/>
      <c r="O101" s="2213"/>
      <c r="P101" s="2223"/>
      <c r="Q101" s="2215"/>
      <c r="R101" s="2216"/>
      <c r="S101" s="2217" t="str">
        <f>INDEX(PT_DIFFERENTIATION_NUM_CS,MATCH(C101,PT_DIFFERENTIATION_CS_ID,0))</f>
        <v>5.1.1</v>
      </c>
      <c r="T101" s="2224" t="s">
        <v>518</v>
      </c>
      <c r="U101" s="2219"/>
      <c r="V101" s="5300"/>
      <c r="W101" s="5301"/>
      <c r="X101" s="5301"/>
      <c r="Y101" s="5301"/>
      <c r="Z101" s="5301"/>
      <c r="AA101" s="5301"/>
      <c r="AB101" s="5301"/>
      <c r="AC101" s="5302"/>
      <c r="AD101" s="5300" t="str">
        <f>INDEX(PT_DIFFERENTIATION_CS,MATCH(C101,PT_DIFFERENTIATION_CS_ID,0))</f>
        <v>закрытая система теплоснабжения нп Раякоски</v>
      </c>
      <c r="AE101" s="5301"/>
      <c r="AF101" s="5301"/>
      <c r="AG101" s="5301"/>
      <c r="AH101" s="5301"/>
      <c r="AI101" s="5301"/>
      <c r="AJ101" s="5301"/>
      <c r="AK101" s="5301"/>
      <c r="AL101" s="5300"/>
      <c r="AM101" s="5301"/>
      <c r="AN101" s="5301"/>
      <c r="AO101" s="5301"/>
      <c r="AP101" s="5301"/>
      <c r="AQ101" s="5301"/>
      <c r="AR101" s="5301"/>
      <c r="AS101" s="5302"/>
      <c r="AT101" s="5302"/>
      <c r="AU101" s="2220" t="s">
        <v>519</v>
      </c>
      <c r="AV101" s="2182"/>
      <c r="AW101" s="2221"/>
      <c r="AX101" s="2221" t="str">
        <f t="shared" si="2"/>
        <v xml:space="preserve">Наименование системы теплоснабжения </v>
      </c>
      <c r="AY101" s="2221"/>
      <c r="AZ101" s="2221"/>
    </row>
    <row r="102" spans="1:52" s="3500" customFormat="1" ht="21" customHeight="1">
      <c r="A102" s="2211"/>
      <c r="B102" s="2211"/>
      <c r="C102" s="2211"/>
      <c r="D102" s="2211" t="s">
        <v>245</v>
      </c>
      <c r="E102" s="5315" t="s">
        <v>86</v>
      </c>
      <c r="F102" s="5315"/>
      <c r="G102" s="5315"/>
      <c r="H102" s="5314">
        <v>1</v>
      </c>
      <c r="I102" s="2211"/>
      <c r="J102" s="2211"/>
      <c r="K102" s="2211"/>
      <c r="L102" s="2212"/>
      <c r="M102" s="2213"/>
      <c r="N102" s="2213"/>
      <c r="O102" s="2213"/>
      <c r="P102" s="2223"/>
      <c r="Q102" s="2215"/>
      <c r="R102" s="2216"/>
      <c r="S102" s="2217" t="str">
        <f>INDEX(PT_DIFFERENTIATION_NUM_IST_TE,MATCH(D102,PT_DIFFERENTIATION_IST_TE_ID,0))</f>
        <v>5.1.1.1</v>
      </c>
      <c r="T102" s="2226" t="s">
        <v>520</v>
      </c>
      <c r="U102" s="2219"/>
      <c r="V102" s="5300"/>
      <c r="W102" s="5301"/>
      <c r="X102" s="5301"/>
      <c r="Y102" s="5301"/>
      <c r="Z102" s="5301"/>
      <c r="AA102" s="5301"/>
      <c r="AB102" s="5301"/>
      <c r="AC102" s="5302"/>
      <c r="AD102" s="5300" t="str">
        <f>INDEX(PT_DIFFERENTIATION_IST_TE,MATCH(D102,PT_DIFFERENTIATION_IST_TE_ID,0))</f>
        <v>Электрокотельные нп Раякоски</v>
      </c>
      <c r="AE102" s="5301"/>
      <c r="AF102" s="5301"/>
      <c r="AG102" s="5301"/>
      <c r="AH102" s="5301"/>
      <c r="AI102" s="5301"/>
      <c r="AJ102" s="5301"/>
      <c r="AK102" s="5301"/>
      <c r="AL102" s="5300"/>
      <c r="AM102" s="5301"/>
      <c r="AN102" s="5301"/>
      <c r="AO102" s="5301"/>
      <c r="AP102" s="5301"/>
      <c r="AQ102" s="5301"/>
      <c r="AR102" s="5301"/>
      <c r="AS102" s="5302"/>
      <c r="AT102" s="5302"/>
      <c r="AU102" s="2220" t="s">
        <v>521</v>
      </c>
      <c r="AV102" s="2182"/>
      <c r="AW102" s="2221"/>
      <c r="AX102" s="2221" t="str">
        <f t="shared" si="2"/>
        <v xml:space="preserve">Источник тепловой энергии  </v>
      </c>
      <c r="AY102" s="2221"/>
      <c r="AZ102" s="2221"/>
    </row>
    <row r="103" spans="1:52" s="3501" customFormat="1" ht="47.25" customHeight="1">
      <c r="A103" s="2211"/>
      <c r="B103" s="2211"/>
      <c r="C103" s="2211"/>
      <c r="D103" s="2211"/>
      <c r="E103" s="5315" t="s">
        <v>86</v>
      </c>
      <c r="F103" s="5315"/>
      <c r="G103" s="5315"/>
      <c r="H103" s="5315"/>
      <c r="I103" s="5312" t="str">
        <f>S102&amp;".1"</f>
        <v>5.1.1.1.1</v>
      </c>
      <c r="J103" s="2211"/>
      <c r="K103" s="2211"/>
      <c r="L103" s="2212" t="s">
        <v>522</v>
      </c>
      <c r="M103" s="2174"/>
      <c r="N103" s="2228"/>
      <c r="O103" s="2228"/>
      <c r="P103" s="5313">
        <v>1</v>
      </c>
      <c r="Q103" s="2229"/>
      <c r="R103" s="2230"/>
      <c r="S103" s="2217" t="str">
        <f>$I103</f>
        <v>5.1.1.1.1</v>
      </c>
      <c r="T103" s="2231" t="s">
        <v>523</v>
      </c>
      <c r="U103" s="2219"/>
      <c r="V103" s="5303"/>
      <c r="W103" s="5304"/>
      <c r="X103" s="5304"/>
      <c r="Y103" s="5304"/>
      <c r="Z103" s="5304"/>
      <c r="AA103" s="5304"/>
      <c r="AB103" s="5304"/>
      <c r="AC103" s="5305"/>
      <c r="AD103" s="5303" t="s">
        <v>565</v>
      </c>
      <c r="AE103" s="5304"/>
      <c r="AF103" s="5304"/>
      <c r="AG103" s="5304"/>
      <c r="AH103" s="5304"/>
      <c r="AI103" s="5304"/>
      <c r="AJ103" s="5304"/>
      <c r="AK103" s="5304"/>
      <c r="AL103" s="5303"/>
      <c r="AM103" s="5304"/>
      <c r="AN103" s="5304"/>
      <c r="AO103" s="5304"/>
      <c r="AP103" s="5304"/>
      <c r="AQ103" s="5304"/>
      <c r="AR103" s="5304"/>
      <c r="AS103" s="5305"/>
      <c r="AT103" s="5305"/>
      <c r="AU103" s="2220" t="s">
        <v>524</v>
      </c>
      <c r="AV103" s="2182"/>
      <c r="AW103" s="2221"/>
      <c r="AX103" s="2221" t="str">
        <f t="shared" si="2"/>
        <v>Схема подключения теплопотребляющей установки к коллектору источника тепловой энергии</v>
      </c>
      <c r="AY103" s="2221"/>
      <c r="AZ103" s="2221"/>
    </row>
    <row r="104" spans="1:52" s="3502" customFormat="1" ht="21" customHeight="1">
      <c r="A104" s="2211"/>
      <c r="B104" s="2211"/>
      <c r="C104" s="2211"/>
      <c r="D104" s="2211"/>
      <c r="E104" s="5315" t="s">
        <v>86</v>
      </c>
      <c r="F104" s="5315"/>
      <c r="G104" s="5315"/>
      <c r="H104" s="5315"/>
      <c r="I104" s="5335"/>
      <c r="J104" s="5312" t="str">
        <f>I103&amp;".1"</f>
        <v>5.1.1.1.1.1</v>
      </c>
      <c r="K104" s="2211"/>
      <c r="L104" s="2212" t="s">
        <v>525</v>
      </c>
      <c r="M104" s="2174"/>
      <c r="N104" s="2174"/>
      <c r="O104" s="2228"/>
      <c r="P104" s="5313"/>
      <c r="Q104" s="5313">
        <v>1</v>
      </c>
      <c r="R104" s="2233"/>
      <c r="S104" s="2217" t="str">
        <f>$J104</f>
        <v>5.1.1.1.1.1</v>
      </c>
      <c r="T104" s="2234" t="s">
        <v>526</v>
      </c>
      <c r="U104" s="2219"/>
      <c r="V104" s="5303"/>
      <c r="W104" s="5304"/>
      <c r="X104" s="5304"/>
      <c r="Y104" s="5304"/>
      <c r="Z104" s="5304"/>
      <c r="AA104" s="5304"/>
      <c r="AB104" s="5304"/>
      <c r="AC104" s="5305"/>
      <c r="AD104" s="5303" t="s">
        <v>565</v>
      </c>
      <c r="AE104" s="5304"/>
      <c r="AF104" s="5304"/>
      <c r="AG104" s="5304"/>
      <c r="AH104" s="5304"/>
      <c r="AI104" s="5304"/>
      <c r="AJ104" s="5304"/>
      <c r="AK104" s="5304"/>
      <c r="AL104" s="5303"/>
      <c r="AM104" s="5304"/>
      <c r="AN104" s="5304"/>
      <c r="AO104" s="5304"/>
      <c r="AP104" s="5304"/>
      <c r="AQ104" s="5304"/>
      <c r="AR104" s="5304"/>
      <c r="AS104" s="5305"/>
      <c r="AT104" s="5305"/>
      <c r="AU104" s="2220" t="s">
        <v>527</v>
      </c>
      <c r="AV104" s="2182"/>
      <c r="AW104" s="2221"/>
      <c r="AX104" s="2221" t="str">
        <f t="shared" si="2"/>
        <v>Группа потребителей</v>
      </c>
      <c r="AY104" s="2221"/>
      <c r="AZ104" s="2221"/>
    </row>
    <row r="105" spans="1:52" s="3503" customFormat="1" ht="21" customHeight="1">
      <c r="A105" s="2211"/>
      <c r="B105" s="2211"/>
      <c r="C105" s="2211"/>
      <c r="D105" s="2211"/>
      <c r="E105" s="5315" t="s">
        <v>86</v>
      </c>
      <c r="F105" s="5315"/>
      <c r="G105" s="5315"/>
      <c r="H105" s="5315"/>
      <c r="I105" s="5335"/>
      <c r="J105" s="5335"/>
      <c r="K105" s="5312" t="str">
        <f>J104&amp;".1"</f>
        <v>5.1.1.1.1.1.1</v>
      </c>
      <c r="L105" s="2212" t="s">
        <v>528</v>
      </c>
      <c r="M105" s="2174"/>
      <c r="N105" s="2174"/>
      <c r="O105" s="2174"/>
      <c r="P105" s="5313"/>
      <c r="Q105" s="5313"/>
      <c r="R105" s="2233">
        <v>1</v>
      </c>
      <c r="S105" s="2217" t="str">
        <f>$K105</f>
        <v>5.1.1.1.1.1.1</v>
      </c>
      <c r="T105" s="2236" t="s">
        <v>566</v>
      </c>
      <c r="U105" s="2219"/>
      <c r="V105" s="2139"/>
      <c r="W105" s="2140"/>
      <c r="X105" s="2139"/>
      <c r="Y105" s="2141"/>
      <c r="Z105" s="5317"/>
      <c r="AA105" s="5161" t="s">
        <v>62</v>
      </c>
      <c r="AB105" s="5317"/>
      <c r="AC105" s="5161" t="s">
        <v>62</v>
      </c>
      <c r="AD105" s="2139">
        <v>3660.15</v>
      </c>
      <c r="AE105" s="2140"/>
      <c r="AF105" s="2139"/>
      <c r="AG105" s="2141"/>
      <c r="AH105" s="5317">
        <v>45658.5705787037</v>
      </c>
      <c r="AI105" s="5161" t="s">
        <v>62</v>
      </c>
      <c r="AJ105" s="5317">
        <v>45838.570636574077</v>
      </c>
      <c r="AK105" s="5161" t="s">
        <v>62</v>
      </c>
      <c r="AL105" s="2139">
        <v>4392.18</v>
      </c>
      <c r="AM105" s="2140"/>
      <c r="AN105" s="2139"/>
      <c r="AO105" s="2141"/>
      <c r="AP105" s="5317">
        <v>45839.570810185185</v>
      </c>
      <c r="AQ105" s="5161" t="s">
        <v>62</v>
      </c>
      <c r="AR105" s="5317">
        <v>46022.570879629631</v>
      </c>
      <c r="AS105" s="5161" t="s">
        <v>62</v>
      </c>
      <c r="AT105" s="2140"/>
      <c r="AU105" s="5309" t="s">
        <v>529</v>
      </c>
      <c r="AV105" s="2182" t="e">
        <f ca="1">STRCHECKDATE(V106:AT106)</f>
        <v>#NAME?</v>
      </c>
      <c r="AW105" s="2221"/>
      <c r="AX105" s="2221" t="str">
        <f t="shared" si="2"/>
        <v>вода</v>
      </c>
      <c r="AY105" s="2221"/>
      <c r="AZ105" s="2221"/>
    </row>
    <row r="106" spans="1:52" s="3504" customFormat="1" ht="0.75" customHeight="1">
      <c r="A106" s="2211"/>
      <c r="B106" s="2211"/>
      <c r="C106" s="2211"/>
      <c r="D106" s="2211"/>
      <c r="E106" s="5315" t="s">
        <v>86</v>
      </c>
      <c r="F106" s="5315"/>
      <c r="G106" s="5315"/>
      <c r="H106" s="5315"/>
      <c r="I106" s="5335"/>
      <c r="J106" s="5335"/>
      <c r="K106" s="5312"/>
      <c r="L106" s="2212"/>
      <c r="M106" s="2174"/>
      <c r="N106" s="2174"/>
      <c r="O106" s="2174"/>
      <c r="P106" s="5313"/>
      <c r="Q106" s="5313"/>
      <c r="R106" s="2233"/>
      <c r="S106" s="2238"/>
      <c r="T106" s="2219"/>
      <c r="U106" s="2219"/>
      <c r="V106" s="2140"/>
      <c r="W106" s="2140"/>
      <c r="X106" s="2140"/>
      <c r="Y106" s="2142" t="str">
        <f>Z105&amp;"-"&amp;AB105</f>
        <v>-</v>
      </c>
      <c r="Z106" s="5318"/>
      <c r="AA106" s="5161"/>
      <c r="AB106" s="5318"/>
      <c r="AC106" s="5161"/>
      <c r="AD106" s="2140"/>
      <c r="AE106" s="2140"/>
      <c r="AF106" s="2140"/>
      <c r="AG106" s="2142" t="str">
        <f>AH105&amp;"-"&amp;AJ105</f>
        <v>45658,5705787037-45838,5706365741</v>
      </c>
      <c r="AH106" s="5318"/>
      <c r="AI106" s="5161"/>
      <c r="AJ106" s="5318"/>
      <c r="AK106" s="5161"/>
      <c r="AL106" s="2140"/>
      <c r="AM106" s="2140"/>
      <c r="AN106" s="2140"/>
      <c r="AO106" s="2142" t="str">
        <f>AP105&amp;"-"&amp;AR105</f>
        <v>45839,5708101852-46022,5708796296</v>
      </c>
      <c r="AP106" s="5318"/>
      <c r="AQ106" s="5161"/>
      <c r="AR106" s="5318"/>
      <c r="AS106" s="5161"/>
      <c r="AT106" s="2140"/>
      <c r="AU106" s="5310"/>
      <c r="AV106" s="2182"/>
      <c r="AW106" s="2221"/>
      <c r="AX106" s="2221" t="str">
        <f t="shared" si="2"/>
        <v/>
      </c>
      <c r="AY106" s="2221"/>
      <c r="AZ106" s="2221"/>
    </row>
    <row r="107" spans="1:52" s="3505" customFormat="1" ht="15" customHeight="1">
      <c r="A107" s="2211"/>
      <c r="B107" s="2211"/>
      <c r="C107" s="2211"/>
      <c r="D107" s="2211"/>
      <c r="E107" s="5315" t="s">
        <v>86</v>
      </c>
      <c r="F107" s="5315"/>
      <c r="G107" s="5315"/>
      <c r="H107" s="5315"/>
      <c r="I107" s="5335"/>
      <c r="J107" s="5312"/>
      <c r="K107" s="2211"/>
      <c r="L107" s="2212"/>
      <c r="M107" s="2174"/>
      <c r="N107" s="2174"/>
      <c r="O107" s="2228"/>
      <c r="P107" s="5313"/>
      <c r="Q107" s="5313"/>
      <c r="R107" s="2230"/>
      <c r="S107" s="3506"/>
      <c r="T107" s="3507" t="s">
        <v>530</v>
      </c>
      <c r="U107" s="3508"/>
      <c r="V107" s="3509"/>
      <c r="W107" s="3510"/>
      <c r="X107" s="3511"/>
      <c r="Y107" s="3512"/>
      <c r="Z107" s="3513"/>
      <c r="AA107" s="3514"/>
      <c r="AB107" s="3515"/>
      <c r="AC107" s="3516"/>
      <c r="AD107" s="3517"/>
      <c r="AE107" s="3518"/>
      <c r="AF107" s="3519"/>
      <c r="AG107" s="3520"/>
      <c r="AH107" s="3521"/>
      <c r="AI107" s="3522"/>
      <c r="AJ107" s="3523"/>
      <c r="AK107" s="3524"/>
      <c r="AL107" s="3525"/>
      <c r="AM107" s="3526"/>
      <c r="AN107" s="3527"/>
      <c r="AO107" s="3528"/>
      <c r="AP107" s="3529"/>
      <c r="AQ107" s="3530"/>
      <c r="AR107" s="3531"/>
      <c r="AS107" s="3532"/>
      <c r="AT107" s="3533"/>
      <c r="AU107" s="5311"/>
      <c r="AV107" s="2182"/>
      <c r="AW107" s="2221"/>
      <c r="AX107" s="2221" t="str">
        <f t="shared" ref="AX107:AX113" si="3">IF(T107="","",T107)</f>
        <v>Добавить вид теплоносителя (параметры теплоносителя)</v>
      </c>
      <c r="AY107" s="2221"/>
      <c r="AZ107" s="2221"/>
    </row>
    <row r="108" spans="1:52" s="3534" customFormat="1" ht="15" customHeight="1">
      <c r="A108" s="2211"/>
      <c r="B108" s="2211"/>
      <c r="C108" s="2211"/>
      <c r="D108" s="2211"/>
      <c r="E108" s="5315" t="s">
        <v>86</v>
      </c>
      <c r="F108" s="5315"/>
      <c r="G108" s="5315"/>
      <c r="H108" s="5315"/>
      <c r="I108" s="5312"/>
      <c r="J108" s="2211"/>
      <c r="K108" s="2211"/>
      <c r="L108" s="2212"/>
      <c r="M108" s="2174"/>
      <c r="N108" s="2228"/>
      <c r="O108" s="2228"/>
      <c r="P108" s="5313"/>
      <c r="Q108" s="2229"/>
      <c r="R108" s="2230"/>
      <c r="S108" s="3535"/>
      <c r="T108" s="3536" t="s">
        <v>531</v>
      </c>
      <c r="U108" s="3537"/>
      <c r="V108" s="3538"/>
      <c r="W108" s="3539"/>
      <c r="X108" s="3540"/>
      <c r="Y108" s="3541"/>
      <c r="Z108" s="3542"/>
      <c r="AA108" s="3543"/>
      <c r="AB108" s="3544"/>
      <c r="AC108" s="3545"/>
      <c r="AD108" s="3546"/>
      <c r="AE108" s="3547"/>
      <c r="AF108" s="3548"/>
      <c r="AG108" s="3549"/>
      <c r="AH108" s="3550"/>
      <c r="AI108" s="3551"/>
      <c r="AJ108" s="3552"/>
      <c r="AK108" s="3553"/>
      <c r="AL108" s="3554"/>
      <c r="AM108" s="3555"/>
      <c r="AN108" s="3556"/>
      <c r="AO108" s="3557"/>
      <c r="AP108" s="3558"/>
      <c r="AQ108" s="3559"/>
      <c r="AR108" s="3560"/>
      <c r="AS108" s="3561"/>
      <c r="AT108" s="3562"/>
      <c r="AU108" s="3563"/>
      <c r="AV108" s="2182"/>
      <c r="AW108" s="2221"/>
      <c r="AX108" s="2221" t="str">
        <f t="shared" si="3"/>
        <v>Добавить группу потребителей</v>
      </c>
      <c r="AY108" s="2221"/>
      <c r="AZ108" s="2221"/>
    </row>
    <row r="109" spans="1:52" s="3564" customFormat="1" ht="14.25" customHeight="1">
      <c r="A109" s="2211"/>
      <c r="B109" s="2211"/>
      <c r="C109" s="2211"/>
      <c r="D109" s="2211"/>
      <c r="E109" s="5315" t="s">
        <v>86</v>
      </c>
      <c r="F109" s="5315"/>
      <c r="G109" s="5315"/>
      <c r="H109" s="5314"/>
      <c r="I109" s="2211"/>
      <c r="J109" s="2211"/>
      <c r="K109" s="2211"/>
      <c r="L109" s="2212"/>
      <c r="M109" s="2213"/>
      <c r="N109" s="2213"/>
      <c r="O109" s="2174"/>
      <c r="P109" s="2299"/>
      <c r="Q109" s="2300"/>
      <c r="R109" s="2301"/>
      <c r="S109" s="3565"/>
      <c r="T109" s="3566" t="s">
        <v>532</v>
      </c>
      <c r="U109" s="3567"/>
      <c r="V109" s="3568"/>
      <c r="W109" s="3569"/>
      <c r="X109" s="3570"/>
      <c r="Y109" s="3571"/>
      <c r="Z109" s="3572"/>
      <c r="AA109" s="3573"/>
      <c r="AB109" s="3574"/>
      <c r="AC109" s="3575"/>
      <c r="AD109" s="3576"/>
      <c r="AE109" s="3577"/>
      <c r="AF109" s="3578"/>
      <c r="AG109" s="3579"/>
      <c r="AH109" s="3580"/>
      <c r="AI109" s="3581"/>
      <c r="AJ109" s="3582"/>
      <c r="AK109" s="3583"/>
      <c r="AL109" s="3584"/>
      <c r="AM109" s="3585"/>
      <c r="AN109" s="3586"/>
      <c r="AO109" s="3587"/>
      <c r="AP109" s="3588"/>
      <c r="AQ109" s="3589"/>
      <c r="AR109" s="3590"/>
      <c r="AS109" s="3591"/>
      <c r="AT109" s="3592"/>
      <c r="AU109" s="3593"/>
      <c r="AV109" s="2182"/>
      <c r="AW109" s="2221"/>
      <c r="AX109" s="2221" t="str">
        <f t="shared" si="3"/>
        <v>Добавить схему подключения</v>
      </c>
      <c r="AY109" s="2221"/>
      <c r="AZ109" s="2221"/>
    </row>
    <row r="110" spans="1:52" s="3594" customFormat="1" ht="0.75" customHeight="1">
      <c r="A110" s="2332"/>
      <c r="B110" s="2332"/>
      <c r="C110" s="2332"/>
      <c r="D110" s="2332"/>
      <c r="E110" s="5315" t="s">
        <v>86</v>
      </c>
      <c r="F110" s="5315"/>
      <c r="G110" s="5314"/>
      <c r="H110" s="2332"/>
      <c r="I110" s="2332"/>
      <c r="J110" s="2332"/>
      <c r="K110" s="2332"/>
      <c r="L110" s="2333"/>
      <c r="M110" s="2334"/>
      <c r="N110" s="2334"/>
      <c r="O110" s="2182"/>
      <c r="P110" s="2335"/>
      <c r="Q110" s="2336"/>
      <c r="R110" s="2335"/>
      <c r="S110" s="2337"/>
      <c r="T110" s="2338" t="s">
        <v>168</v>
      </c>
      <c r="U110" s="2168"/>
      <c r="V110" s="2168"/>
      <c r="W110" s="2168"/>
      <c r="X110" s="2168"/>
      <c r="Y110" s="2168"/>
      <c r="Z110" s="2168"/>
      <c r="AA110" s="2168"/>
      <c r="AB110" s="2168"/>
      <c r="AC110" s="2168"/>
      <c r="AD110" s="2168"/>
      <c r="AE110" s="2168"/>
      <c r="AF110" s="2168"/>
      <c r="AG110" s="2168"/>
      <c r="AH110" s="2168"/>
      <c r="AI110" s="2168"/>
      <c r="AJ110" s="2168"/>
      <c r="AK110" s="2168"/>
      <c r="AL110" s="2168"/>
      <c r="AM110" s="2168"/>
      <c r="AN110" s="2168"/>
      <c r="AO110" s="2168"/>
      <c r="AP110" s="2168"/>
      <c r="AQ110" s="2168"/>
      <c r="AR110" s="2168"/>
      <c r="AS110" s="2168"/>
      <c r="AT110" s="2168"/>
      <c r="AU110" s="2168"/>
      <c r="AV110" s="2182"/>
      <c r="AW110" s="2221"/>
      <c r="AX110" s="2221" t="str">
        <f t="shared" si="3"/>
        <v>Добавить источник для дифференциации</v>
      </c>
      <c r="AY110" s="2221"/>
      <c r="AZ110" s="2221"/>
    </row>
    <row r="111" spans="1:52" s="3595" customFormat="1" ht="0.75" customHeight="1">
      <c r="A111" s="2332"/>
      <c r="B111" s="2332"/>
      <c r="C111" s="2332"/>
      <c r="D111" s="2332"/>
      <c r="E111" s="5315" t="s">
        <v>86</v>
      </c>
      <c r="F111" s="5314"/>
      <c r="G111" s="2332"/>
      <c r="H111" s="2332"/>
      <c r="I111" s="2332"/>
      <c r="J111" s="2332"/>
      <c r="K111" s="2332"/>
      <c r="L111" s="2333"/>
      <c r="M111" s="2340"/>
      <c r="N111" s="2340"/>
      <c r="O111" s="2182"/>
      <c r="P111" s="2335"/>
      <c r="Q111" s="2336"/>
      <c r="R111" s="2335"/>
      <c r="S111" s="2341"/>
      <c r="T111" s="2342" t="s">
        <v>169</v>
      </c>
      <c r="U111" s="2169"/>
      <c r="V111" s="2169"/>
      <c r="W111" s="2169"/>
      <c r="X111" s="2169"/>
      <c r="Y111" s="2169"/>
      <c r="Z111" s="2169"/>
      <c r="AA111" s="2169"/>
      <c r="AB111" s="2169"/>
      <c r="AC111" s="2169"/>
      <c r="AD111" s="2169"/>
      <c r="AE111" s="2169"/>
      <c r="AF111" s="2169"/>
      <c r="AG111" s="2169"/>
      <c r="AH111" s="2169"/>
      <c r="AI111" s="2169"/>
      <c r="AJ111" s="2169"/>
      <c r="AK111" s="2169"/>
      <c r="AL111" s="2169"/>
      <c r="AM111" s="2169"/>
      <c r="AN111" s="2169"/>
      <c r="AO111" s="2169"/>
      <c r="AP111" s="2169"/>
      <c r="AQ111" s="2169"/>
      <c r="AR111" s="2169"/>
      <c r="AS111" s="2169"/>
      <c r="AT111" s="2169"/>
      <c r="AU111" s="2169"/>
      <c r="AV111" s="2182"/>
      <c r="AW111" s="2221"/>
      <c r="AX111" s="2221" t="str">
        <f t="shared" si="3"/>
        <v>Добавить централизованную систему для дифференциации</v>
      </c>
      <c r="AY111" s="2221"/>
      <c r="AZ111" s="2221"/>
    </row>
    <row r="112" spans="1:52" s="3596" customFormat="1" ht="0.75" customHeight="1">
      <c r="A112" s="2332"/>
      <c r="B112" s="2332"/>
      <c r="C112" s="2332"/>
      <c r="D112" s="2332"/>
      <c r="E112" s="5314" t="s">
        <v>86</v>
      </c>
      <c r="F112" s="2332"/>
      <c r="G112" s="2332"/>
      <c r="H112" s="2332"/>
      <c r="I112" s="2332"/>
      <c r="J112" s="2332"/>
      <c r="K112" s="2332"/>
      <c r="L112" s="2333"/>
      <c r="M112" s="2340"/>
      <c r="N112" s="2340"/>
      <c r="O112" s="2182"/>
      <c r="P112" s="2335"/>
      <c r="Q112" s="2336"/>
      <c r="R112" s="2335"/>
      <c r="S112" s="2341"/>
      <c r="T112" s="2445" t="s">
        <v>174</v>
      </c>
      <c r="U112" s="2169"/>
      <c r="V112" s="2169"/>
      <c r="W112" s="2169"/>
      <c r="X112" s="2169"/>
      <c r="Y112" s="2169"/>
      <c r="Z112" s="2169"/>
      <c r="AA112" s="2169"/>
      <c r="AB112" s="2169"/>
      <c r="AC112" s="2169"/>
      <c r="AD112" s="2169"/>
      <c r="AE112" s="2169"/>
      <c r="AF112" s="2169"/>
      <c r="AG112" s="2169"/>
      <c r="AH112" s="2169"/>
      <c r="AI112" s="2169"/>
      <c r="AJ112" s="2169"/>
      <c r="AK112" s="2169"/>
      <c r="AL112" s="2169"/>
      <c r="AM112" s="2169"/>
      <c r="AN112" s="2169"/>
      <c r="AO112" s="2169"/>
      <c r="AP112" s="2169"/>
      <c r="AQ112" s="2169"/>
      <c r="AR112" s="2169"/>
      <c r="AS112" s="2169"/>
      <c r="AT112" s="2169"/>
      <c r="AU112" s="2169"/>
      <c r="AV112" s="2182"/>
      <c r="AW112" s="2221"/>
      <c r="AX112" s="2221" t="str">
        <f t="shared" si="3"/>
        <v>Добавить территорию для дифференциации</v>
      </c>
      <c r="AY112" s="2221"/>
      <c r="AZ112" s="2221"/>
    </row>
    <row r="113" spans="1:52" s="2167" customFormat="1" ht="0.75" customHeight="1">
      <c r="A113" s="1231"/>
      <c r="B113" s="1231"/>
      <c r="C113" s="1231"/>
      <c r="D113" s="1231"/>
      <c r="E113" s="1259"/>
      <c r="F113" s="1231"/>
      <c r="G113" s="1231"/>
      <c r="H113" s="1231"/>
      <c r="I113" s="1231"/>
      <c r="J113" s="1231"/>
      <c r="K113" s="1231"/>
      <c r="L113" s="1255"/>
      <c r="M113" s="1238"/>
      <c r="N113" s="1238"/>
      <c r="P113" s="1233"/>
      <c r="Q113" s="1234"/>
      <c r="R113" s="1233"/>
      <c r="S113" s="1239"/>
      <c r="T113" s="1242" t="s">
        <v>215</v>
      </c>
      <c r="U113" s="1241"/>
      <c r="V113" s="1241"/>
      <c r="W113" s="1241"/>
      <c r="X113" s="1241"/>
      <c r="Y113" s="1241"/>
      <c r="Z113" s="1241"/>
      <c r="AA113" s="1241"/>
      <c r="AB113" s="1241"/>
      <c r="AC113" s="1241"/>
      <c r="AD113" s="1241"/>
      <c r="AE113" s="1241"/>
      <c r="AF113" s="1241"/>
      <c r="AG113" s="1241"/>
      <c r="AH113" s="1241"/>
      <c r="AI113" s="1241"/>
      <c r="AJ113" s="1241"/>
      <c r="AK113" s="1241"/>
      <c r="AL113" s="2169"/>
      <c r="AM113" s="2169"/>
      <c r="AN113" s="2169"/>
      <c r="AO113" s="2169"/>
      <c r="AP113" s="2169"/>
      <c r="AQ113" s="2169"/>
      <c r="AR113" s="2169"/>
      <c r="AS113" s="2169"/>
      <c r="AT113" s="1241"/>
      <c r="AU113" s="1241"/>
      <c r="AW113" s="705"/>
      <c r="AX113" s="705" t="str">
        <f t="shared" si="3"/>
        <v>Добавить наименование тарифа</v>
      </c>
      <c r="AY113" s="705"/>
      <c r="AZ113" s="705"/>
    </row>
    <row r="114" spans="1:52" ht="11.25" customHeight="1">
      <c r="M114" s="1059"/>
      <c r="N114" s="1059"/>
      <c r="O114" s="461"/>
      <c r="P114" s="1054"/>
      <c r="Q114" s="1054"/>
      <c r="R114" s="1054"/>
      <c r="S114" s="1054"/>
      <c r="AL114" s="2138"/>
      <c r="AM114" s="2138"/>
      <c r="AN114" s="2138"/>
      <c r="AO114" s="2138"/>
      <c r="AP114" s="2138"/>
      <c r="AQ114" s="2138"/>
      <c r="AR114" s="2138"/>
      <c r="AS114" s="2138"/>
      <c r="AV114" s="1054"/>
      <c r="AW114" s="1054"/>
      <c r="AX114" s="1054"/>
      <c r="AY114" s="1054"/>
      <c r="AZ114" s="1054"/>
    </row>
    <row r="115" spans="1:52" ht="27" customHeight="1">
      <c r="O115" s="461"/>
      <c r="S115" s="1163"/>
      <c r="T115" s="5334"/>
      <c r="U115" s="5334"/>
      <c r="V115" s="5334"/>
      <c r="W115" s="5334"/>
      <c r="X115" s="5334"/>
      <c r="Y115" s="5334"/>
      <c r="Z115" s="5334"/>
      <c r="AA115" s="5334"/>
      <c r="AB115" s="5334"/>
      <c r="AC115" s="5334"/>
      <c r="AD115" s="5334"/>
      <c r="AE115" s="5334"/>
      <c r="AF115" s="5334"/>
      <c r="AG115" s="5334"/>
      <c r="AH115" s="5334"/>
      <c r="AI115" s="5334"/>
      <c r="AJ115" s="5334"/>
      <c r="AK115" s="5334"/>
      <c r="AL115" s="5334"/>
      <c r="AM115" s="5334"/>
      <c r="AN115" s="5334"/>
      <c r="AO115" s="5334"/>
      <c r="AP115" s="5334"/>
      <c r="AQ115" s="5334"/>
      <c r="AR115" s="5334"/>
      <c r="AS115" s="5334"/>
      <c r="AT115" s="5334"/>
      <c r="AU115" s="5334"/>
    </row>
    <row r="116" spans="1:52" ht="62.25" customHeight="1">
      <c r="O116" s="461"/>
      <c r="T116" s="5334"/>
      <c r="U116" s="5334"/>
      <c r="V116" s="5334"/>
      <c r="W116" s="5334"/>
      <c r="X116" s="5334"/>
      <c r="Y116" s="5334"/>
      <c r="Z116" s="5334"/>
      <c r="AA116" s="5334"/>
      <c r="AB116" s="5334"/>
      <c r="AC116" s="5334"/>
      <c r="AD116" s="5334"/>
      <c r="AE116" s="5334"/>
      <c r="AF116" s="5334"/>
      <c r="AG116" s="5334"/>
      <c r="AH116" s="5334"/>
      <c r="AI116" s="5334"/>
      <c r="AJ116" s="5334"/>
      <c r="AK116" s="5334"/>
      <c r="AL116" s="5334"/>
      <c r="AM116" s="5334"/>
      <c r="AN116" s="5334"/>
      <c r="AO116" s="5334"/>
      <c r="AP116" s="5334"/>
      <c r="AQ116" s="5334"/>
      <c r="AR116" s="5334"/>
      <c r="AS116" s="5334"/>
      <c r="AT116" s="5334"/>
      <c r="AU116" s="5334"/>
    </row>
    <row r="117" spans="1:52" ht="14.25" customHeight="1">
      <c r="O117" s="461"/>
      <c r="AL117" s="2138"/>
      <c r="AM117" s="2138"/>
      <c r="AN117" s="2138"/>
      <c r="AO117" s="2138"/>
      <c r="AP117" s="2138"/>
      <c r="AQ117" s="2138"/>
      <c r="AR117" s="2138"/>
      <c r="AS117" s="2138"/>
    </row>
    <row r="118" spans="1:52" ht="18" customHeight="1">
      <c r="O118" s="461"/>
      <c r="S118" s="1163"/>
      <c r="T118" s="5334"/>
      <c r="U118" s="5334"/>
      <c r="V118" s="5334"/>
      <c r="W118" s="5334"/>
      <c r="X118" s="5334"/>
      <c r="Y118" s="5334"/>
      <c r="Z118" s="5334"/>
      <c r="AA118" s="5334"/>
      <c r="AB118" s="5334"/>
      <c r="AC118" s="5334"/>
      <c r="AD118" s="5334"/>
      <c r="AE118" s="5334"/>
      <c r="AF118" s="5334"/>
      <c r="AG118" s="5334"/>
      <c r="AH118" s="5334"/>
      <c r="AI118" s="5334"/>
      <c r="AJ118" s="5334"/>
      <c r="AK118" s="5334"/>
      <c r="AL118" s="5334"/>
      <c r="AM118" s="5334"/>
      <c r="AN118" s="5334"/>
      <c r="AO118" s="5334"/>
      <c r="AP118" s="5334"/>
      <c r="AQ118" s="5334"/>
      <c r="AR118" s="5334"/>
      <c r="AS118" s="5334"/>
      <c r="AT118" s="5334"/>
      <c r="AU118" s="5334"/>
    </row>
    <row r="119" spans="1:52" ht="18" customHeight="1">
      <c r="O119" s="461"/>
      <c r="T119" s="5334"/>
      <c r="U119" s="5334"/>
      <c r="V119" s="5334"/>
      <c r="W119" s="5334"/>
      <c r="X119" s="5334"/>
      <c r="Y119" s="5334"/>
      <c r="Z119" s="5334"/>
      <c r="AA119" s="5334"/>
      <c r="AB119" s="5334"/>
      <c r="AC119" s="5334"/>
      <c r="AD119" s="5334"/>
      <c r="AE119" s="5334"/>
      <c r="AF119" s="5334"/>
      <c r="AG119" s="5334"/>
      <c r="AH119" s="5334"/>
      <c r="AI119" s="5334"/>
      <c r="AJ119" s="5334"/>
      <c r="AK119" s="5334"/>
      <c r="AL119" s="5334"/>
      <c r="AM119" s="5334"/>
      <c r="AN119" s="5334"/>
      <c r="AO119" s="5334"/>
      <c r="AP119" s="5334"/>
      <c r="AQ119" s="5334"/>
      <c r="AR119" s="5334"/>
      <c r="AS119" s="5334"/>
      <c r="AT119" s="5334"/>
      <c r="AU119" s="5334"/>
    </row>
    <row r="120" spans="1:52" ht="27.75" customHeight="1">
      <c r="O120" s="461"/>
      <c r="S120" s="1163"/>
      <c r="T120" s="5334"/>
      <c r="U120" s="5334"/>
      <c r="V120" s="5334"/>
      <c r="W120" s="5334"/>
      <c r="X120" s="5334"/>
      <c r="Y120" s="5334"/>
      <c r="Z120" s="5334"/>
      <c r="AA120" s="5334"/>
      <c r="AB120" s="5334"/>
      <c r="AC120" s="5334"/>
      <c r="AD120" s="5334"/>
      <c r="AE120" s="5334"/>
      <c r="AF120" s="5334"/>
      <c r="AG120" s="5334"/>
      <c r="AH120" s="5334"/>
      <c r="AI120" s="5334"/>
      <c r="AJ120" s="5334"/>
      <c r="AK120" s="5334"/>
      <c r="AL120" s="5334"/>
      <c r="AM120" s="5334"/>
      <c r="AN120" s="5334"/>
      <c r="AO120" s="5334"/>
      <c r="AP120" s="5334"/>
      <c r="AQ120" s="5334"/>
      <c r="AR120" s="5334"/>
      <c r="AS120" s="5334"/>
      <c r="AT120" s="5334"/>
      <c r="AU120" s="5334"/>
    </row>
  </sheetData>
  <sheetProtection formatColumns="0" formatRows="0" insertRows="0" deleteColumns="0" deleteRows="0" sort="0" autoFilter="0"/>
  <mergeCells count="271">
    <mergeCell ref="AP63:AP64"/>
    <mergeCell ref="AQ63:AQ64"/>
    <mergeCell ref="AR63:AR64"/>
    <mergeCell ref="AS63:AS64"/>
    <mergeCell ref="AP77:AP78"/>
    <mergeCell ref="AQ77:AQ78"/>
    <mergeCell ref="AR77:AR78"/>
    <mergeCell ref="AS77:AS78"/>
    <mergeCell ref="AP91:AP92"/>
    <mergeCell ref="AQ91:AQ92"/>
    <mergeCell ref="AR91:AR92"/>
    <mergeCell ref="AS91:AS92"/>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V101:AC101"/>
    <mergeCell ref="AD101:AT101"/>
    <mergeCell ref="V102:AC102"/>
    <mergeCell ref="AD102:AT102"/>
    <mergeCell ref="V103:AC103"/>
    <mergeCell ref="AD103:AT103"/>
    <mergeCell ref="AU105:AU107"/>
    <mergeCell ref="AH105:AH106"/>
    <mergeCell ref="AI105:AI106"/>
    <mergeCell ref="AJ105:AJ106"/>
    <mergeCell ref="AK105:AK106"/>
    <mergeCell ref="AP105:AP106"/>
    <mergeCell ref="AQ105:AQ106"/>
    <mergeCell ref="AR105:AR106"/>
    <mergeCell ref="AS105:AS106"/>
    <mergeCell ref="AU91:AU93"/>
    <mergeCell ref="AH91:AH92"/>
    <mergeCell ref="AI91:AI92"/>
    <mergeCell ref="AJ91:AJ92"/>
    <mergeCell ref="AK91:AK92"/>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V104:AC104"/>
    <mergeCell ref="AD104:AT104"/>
    <mergeCell ref="V99:AC99"/>
    <mergeCell ref="AD99:AT99"/>
    <mergeCell ref="V100:AC100"/>
    <mergeCell ref="AD100:AT100"/>
    <mergeCell ref="Z91:Z92"/>
    <mergeCell ref="AA91:AA92"/>
    <mergeCell ref="AB91:AB92"/>
    <mergeCell ref="AC91:AC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V73:AC73"/>
    <mergeCell ref="AD73:AT73"/>
    <mergeCell ref="V74:AC74"/>
    <mergeCell ref="AD74:AT74"/>
    <mergeCell ref="V75:AC75"/>
    <mergeCell ref="AD75:AT75"/>
    <mergeCell ref="AU77:AU79"/>
    <mergeCell ref="AH77:AH78"/>
    <mergeCell ref="AI77:AI78"/>
    <mergeCell ref="AJ77:AJ78"/>
    <mergeCell ref="AK77:AK78"/>
    <mergeCell ref="AU63:AU65"/>
    <mergeCell ref="AH63:AH64"/>
    <mergeCell ref="AI63:AI64"/>
    <mergeCell ref="AJ63:AJ64"/>
    <mergeCell ref="AK63:AK64"/>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V76:AC76"/>
    <mergeCell ref="AD76:AT76"/>
    <mergeCell ref="V71:AC71"/>
    <mergeCell ref="AD71:AT71"/>
    <mergeCell ref="V72:AC72"/>
    <mergeCell ref="AD72:AT7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T119:AU119"/>
    <mergeCell ref="T120:AU120"/>
    <mergeCell ref="T118:AU118"/>
    <mergeCell ref="AU49:AU51"/>
    <mergeCell ref="T115:AU115"/>
    <mergeCell ref="T116:AU116"/>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Z63:Z64"/>
    <mergeCell ref="AA63:AA64"/>
    <mergeCell ref="AB63:AB64"/>
    <mergeCell ref="AC63:AC64"/>
    <mergeCell ref="V62:AC6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144:AT983144 V65640:AT65640 V131176:AT131176 V196712:AT196712 V262248:AT262248 V327784:AT327784 V393320:AT393320 V458856:AT458856 V524392:AT524392 V589928:AT589928 V655464:AT655464 V721000:AT721000 V786536:AT786536 V852072:AT852072 V917608:AT917608">
      <formula1>kind_of_cons</formula1>
    </dataValidation>
    <dataValidation allowBlank="1" sqref="S131179:AU131185 S196715:AU196721 S262251:AU262257 S327787:AU327793 S393323:AU393329 S458859:AU458865 S524395:AU524401 S589931:AU589937 S655467:AU655473 S721003:AU721009 S786539:AU786545 S852075:AU852081 S917611:AU917617 S983147:AU983153 S65643:AU65649"/>
    <dataValidation type="list" allowBlank="1" showInputMessage="1" showErrorMessage="1" errorTitle="Ошибка" error="Выберите значение из списка" sqref="V983143:W983143 V65639:W65639 V131175:W131175 V196711:W196711 V262247:W262247 V327783:W327783 V393319:W393319 V458855:W458855 V524391:W524391 V589927:W589927 V655463:W655463 V720999:W720999 V786535:W786535 V852071:W852071 V917607:W917607 AD983143:AE983143 AD65639:AE65639 AD131175:AE131175 AD196711:AE196711 AD262247:AE262247 AD327783:AE327783 AD393319:AE393319 AD458855:AE458855 AD524391:AE524391 AD589927:AE589927 AD655463:AE655463 AD720999:AE720999 AD786535:AE786535 AD852071:AE852071 AD917607:AE917607">
      <formula1>kind_of_scheme_in</formula1>
    </dataValidation>
    <dataValidation type="textLength" operator="lessThanOrEqual" allowBlank="1" showInputMessage="1" showErrorMessage="1" errorTitle="Ошибка" error="Допускается ввод не более 900 символов!" sqref="AU65635:AU65642 AU131171:AU131178 AU196707:AU196714 AU262243:AU262250 AU327779:AU327786 AU393315:AU393322 AU458851:AU458858 AU524387:AU524394 AU589923:AU589930 AU655459:AU655466 AU720995:AU721002 AU786531:AU786538 AU852067:AU852074 AU917603:AU917610 AU983139:AU983146">
      <formula1>900</formula1>
    </dataValidation>
    <dataValidation type="list" allowBlank="1" showInputMessage="1" showErrorMessage="1" errorTitle="Ошибка" error="Выберите значение из списка" sqref="T65641 T131177 T196713 T262249 T327785 T393321 T458857 T524393 T589929 T655465 T721001 T786537 T852073 T917609 T98314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1 Z131177 Z196713 Z262249 Z327785 Z393321 Z458857 Z524393 Z589929 Z655465 Z721001 Z786537 Z852073 Z917609 Z983145 AB65641 AB131177 AB196713 AB262249 AB327785 AB393321 AB458857 AB524393 AB589929 AB655465 AB721001 AB786537 AB852073 AB917609 AB983145 Z8 AH65641 AH131177 AH196713 AH262249 AH327785 AH393321 AH458857 AH524393 AH589929 AH655465 AH721001 AH786537 AH852073 AH917609 AH983145 AJ65641 AJ131177 AJ196713 AJ262249 AJ327785 AJ393321 AJ458857 AJ524393 AJ589929 AJ655465 AJ721001 AJ786537 AJ852073 AJ917609 AJ983145 AJ49 AH49 AH8 AJ8 AB8 AH17 AJ17 Z49 AB49 Z63 AB63 AH63 AJ63 Z77 AB77 AH77 AJ77 Z91 AB91 AH91 AJ91 Z105 AB105 AH105 AJ105 AP8 AR8 AP49 AR49 AP63 AR63 AP77 AR77 AP91 AR91 AP105 AR105"/>
    <dataValidation allowBlank="1" showInputMessage="1" showErrorMessage="1" prompt="Для выбора выполните двойной щелчок левой клавиши мыши по соответствующей ячейке." sqref="AA65641 AA131177 AA196713 AA262249 AA327785 AA393321 AA458857 AA524393 AA589929 AA655465 AA721001 AA786537 AA852073 AA917609 AA983145 AC131177 AC458857 AC196713 AC262249 AC327785 AC393321 AC524393 AC589929 AC655465 AC721001 AC786537 AC852073 AC917609 AC983145 AC65641 AI65641 AI131177 AI196713 AI262249 AI327785 AI393321 AI458857 AI524393 AI589929 AI655465 AI721001 AI786537 AI852073 AI917609 AI983145 AK327785:AS327785 AK393321:AS393321 AK49 AQ49 AS49 AK524393:AS524393 AK8 AQ8 AS8 AK589929:AS589929 AK655465:AS655465 AK17 AK721001:AS721001 AK786537:AS786537 AK852073:AS852073 AK917609:AS917609 AK983145:AS983145 AK65641:AS65641 AK131177:AS131177 AI49 AK458857:AS458857 AI8 AC8 AA8 AI17 AK196713:AS196713 AA49 AC49 AK262249:AS262249 AA63 AC63 AI63 AK63 AQ63 AS63 AA77 AC77 AI77 AK77 AQ77 AS77 AA91 AC91 AI91 AK91 AQ91 AS91 AA105 AC105 AI105 AK105 AQ105 AS105"/>
    <dataValidation allowBlank="1" promptTitle="checkPeriodRange" sqref="Y65642 Y131178 Y196714 Y262250 Y327786 Y393322 Y458858 Y524394 Y589930 Y655466 Y721002 Y786538 Y852074 Y917610 Y983146 Y9 AG65642 AG131178 AG196714 AG262250 AG327786 AG393322 AG458858 AG524394 AG589930 AG655466 AG721002 AG786538 AG852074 AG917610 AG983146 AG9 AG50 AG18 Y50 Y64 AG64 Y78 AG78 Y92 AG92 Y106 AG106 AO9 AO50 AO64 AO78 AO92 AO10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88"/>
  <sheetViews>
    <sheetView showGridLines="0" topLeftCell="P25" zoomScale="90" workbookViewId="0">
      <selection activeCell="T83" sqref="T83:AM83"/>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81" customWidth="1"/>
    <col min="17" max="18" width="3.7109375" style="3147" customWidth="1"/>
    <col min="19" max="19" width="12.7109375" style="3148" customWidth="1"/>
    <col min="20" max="20" width="32" style="2112" customWidth="1"/>
    <col min="21" max="21" width="0.7109375" style="2112" hidden="1" customWidth="1"/>
    <col min="22" max="22" width="1.7109375" style="2112" hidden="1" customWidth="1"/>
    <col min="23" max="23" width="24.7109375" style="2112" hidden="1" customWidth="1"/>
    <col min="24" max="25" width="0.14062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0.140625" style="2112" customWidth="1"/>
    <col min="31" max="31" width="24.7109375" style="2112" customWidth="1"/>
    <col min="32" max="33" width="0.140625" style="2112" customWidth="1"/>
    <col min="34" max="34" width="11.7109375" style="2112" customWidth="1"/>
    <col min="35" max="35" width="3.7109375" style="2112" customWidth="1"/>
    <col min="36" max="36" width="11.7109375" style="2112" customWidth="1"/>
    <col min="37" max="37" width="8.5703125" style="2112" hidden="1" customWidth="1"/>
    <col min="38" max="38" width="4.7109375" style="2112" customWidth="1"/>
    <col min="39" max="39" width="115.7109375" style="2112"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5314">
        <v>1</v>
      </c>
      <c r="F2" s="1278"/>
      <c r="G2" s="1278"/>
      <c r="H2" s="1278"/>
      <c r="I2" s="1278"/>
      <c r="J2" s="1278"/>
      <c r="K2" s="1278"/>
      <c r="L2" s="1279"/>
      <c r="M2" s="1280"/>
      <c r="N2" s="1280"/>
      <c r="O2" s="1280"/>
      <c r="P2" s="285"/>
      <c r="Q2" s="284"/>
      <c r="R2" s="279"/>
      <c r="S2" s="1252"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2"/>
      <c r="AM2" s="1176" t="s">
        <v>515</v>
      </c>
      <c r="AO2" s="425"/>
      <c r="AP2" s="425" t="str">
        <f t="shared" ref="AP2:AP15" si="0">IF(T2="","",T2)</f>
        <v>Наименование тарифа</v>
      </c>
      <c r="AQ2" s="425"/>
      <c r="AR2" s="425"/>
    </row>
    <row r="3" spans="1:44" ht="21" hidden="1" customHeight="1">
      <c r="A3" s="1278"/>
      <c r="B3" s="1278"/>
      <c r="C3" s="1278"/>
      <c r="D3" s="1278"/>
      <c r="E3" s="5315"/>
      <c r="F3" s="5314">
        <v>1</v>
      </c>
      <c r="G3" s="1278"/>
      <c r="H3" s="1278"/>
      <c r="I3" s="1278"/>
      <c r="J3" s="1278"/>
      <c r="K3" s="1278"/>
      <c r="L3" s="1279"/>
      <c r="M3" s="1280"/>
      <c r="N3" s="1280"/>
      <c r="O3" s="1280"/>
      <c r="P3" s="1248"/>
      <c r="Q3" s="276"/>
      <c r="R3" s="277"/>
      <c r="S3" s="1252"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2"/>
      <c r="AM3" s="1176" t="s">
        <v>517</v>
      </c>
      <c r="AO3" s="425"/>
      <c r="AP3" s="425" t="str">
        <f t="shared" si="0"/>
        <v>Территория действия тарифа</v>
      </c>
      <c r="AQ3" s="425"/>
      <c r="AR3" s="425"/>
    </row>
    <row r="4" spans="1:44" ht="23.25" hidden="1" customHeight="1">
      <c r="A4" s="1278"/>
      <c r="B4" s="1278"/>
      <c r="C4" s="1278"/>
      <c r="D4" s="1278"/>
      <c r="E4" s="5315"/>
      <c r="F4" s="5315"/>
      <c r="G4" s="5314">
        <v>1</v>
      </c>
      <c r="H4" s="1278"/>
      <c r="I4" s="1278"/>
      <c r="J4" s="1278"/>
      <c r="K4" s="1278"/>
      <c r="L4" s="1279"/>
      <c r="M4" s="1280"/>
      <c r="N4" s="1280"/>
      <c r="O4" s="1280"/>
      <c r="P4" s="278"/>
      <c r="Q4" s="276"/>
      <c r="R4" s="277"/>
      <c r="S4" s="1252"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2"/>
      <c r="AM4" s="1176" t="s">
        <v>519</v>
      </c>
      <c r="AO4" s="425"/>
      <c r="AP4" s="425" t="str">
        <f t="shared" si="0"/>
        <v xml:space="preserve">Наименование системы теплоснабжения </v>
      </c>
      <c r="AQ4" s="425"/>
      <c r="AR4" s="425"/>
    </row>
    <row r="5" spans="1:44" ht="21" hidden="1" customHeight="1">
      <c r="A5" s="1278"/>
      <c r="B5" s="1278"/>
      <c r="C5" s="1278"/>
      <c r="D5" s="1278"/>
      <c r="E5" s="5315"/>
      <c r="F5" s="5315"/>
      <c r="G5" s="5315"/>
      <c r="H5" s="5314">
        <v>1</v>
      </c>
      <c r="I5" s="1278"/>
      <c r="J5" s="1278"/>
      <c r="K5" s="1278"/>
      <c r="L5" s="1279"/>
      <c r="M5" s="1280"/>
      <c r="N5" s="1280"/>
      <c r="O5" s="1280"/>
      <c r="P5" s="278"/>
      <c r="Q5" s="276"/>
      <c r="R5" s="277"/>
      <c r="S5" s="1252"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2"/>
      <c r="AM5" s="1176" t="s">
        <v>521</v>
      </c>
      <c r="AO5" s="425"/>
      <c r="AP5" s="425" t="str">
        <f t="shared" si="0"/>
        <v xml:space="preserve">Источник тепловой энергии  </v>
      </c>
      <c r="AQ5" s="425"/>
      <c r="AR5" s="425"/>
    </row>
    <row r="6" spans="1:44" ht="47.25" hidden="1" customHeight="1">
      <c r="A6" s="1278"/>
      <c r="B6" s="1278"/>
      <c r="C6" s="1278"/>
      <c r="D6" s="1278"/>
      <c r="E6" s="5315"/>
      <c r="F6" s="5315"/>
      <c r="G6" s="5315"/>
      <c r="H6" s="5315"/>
      <c r="I6" s="5312" t="e">
        <f>S5&amp;".1"</f>
        <v>#N/A</v>
      </c>
      <c r="J6" s="1278"/>
      <c r="K6" s="1278"/>
      <c r="L6" s="1279" t="s">
        <v>522</v>
      </c>
      <c r="M6" s="461"/>
      <c r="P6" s="5313">
        <v>1</v>
      </c>
      <c r="Q6" s="1247"/>
      <c r="R6" s="280"/>
      <c r="S6" s="1252" t="e">
        <f>$I6</f>
        <v>#N/A</v>
      </c>
      <c r="T6" s="203" t="s">
        <v>523</v>
      </c>
      <c r="U6" s="218"/>
      <c r="V6" s="5303"/>
      <c r="W6" s="5304"/>
      <c r="X6" s="5304"/>
      <c r="Y6" s="5304"/>
      <c r="Z6" s="5304"/>
      <c r="AA6" s="5304"/>
      <c r="AB6" s="5304"/>
      <c r="AC6" s="5305"/>
      <c r="AD6" s="5303"/>
      <c r="AE6" s="5304"/>
      <c r="AF6" s="5304"/>
      <c r="AG6" s="5304"/>
      <c r="AH6" s="5304"/>
      <c r="AI6" s="5304"/>
      <c r="AJ6" s="5304"/>
      <c r="AK6" s="5304"/>
      <c r="AL6" s="5305"/>
      <c r="AM6" s="1176" t="s">
        <v>524</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5315"/>
      <c r="F7" s="5315"/>
      <c r="G7" s="5315"/>
      <c r="H7" s="5315"/>
      <c r="I7" s="5335"/>
      <c r="J7" s="5312" t="e">
        <f>I6&amp;".1"</f>
        <v>#N/A</v>
      </c>
      <c r="K7" s="1278"/>
      <c r="L7" s="1279" t="s">
        <v>525</v>
      </c>
      <c r="M7" s="461"/>
      <c r="N7" s="1281"/>
      <c r="P7" s="5313"/>
      <c r="Q7" s="5313">
        <v>1</v>
      </c>
      <c r="R7" s="281"/>
      <c r="S7" s="1252" t="e">
        <f>$J7</f>
        <v>#N/A</v>
      </c>
      <c r="T7" s="204" t="s">
        <v>526</v>
      </c>
      <c r="U7" s="218"/>
      <c r="V7" s="5303"/>
      <c r="W7" s="5304"/>
      <c r="X7" s="5304"/>
      <c r="Y7" s="5304"/>
      <c r="Z7" s="5304"/>
      <c r="AA7" s="5304"/>
      <c r="AB7" s="5304"/>
      <c r="AC7" s="5305"/>
      <c r="AD7" s="5303"/>
      <c r="AE7" s="5304"/>
      <c r="AF7" s="5304"/>
      <c r="AG7" s="5304"/>
      <c r="AH7" s="5304"/>
      <c r="AI7" s="5304"/>
      <c r="AJ7" s="5304"/>
      <c r="AK7" s="5304"/>
      <c r="AL7" s="5305"/>
      <c r="AM7" s="1176" t="s">
        <v>527</v>
      </c>
      <c r="AO7" s="425"/>
      <c r="AP7" s="425" t="str">
        <f t="shared" si="0"/>
        <v>Группа потребителей</v>
      </c>
      <c r="AQ7" s="425"/>
      <c r="AR7" s="425"/>
    </row>
    <row r="8" spans="1:44"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52" t="e">
        <f>$K8</f>
        <v>#N/A</v>
      </c>
      <c r="T8" s="1263"/>
      <c r="U8" s="218"/>
      <c r="V8" s="250"/>
      <c r="W8" s="667"/>
      <c r="X8" s="250"/>
      <c r="Y8" s="317"/>
      <c r="Z8" s="5317"/>
      <c r="AA8" s="5161" t="s">
        <v>62</v>
      </c>
      <c r="AB8" s="5317"/>
      <c r="AC8" s="5161" t="s">
        <v>62</v>
      </c>
      <c r="AD8" s="250"/>
      <c r="AE8" s="667"/>
      <c r="AF8" s="250"/>
      <c r="AG8" s="317"/>
      <c r="AH8" s="5317"/>
      <c r="AI8" s="5161" t="s">
        <v>62</v>
      </c>
      <c r="AJ8" s="5317"/>
      <c r="AK8" s="5161" t="s">
        <v>62</v>
      </c>
      <c r="AL8" s="250"/>
      <c r="AM8" s="5309" t="s">
        <v>529</v>
      </c>
      <c r="AN8" s="436" t="e">
        <f ca="1">STRCHECKDATE(V9:AL9)</f>
        <v>#NAME?</v>
      </c>
      <c r="AO8" s="425"/>
      <c r="AP8" s="425" t="str">
        <f t="shared" si="0"/>
        <v/>
      </c>
      <c r="AQ8" s="425"/>
      <c r="AR8" s="425"/>
    </row>
    <row r="9" spans="1:44" ht="0.75" hidden="1" customHeight="1">
      <c r="A9" s="1278"/>
      <c r="B9" s="1278"/>
      <c r="C9" s="1278"/>
      <c r="D9" s="1278"/>
      <c r="E9" s="5315"/>
      <c r="F9" s="5315"/>
      <c r="G9" s="5315"/>
      <c r="H9" s="5315"/>
      <c r="I9" s="5335"/>
      <c r="J9" s="5335"/>
      <c r="K9" s="5312"/>
      <c r="L9" s="1279"/>
      <c r="M9" s="461"/>
      <c r="N9" s="1281"/>
      <c r="O9" s="1281"/>
      <c r="P9" s="5313"/>
      <c r="Q9" s="5313"/>
      <c r="R9" s="281"/>
      <c r="S9" s="1258"/>
      <c r="T9" s="218"/>
      <c r="U9" s="218"/>
      <c r="V9" s="250"/>
      <c r="W9" s="250"/>
      <c r="X9" s="250"/>
      <c r="Y9" s="254" t="str">
        <f>Z8&amp;"-"&amp;AB8</f>
        <v>-</v>
      </c>
      <c r="Z9" s="5318"/>
      <c r="AA9" s="5161"/>
      <c r="AB9" s="5318"/>
      <c r="AC9" s="5161"/>
      <c r="AD9" s="250"/>
      <c r="AE9" s="250"/>
      <c r="AF9" s="250"/>
      <c r="AG9" s="254" t="str">
        <f>AH8&amp;"-"&amp;AJ8</f>
        <v>-</v>
      </c>
      <c r="AH9" s="5318"/>
      <c r="AI9" s="5161"/>
      <c r="AJ9" s="5318"/>
      <c r="AK9" s="5161"/>
      <c r="AL9" s="250"/>
      <c r="AM9" s="5310"/>
      <c r="AO9" s="425"/>
      <c r="AP9" s="425" t="str">
        <f t="shared" si="0"/>
        <v/>
      </c>
      <c r="AQ9" s="425"/>
      <c r="AR9" s="425"/>
    </row>
    <row r="10" spans="1:44" ht="15" hidden="1" customHeight="1">
      <c r="A10" s="1278"/>
      <c r="B10" s="1278"/>
      <c r="C10" s="1278"/>
      <c r="D10" s="1278"/>
      <c r="E10" s="5315"/>
      <c r="F10" s="5315"/>
      <c r="G10" s="5315"/>
      <c r="H10" s="5315"/>
      <c r="I10" s="5335"/>
      <c r="J10" s="5312"/>
      <c r="K10" s="1278"/>
      <c r="L10" s="1279"/>
      <c r="M10" s="461"/>
      <c r="N10" s="1281"/>
      <c r="P10" s="5313"/>
      <c r="Q10" s="5313"/>
      <c r="R10" s="280"/>
      <c r="S10" s="1197"/>
      <c r="T10" s="206" t="s">
        <v>530</v>
      </c>
      <c r="U10" s="294"/>
      <c r="V10" s="294"/>
      <c r="W10" s="294"/>
      <c r="X10" s="294"/>
      <c r="Y10" s="294"/>
      <c r="Z10" s="294"/>
      <c r="AA10" s="294"/>
      <c r="AB10" s="294"/>
      <c r="AC10" s="294"/>
      <c r="AD10" s="294"/>
      <c r="AE10" s="294"/>
      <c r="AF10" s="294"/>
      <c r="AG10" s="294"/>
      <c r="AH10" s="294"/>
      <c r="AI10" s="294"/>
      <c r="AJ10" s="294"/>
      <c r="AK10" s="294"/>
      <c r="AL10" s="249"/>
      <c r="AM10" s="5311"/>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5315"/>
      <c r="F11" s="5315"/>
      <c r="G11" s="5315"/>
      <c r="H11" s="5315"/>
      <c r="I11" s="5312"/>
      <c r="J11" s="1278"/>
      <c r="K11" s="1278"/>
      <c r="L11" s="1279"/>
      <c r="M11" s="461"/>
      <c r="P11" s="5313"/>
      <c r="Q11" s="1247"/>
      <c r="R11" s="280"/>
      <c r="S11" s="1197"/>
      <c r="T11" s="205" t="s">
        <v>531</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5315"/>
      <c r="F12" s="5315"/>
      <c r="G12" s="5315"/>
      <c r="H12" s="5314"/>
      <c r="I12" s="1278"/>
      <c r="J12" s="1278"/>
      <c r="K12" s="1278"/>
      <c r="L12" s="1279"/>
      <c r="M12" s="1280"/>
      <c r="N12" s="1280"/>
      <c r="O12" s="461"/>
      <c r="P12" s="284"/>
      <c r="Q12" s="303"/>
      <c r="R12" s="279"/>
      <c r="S12" s="1197"/>
      <c r="T12" s="291" t="s">
        <v>532</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2167" customFormat="1" ht="0.7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167" customFormat="1" ht="0.7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167" customFormat="1" ht="0.7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5319"/>
      <c r="AI17" s="5320" t="s">
        <v>62</v>
      </c>
      <c r="AJ17" s="5319"/>
      <c r="AK17" s="5320" t="s">
        <v>62</v>
      </c>
    </row>
    <row r="18" spans="1:44" ht="14.25" hidden="1" customHeight="1">
      <c r="AD18" s="1275"/>
      <c r="AE18" s="1275"/>
      <c r="AF18" s="1275"/>
      <c r="AG18" s="254" t="str">
        <f>AH17&amp;"-"&amp;AJ17</f>
        <v>-</v>
      </c>
      <c r="AH18" s="5320"/>
      <c r="AI18" s="5320"/>
      <c r="AJ18" s="5320"/>
      <c r="AK18" s="5320"/>
    </row>
    <row r="19" spans="1:44" ht="14.25" hidden="1" customHeight="1">
      <c r="AK19" s="253"/>
    </row>
    <row r="20" spans="1:44" s="1832" customFormat="1" ht="22.5" hidden="1" customHeight="1">
      <c r="L20" s="1245"/>
      <c r="M20" s="1277"/>
      <c r="N20" s="1277"/>
      <c r="O20" s="1282" t="s">
        <v>533</v>
      </c>
      <c r="P20" s="1277"/>
      <c r="Q20" s="1286"/>
      <c r="R20" s="1286"/>
      <c r="S20" s="647"/>
      <c r="Z20" s="1282"/>
      <c r="AB20" s="1282"/>
      <c r="AC20" s="1281"/>
      <c r="AH20" s="1282"/>
      <c r="AJ20" s="1282"/>
      <c r="AK20" s="1281"/>
      <c r="AN20" s="436"/>
      <c r="AO20" s="436"/>
      <c r="AP20" s="436"/>
      <c r="AQ20" s="436"/>
      <c r="AR20" s="436"/>
    </row>
    <row r="21" spans="1:44" s="1832" customFormat="1" ht="14.25" hidden="1" customHeight="1">
      <c r="L21" s="1245"/>
      <c r="M21" s="1277"/>
      <c r="N21" s="1277"/>
      <c r="O21" s="1277"/>
      <c r="P21" s="1277"/>
      <c r="Q21" s="1286"/>
      <c r="R21" s="1286"/>
      <c r="S21" s="647"/>
      <c r="AC21" s="1281"/>
      <c r="AK21" s="1281"/>
      <c r="AN21" s="436"/>
      <c r="AO21" s="436"/>
      <c r="AP21" s="436"/>
      <c r="AQ21" s="436"/>
      <c r="AR21" s="436"/>
    </row>
    <row r="22" spans="1:44" s="1832" customFormat="1" ht="33.7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5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298"/>
      <c r="U26" s="5298"/>
      <c r="V26" s="5298"/>
      <c r="W26" s="5298"/>
      <c r="X26" s="5298"/>
      <c r="Y26" s="5298"/>
      <c r="Z26" s="5298"/>
      <c r="AA26" s="5298"/>
      <c r="AB26" s="5298"/>
      <c r="AC26" s="5298"/>
      <c r="AD26" s="5298"/>
      <c r="AE26" s="5298"/>
      <c r="AF26" s="5298"/>
      <c r="AG26" s="5298"/>
      <c r="AH26" s="5298"/>
      <c r="AI26" s="5298"/>
      <c r="AJ26" s="5298"/>
      <c r="AK26" s="1151"/>
    </row>
    <row r="27" spans="1:44"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252"/>
      <c r="AM29" s="199"/>
      <c r="AN29" s="295"/>
      <c r="AO29" s="295"/>
      <c r="AP29" s="295"/>
      <c r="AQ29" s="295"/>
      <c r="AR29" s="295"/>
    </row>
    <row r="30" spans="1:44"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252"/>
      <c r="AM30" s="199"/>
      <c r="AN30" s="295"/>
      <c r="AO30" s="295"/>
      <c r="AP30" s="295"/>
      <c r="AQ30" s="295"/>
      <c r="AR30" s="295"/>
    </row>
    <row r="31" spans="1:44"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252"/>
      <c r="AM31" s="199"/>
      <c r="AN31" s="295"/>
      <c r="AO31" s="295"/>
      <c r="AP31" s="295"/>
      <c r="AQ31" s="295"/>
      <c r="AR31" s="295"/>
    </row>
    <row r="32" spans="1:44"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252"/>
      <c r="AM34" s="199"/>
      <c r="AN34" s="295"/>
      <c r="AO34" s="295"/>
      <c r="AP34" s="295"/>
      <c r="AQ34" s="295"/>
      <c r="AR34" s="295"/>
    </row>
    <row r="35" spans="1:44" s="2180" customFormat="1" ht="18.7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252"/>
      <c r="AM35" s="199"/>
      <c r="AN35" s="295"/>
      <c r="AO35" s="295"/>
      <c r="AP35" s="295"/>
      <c r="AQ35" s="295"/>
      <c r="AR35" s="295"/>
    </row>
    <row r="36" spans="1:44" s="218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543</v>
      </c>
      <c r="AD36" s="252"/>
      <c r="AE36" s="252"/>
      <c r="AF36" s="252"/>
      <c r="AG36" s="252"/>
      <c r="AH36" s="252"/>
      <c r="AI36" s="252"/>
      <c r="AJ36" s="252"/>
      <c r="AK36" s="197" t="s">
        <v>543</v>
      </c>
      <c r="AN36" s="295"/>
      <c r="AO36" s="295"/>
      <c r="AP36" s="295"/>
      <c r="AQ36" s="295"/>
      <c r="AR36" s="295"/>
    </row>
    <row r="37" spans="1:44"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row>
    <row r="38" spans="1:44"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c r="AM38" s="5180" t="s">
        <v>418</v>
      </c>
    </row>
    <row r="39" spans="1:44" ht="14.25" customHeight="1">
      <c r="Q39" s="304"/>
      <c r="R39" s="304"/>
      <c r="S39" s="5322" t="s">
        <v>83</v>
      </c>
      <c r="T39" s="5274" t="s">
        <v>544</v>
      </c>
      <c r="U39" s="219"/>
      <c r="V39" s="5323" t="s">
        <v>545</v>
      </c>
      <c r="W39" s="5324"/>
      <c r="X39" s="5338"/>
      <c r="Y39" s="5338"/>
      <c r="Z39" s="5324"/>
      <c r="AA39" s="5324"/>
      <c r="AB39" s="5325"/>
      <c r="AC39" s="5326" t="s">
        <v>546</v>
      </c>
      <c r="AD39" s="5323" t="s">
        <v>545</v>
      </c>
      <c r="AE39" s="5324"/>
      <c r="AF39" s="5338"/>
      <c r="AG39" s="5338"/>
      <c r="AH39" s="5324"/>
      <c r="AI39" s="5324"/>
      <c r="AJ39" s="5325"/>
      <c r="AK39" s="5326" t="s">
        <v>547</v>
      </c>
      <c r="AL39" s="5329" t="s">
        <v>548</v>
      </c>
      <c r="AM39" s="5180"/>
    </row>
    <row r="40" spans="1:44" ht="23.25" customHeight="1">
      <c r="Q40" s="304"/>
      <c r="R40" s="304"/>
      <c r="S40" s="5322"/>
      <c r="T40" s="5274"/>
      <c r="U40" s="937"/>
      <c r="V40" s="5339" t="s">
        <v>549</v>
      </c>
      <c r="W40" s="5259" t="s">
        <v>550</v>
      </c>
      <c r="X40" s="1291" t="s">
        <v>551</v>
      </c>
      <c r="Y40" s="1291"/>
      <c r="Z40" s="5156" t="s">
        <v>552</v>
      </c>
      <c r="AA40" s="5156"/>
      <c r="AB40" s="5150"/>
      <c r="AC40" s="5327"/>
      <c r="AD40" s="5339" t="s">
        <v>549</v>
      </c>
      <c r="AE40" s="5259" t="s">
        <v>550</v>
      </c>
      <c r="AF40" s="1291" t="s">
        <v>551</v>
      </c>
      <c r="AG40" s="1291"/>
      <c r="AH40" s="5156" t="s">
        <v>552</v>
      </c>
      <c r="AI40" s="5156"/>
      <c r="AJ40" s="5150"/>
      <c r="AK40" s="5327"/>
      <c r="AL40" s="5330"/>
      <c r="AM40" s="5180"/>
    </row>
    <row r="41" spans="1:44" s="3597" customFormat="1" ht="23.2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M41" s="1277"/>
      <c r="N41" s="1277"/>
      <c r="O41" s="1277"/>
      <c r="P41" s="1244"/>
      <c r="Q41" s="304"/>
      <c r="R41" s="304"/>
      <c r="S41" s="5322"/>
      <c r="T41" s="5274"/>
      <c r="U41" s="220"/>
      <c r="V41" s="5340"/>
      <c r="W41" s="5264"/>
      <c r="X41" s="1288" t="s">
        <v>560</v>
      </c>
      <c r="Y41" s="1288" t="s">
        <v>561</v>
      </c>
      <c r="Z41" s="1250" t="s">
        <v>562</v>
      </c>
      <c r="AA41" s="5282" t="s">
        <v>563</v>
      </c>
      <c r="AB41" s="5284"/>
      <c r="AC41" s="5328"/>
      <c r="AD41" s="5340"/>
      <c r="AE41" s="5264"/>
      <c r="AF41" s="1288" t="s">
        <v>560</v>
      </c>
      <c r="AG41" s="1288" t="s">
        <v>561</v>
      </c>
      <c r="AH41" s="1250" t="s">
        <v>562</v>
      </c>
      <c r="AI41" s="5282" t="s">
        <v>563</v>
      </c>
      <c r="AJ41" s="5284"/>
      <c r="AK41" s="5328"/>
      <c r="AL41" s="5331"/>
      <c r="AM41" s="5180"/>
      <c r="AN41" s="436"/>
      <c r="AO41" s="425"/>
      <c r="AP41" s="425"/>
      <c r="AQ41" s="425"/>
      <c r="AR41" s="425"/>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251">
        <f ca="1">OFFSET(V42,0,-1)+1</f>
        <v>3</v>
      </c>
      <c r="W42" s="1251"/>
      <c r="X42" s="1257">
        <f ca="1">OFFSET(X42,0,-1)+1</f>
        <v>1</v>
      </c>
      <c r="Y42" s="1257">
        <f ca="1">OFFSET(Y42,0,-1)+1</f>
        <v>2</v>
      </c>
      <c r="Z42" s="1251">
        <f ca="1">OFFSET(Z42,0,-1)+1</f>
        <v>3</v>
      </c>
      <c r="AA42" s="5321">
        <f ca="1">OFFSET(AA42,0,-1)+1</f>
        <v>4</v>
      </c>
      <c r="AB42" s="5321"/>
      <c r="AC42" s="1251">
        <f ca="1">OFFSET(AC42,0,-2)+1</f>
        <v>5</v>
      </c>
      <c r="AD42" s="1251">
        <f ca="1">OFFSET(AD42,0,-1)+1</f>
        <v>6</v>
      </c>
      <c r="AE42" s="1251"/>
      <c r="AF42" s="1257">
        <f ca="1">OFFSET(AF42,0,-1)+1</f>
        <v>1</v>
      </c>
      <c r="AG42" s="1257">
        <f ca="1">OFFSET(AG42,0,-1)+1</f>
        <v>2</v>
      </c>
      <c r="AH42" s="1251">
        <f ca="1">OFFSET(AH42,0,-1)+1</f>
        <v>3</v>
      </c>
      <c r="AI42" s="5321">
        <f ca="1">OFFSET(AI42,0,-1)+1</f>
        <v>4</v>
      </c>
      <c r="AJ42" s="5321"/>
      <c r="AK42" s="1251">
        <f ca="1">OFFSET(AK42,0,-2)+1</f>
        <v>5</v>
      </c>
      <c r="AL42" s="1153">
        <f ca="1">OFFSET(AL42,0,-1)</f>
        <v>5</v>
      </c>
      <c r="AM42" s="1251">
        <f ca="1">OFFSET(AM42,0,-1)+1</f>
        <v>6</v>
      </c>
      <c r="AN42" s="436"/>
      <c r="AO42" s="436"/>
      <c r="AP42" s="436"/>
      <c r="AQ42" s="436"/>
      <c r="AR42" s="436"/>
    </row>
    <row r="43" spans="1:44" ht="21" customHeight="1">
      <c r="A43" s="1278" t="s">
        <v>317</v>
      </c>
      <c r="B43" s="1278"/>
      <c r="C43" s="1278"/>
      <c r="D43" s="1278"/>
      <c r="E43" s="5314">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127</v>
      </c>
      <c r="U43" s="218"/>
      <c r="V43" s="5300"/>
      <c r="W43" s="5301"/>
      <c r="X43" s="5301"/>
      <c r="Y43" s="5301"/>
      <c r="Z43" s="5301"/>
      <c r="AA43" s="5301"/>
      <c r="AB43" s="5301"/>
      <c r="AC43" s="5302"/>
      <c r="AD43" s="5300" t="str">
        <f>INDEX(PT_DIFFERENTIATION_NTAR,MATCH(A43,PT_DIFFERENTIATION_NTAR_ID,0))</f>
        <v xml:space="preserve">Плата за услуги по поддержанию резервной тепловой мощности. </v>
      </c>
      <c r="AE43" s="5301"/>
      <c r="AF43" s="5301"/>
      <c r="AG43" s="5301"/>
      <c r="AH43" s="5301"/>
      <c r="AI43" s="5301"/>
      <c r="AJ43" s="5301"/>
      <c r="AK43" s="5301"/>
      <c r="AL43" s="530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81" si="1">IF(T43="","",T43)</f>
        <v>Наименование тарифа</v>
      </c>
      <c r="AQ43" s="425"/>
      <c r="AR43" s="425"/>
    </row>
    <row r="44" spans="1:44" ht="21" customHeight="1">
      <c r="A44" s="1278" t="s">
        <v>317</v>
      </c>
      <c r="B44" s="1278" t="s">
        <v>318</v>
      </c>
      <c r="C44" s="1278"/>
      <c r="D44" s="1278"/>
      <c r="E44" s="5315"/>
      <c r="F44" s="5314">
        <v>1</v>
      </c>
      <c r="G44" s="1278"/>
      <c r="H44" s="1278"/>
      <c r="I44" s="1278"/>
      <c r="J44" s="1278"/>
      <c r="K44" s="1278"/>
      <c r="L44" s="1279"/>
      <c r="M44" s="1280"/>
      <c r="N44" s="1280"/>
      <c r="O44" s="1280"/>
      <c r="P44" s="1248"/>
      <c r="Q44" s="276"/>
      <c r="R44" s="277"/>
      <c r="S44" s="1252" t="str">
        <f>INDEX(PT_DIFFERENTIATION_NUM_TER,MATCH(B44,PT_DIFFERENTIATION_TER_ID,0))</f>
        <v>1.1</v>
      </c>
      <c r="T44" s="228" t="s">
        <v>516</v>
      </c>
      <c r="U44" s="218"/>
      <c r="V44" s="5300"/>
      <c r="W44" s="5301"/>
      <c r="X44" s="5301"/>
      <c r="Y44" s="5301"/>
      <c r="Z44" s="5301"/>
      <c r="AA44" s="5301"/>
      <c r="AB44" s="5301"/>
      <c r="AC44" s="5302"/>
      <c r="AD44" s="5300" t="str">
        <f>INDEX(PT_DIFFERENTIATION_TER,MATCH(B44,PT_DIFFERENTIATION_TER_ID,0))</f>
        <v>Территория 1</v>
      </c>
      <c r="AE44" s="5301"/>
      <c r="AF44" s="5301"/>
      <c r="AG44" s="5301"/>
      <c r="AH44" s="5301"/>
      <c r="AI44" s="5301"/>
      <c r="AJ44" s="5301"/>
      <c r="AK44" s="5301"/>
      <c r="AL44" s="5302"/>
      <c r="AM44" s="1176" t="s">
        <v>517</v>
      </c>
      <c r="AO44" s="425"/>
      <c r="AP44" s="425" t="str">
        <f t="shared" si="1"/>
        <v>Территория действия тарифа</v>
      </c>
      <c r="AQ44" s="425"/>
      <c r="AR44" s="425"/>
    </row>
    <row r="45" spans="1:44" ht="23.25" customHeight="1">
      <c r="A45" s="1278" t="s">
        <v>317</v>
      </c>
      <c r="B45" s="1278" t="s">
        <v>318</v>
      </c>
      <c r="C45" s="1278" t="s">
        <v>319</v>
      </c>
      <c r="D45" s="1278"/>
      <c r="E45" s="5315"/>
      <c r="F45" s="5315"/>
      <c r="G45" s="5314">
        <v>1</v>
      </c>
      <c r="H45" s="1278"/>
      <c r="I45" s="1278"/>
      <c r="J45" s="1278"/>
      <c r="K45" s="1278"/>
      <c r="L45" s="1279"/>
      <c r="M45" s="1280"/>
      <c r="N45" s="1280"/>
      <c r="O45" s="1280"/>
      <c r="P45" s="278"/>
      <c r="Q45" s="276"/>
      <c r="R45" s="277"/>
      <c r="S45" s="1252" t="str">
        <f>INDEX(PT_DIFFERENTIATION_NUM_CS,MATCH(C45,PT_DIFFERENTIATION_CS_ID,0))</f>
        <v>1.1.1</v>
      </c>
      <c r="T45" s="229" t="s">
        <v>518</v>
      </c>
      <c r="U45" s="218"/>
      <c r="V45" s="5300"/>
      <c r="W45" s="5301"/>
      <c r="X45" s="5301"/>
      <c r="Y45" s="5301"/>
      <c r="Z45" s="5301"/>
      <c r="AA45" s="5301"/>
      <c r="AB45" s="5301"/>
      <c r="AC45" s="5302"/>
      <c r="AD45" s="5300" t="str">
        <f>INDEX(PT_DIFFERENTIATION_CS,MATCH(C45,PT_DIFFERENTIATION_CS_ID,0))</f>
        <v xml:space="preserve">открытая система теплоснабжения г. Апатиты
</v>
      </c>
      <c r="AE45" s="5301"/>
      <c r="AF45" s="5301"/>
      <c r="AG45" s="5301"/>
      <c r="AH45" s="5301"/>
      <c r="AI45" s="5301"/>
      <c r="AJ45" s="5301"/>
      <c r="AK45" s="5301"/>
      <c r="AL45" s="5302"/>
      <c r="AM45" s="1176" t="s">
        <v>519</v>
      </c>
      <c r="AO45" s="425"/>
      <c r="AP45" s="425" t="str">
        <f t="shared" si="1"/>
        <v xml:space="preserve">Наименование системы теплоснабжения </v>
      </c>
      <c r="AQ45" s="425"/>
      <c r="AR45" s="425"/>
    </row>
    <row r="46" spans="1:44" ht="21" customHeight="1">
      <c r="A46" s="1278" t="s">
        <v>317</v>
      </c>
      <c r="B46" s="1278" t="s">
        <v>318</v>
      </c>
      <c r="C46" s="1278" t="s">
        <v>319</v>
      </c>
      <c r="D46" s="1278" t="s">
        <v>320</v>
      </c>
      <c r="E46" s="5315"/>
      <c r="F46" s="5315"/>
      <c r="G46" s="5315"/>
      <c r="H46" s="5314">
        <v>1</v>
      </c>
      <c r="I46" s="1278"/>
      <c r="J46" s="1278"/>
      <c r="K46" s="1278"/>
      <c r="L46" s="1279"/>
      <c r="M46" s="1280"/>
      <c r="N46" s="1280"/>
      <c r="O46" s="1280"/>
      <c r="P46" s="278"/>
      <c r="Q46" s="276"/>
      <c r="R46" s="277"/>
      <c r="S46" s="1252" t="str">
        <f>INDEX(PT_DIFFERENTIATION_NUM_IST_TE,MATCH(D46,PT_DIFFERENTIATION_IST_TE_ID,0))</f>
        <v>1.1.1.1</v>
      </c>
      <c r="T46" s="230" t="s">
        <v>520</v>
      </c>
      <c r="U46" s="218"/>
      <c r="V46" s="5300"/>
      <c r="W46" s="5301"/>
      <c r="X46" s="5301"/>
      <c r="Y46" s="5301"/>
      <c r="Z46" s="5301"/>
      <c r="AA46" s="5301"/>
      <c r="AB46" s="5301"/>
      <c r="AC46" s="5302"/>
      <c r="AD46" s="5300" t="str">
        <f>INDEX(PT_DIFFERENTIATION_IST_TE,MATCH(D46,PT_DIFFERENTIATION_IST_TE_ID,0))</f>
        <v>Апатитская ТЭЦ</v>
      </c>
      <c r="AE46" s="5301"/>
      <c r="AF46" s="5301"/>
      <c r="AG46" s="5301"/>
      <c r="AH46" s="5301"/>
      <c r="AI46" s="5301"/>
      <c r="AJ46" s="5301"/>
      <c r="AK46" s="5301"/>
      <c r="AL46" s="5302"/>
      <c r="AM46" s="1176" t="s">
        <v>521</v>
      </c>
      <c r="AO46" s="425"/>
      <c r="AP46" s="425" t="str">
        <f t="shared" si="1"/>
        <v xml:space="preserve">Источник тепловой энергии  </v>
      </c>
      <c r="AQ46" s="425"/>
      <c r="AR46" s="425"/>
    </row>
    <row r="47" spans="1:44" ht="47.25" customHeight="1">
      <c r="A47" s="1278" t="s">
        <v>317</v>
      </c>
      <c r="B47" s="1278" t="s">
        <v>318</v>
      </c>
      <c r="C47" s="1278" t="s">
        <v>319</v>
      </c>
      <c r="D47" s="1278" t="s">
        <v>320</v>
      </c>
      <c r="E47" s="5315"/>
      <c r="F47" s="5315"/>
      <c r="G47" s="5315"/>
      <c r="H47" s="5315"/>
      <c r="I47" s="5312" t="str">
        <f>S46&amp;".1"</f>
        <v>1.1.1.1.1</v>
      </c>
      <c r="J47" s="1278"/>
      <c r="K47" s="1278"/>
      <c r="L47" s="1279" t="s">
        <v>522</v>
      </c>
      <c r="P47" s="5313">
        <v>1</v>
      </c>
      <c r="Q47" s="1247"/>
      <c r="R47" s="280"/>
      <c r="S47" s="1252" t="str">
        <f>$I47</f>
        <v>1.1.1.1.1</v>
      </c>
      <c r="T47" s="203" t="s">
        <v>523</v>
      </c>
      <c r="U47" s="218"/>
      <c r="V47" s="5303"/>
      <c r="W47" s="5304"/>
      <c r="X47" s="5304"/>
      <c r="Y47" s="5304"/>
      <c r="Z47" s="5304"/>
      <c r="AA47" s="5304"/>
      <c r="AB47" s="5304"/>
      <c r="AC47" s="5305"/>
      <c r="AD47" s="5303" t="s">
        <v>565</v>
      </c>
      <c r="AE47" s="5304"/>
      <c r="AF47" s="5304"/>
      <c r="AG47" s="5304"/>
      <c r="AH47" s="5304"/>
      <c r="AI47" s="5304"/>
      <c r="AJ47" s="5304"/>
      <c r="AK47" s="5304"/>
      <c r="AL47" s="5305"/>
      <c r="AM47" s="1176" t="s">
        <v>524</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317</v>
      </c>
      <c r="B48" s="1278" t="s">
        <v>318</v>
      </c>
      <c r="C48" s="1278" t="s">
        <v>319</v>
      </c>
      <c r="D48" s="1278" t="s">
        <v>320</v>
      </c>
      <c r="E48" s="5315"/>
      <c r="F48" s="5315"/>
      <c r="G48" s="5315"/>
      <c r="H48" s="5315"/>
      <c r="I48" s="5335"/>
      <c r="J48" s="5312" t="str">
        <f>I47&amp;".1"</f>
        <v>1.1.1.1.1.1</v>
      </c>
      <c r="K48" s="1278"/>
      <c r="L48" s="1279" t="s">
        <v>525</v>
      </c>
      <c r="P48" s="5313"/>
      <c r="Q48" s="5313">
        <v>1</v>
      </c>
      <c r="R48" s="281"/>
      <c r="S48" s="1252" t="str">
        <f>$J48</f>
        <v>1.1.1.1.1.1</v>
      </c>
      <c r="T48" s="204" t="s">
        <v>526</v>
      </c>
      <c r="U48" s="218"/>
      <c r="V48" s="5303"/>
      <c r="W48" s="5304"/>
      <c r="X48" s="5304"/>
      <c r="Y48" s="5304"/>
      <c r="Z48" s="5304"/>
      <c r="AA48" s="5304"/>
      <c r="AB48" s="5304"/>
      <c r="AC48" s="5305"/>
      <c r="AD48" s="5303" t="s">
        <v>565</v>
      </c>
      <c r="AE48" s="5304"/>
      <c r="AF48" s="5304"/>
      <c r="AG48" s="5304"/>
      <c r="AH48" s="5304"/>
      <c r="AI48" s="5304"/>
      <c r="AJ48" s="5304"/>
      <c r="AK48" s="5304"/>
      <c r="AL48" s="5305"/>
      <c r="AM48" s="1176" t="s">
        <v>527</v>
      </c>
      <c r="AO48" s="425"/>
      <c r="AP48" s="425" t="str">
        <f t="shared" si="1"/>
        <v>Группа потребителей</v>
      </c>
      <c r="AQ48" s="425"/>
      <c r="AR48" s="425"/>
    </row>
    <row r="49" spans="1:44" ht="21" customHeight="1">
      <c r="A49" s="1278" t="s">
        <v>317</v>
      </c>
      <c r="B49" s="1278" t="s">
        <v>318</v>
      </c>
      <c r="C49" s="1278" t="s">
        <v>319</v>
      </c>
      <c r="D49" s="1278" t="s">
        <v>320</v>
      </c>
      <c r="E49" s="5315"/>
      <c r="F49" s="5315"/>
      <c r="G49" s="5315"/>
      <c r="H49" s="5315"/>
      <c r="I49" s="5335"/>
      <c r="J49" s="5335"/>
      <c r="K49" s="5312" t="str">
        <f>J48&amp;".1"</f>
        <v>1.1.1.1.1.1.1</v>
      </c>
      <c r="L49" s="1279" t="s">
        <v>528</v>
      </c>
      <c r="P49" s="5313"/>
      <c r="Q49" s="5313"/>
      <c r="R49" s="281">
        <v>1</v>
      </c>
      <c r="S49" s="1252" t="str">
        <f>$K49</f>
        <v>1.1.1.1.1.1.1</v>
      </c>
      <c r="T49" s="1263" t="s">
        <v>566</v>
      </c>
      <c r="U49" s="218"/>
      <c r="V49" s="250"/>
      <c r="W49" s="667"/>
      <c r="X49" s="250"/>
      <c r="Y49" s="317"/>
      <c r="Z49" s="5317"/>
      <c r="AA49" s="5161" t="s">
        <v>62</v>
      </c>
      <c r="AB49" s="5317"/>
      <c r="AC49" s="5161" t="s">
        <v>62</v>
      </c>
      <c r="AD49" s="250"/>
      <c r="AE49" s="667">
        <v>154.22999999999999</v>
      </c>
      <c r="AF49" s="250"/>
      <c r="AG49" s="317"/>
      <c r="AH49" s="5317">
        <v>45658.575891203705</v>
      </c>
      <c r="AI49" s="5161" t="s">
        <v>62</v>
      </c>
      <c r="AJ49" s="5336">
        <v>46022.575949074075</v>
      </c>
      <c r="AK49" s="5161" t="s">
        <v>62</v>
      </c>
      <c r="AL49" s="1264"/>
      <c r="AM49" s="5309" t="s">
        <v>529</v>
      </c>
      <c r="AN49" s="436" t="e">
        <f ca="1">STRCHECKDATE(V50:AL50)</f>
        <v>#NAME?</v>
      </c>
      <c r="AO49" s="425"/>
      <c r="AP49" s="425" t="str">
        <f t="shared" si="1"/>
        <v>вода</v>
      </c>
      <c r="AQ49" s="425"/>
      <c r="AR49" s="425"/>
    </row>
    <row r="50" spans="1:44" ht="0.75" customHeight="1">
      <c r="A50" s="1278" t="s">
        <v>317</v>
      </c>
      <c r="B50" s="1278" t="s">
        <v>318</v>
      </c>
      <c r="C50" s="1278" t="s">
        <v>319</v>
      </c>
      <c r="D50" s="1278" t="s">
        <v>320</v>
      </c>
      <c r="E50" s="5315"/>
      <c r="F50" s="5315"/>
      <c r="G50" s="5315"/>
      <c r="H50" s="5315"/>
      <c r="I50" s="5335"/>
      <c r="J50" s="5335"/>
      <c r="K50" s="5312"/>
      <c r="L50" s="1279"/>
      <c r="P50" s="5313"/>
      <c r="Q50" s="5313"/>
      <c r="R50" s="281"/>
      <c r="S50" s="1258"/>
      <c r="T50" s="218"/>
      <c r="U50" s="218"/>
      <c r="V50" s="250"/>
      <c r="W50" s="250"/>
      <c r="X50" s="250"/>
      <c r="Y50" s="254" t="str">
        <f>Z49&amp;"-"&amp;AB49</f>
        <v>-</v>
      </c>
      <c r="Z50" s="5318"/>
      <c r="AA50" s="5161"/>
      <c r="AB50" s="5318"/>
      <c r="AC50" s="5161"/>
      <c r="AD50" s="250"/>
      <c r="AE50" s="250"/>
      <c r="AF50" s="250"/>
      <c r="AG50" s="254" t="str">
        <f>AH49&amp;"-"&amp;AJ49</f>
        <v>45658,5758912037-46022,5759490741</v>
      </c>
      <c r="AH50" s="5318"/>
      <c r="AI50" s="5161"/>
      <c r="AJ50" s="5337"/>
      <c r="AK50" s="5161"/>
      <c r="AL50" s="1265"/>
      <c r="AM50" s="5310"/>
      <c r="AO50" s="425"/>
      <c r="AP50" s="425" t="str">
        <f t="shared" si="1"/>
        <v/>
      </c>
      <c r="AQ50" s="425"/>
      <c r="AR50" s="425"/>
    </row>
    <row r="51" spans="1:44" ht="11.25" customHeight="1">
      <c r="A51" s="1278" t="s">
        <v>317</v>
      </c>
      <c r="B51" s="1278" t="s">
        <v>318</v>
      </c>
      <c r="C51" s="1278" t="s">
        <v>319</v>
      </c>
      <c r="D51" s="1278" t="s">
        <v>320</v>
      </c>
      <c r="E51" s="5315"/>
      <c r="F51" s="5315"/>
      <c r="G51" s="5315"/>
      <c r="H51" s="5315"/>
      <c r="I51" s="5335"/>
      <c r="J51" s="5312"/>
      <c r="K51" s="1278"/>
      <c r="L51" s="1279"/>
      <c r="P51" s="5313"/>
      <c r="Q51" s="5313"/>
      <c r="R51" s="280"/>
      <c r="S51" s="1197"/>
      <c r="T51" s="206" t="s">
        <v>530</v>
      </c>
      <c r="U51" s="294"/>
      <c r="V51" s="294"/>
      <c r="W51" s="294"/>
      <c r="X51" s="294"/>
      <c r="Y51" s="294"/>
      <c r="Z51" s="294"/>
      <c r="AA51" s="294"/>
      <c r="AB51" s="294"/>
      <c r="AC51" s="294"/>
      <c r="AD51" s="294"/>
      <c r="AE51" s="294"/>
      <c r="AF51" s="294"/>
      <c r="AG51" s="294"/>
      <c r="AH51" s="294"/>
      <c r="AI51" s="294"/>
      <c r="AJ51" s="294"/>
      <c r="AK51" s="294"/>
      <c r="AL51" s="249"/>
      <c r="AM51" s="5311"/>
      <c r="AO51" s="425"/>
      <c r="AP51" s="425" t="str">
        <f t="shared" si="1"/>
        <v>Добавить вид теплоносителя (параметры теплоносителя)</v>
      </c>
      <c r="AQ51" s="425"/>
      <c r="AR51" s="425"/>
    </row>
    <row r="52" spans="1:44" ht="11.25" customHeight="1">
      <c r="A52" s="1278" t="s">
        <v>317</v>
      </c>
      <c r="B52" s="1278" t="s">
        <v>318</v>
      </c>
      <c r="C52" s="1278" t="s">
        <v>319</v>
      </c>
      <c r="D52" s="1278" t="s">
        <v>320</v>
      </c>
      <c r="E52" s="5315"/>
      <c r="F52" s="5315"/>
      <c r="G52" s="5315"/>
      <c r="H52" s="5315"/>
      <c r="I52" s="5312"/>
      <c r="J52" s="1278"/>
      <c r="K52" s="1278"/>
      <c r="L52" s="1279"/>
      <c r="P52" s="5313"/>
      <c r="Q52" s="1247"/>
      <c r="R52" s="280"/>
      <c r="S52" s="1197"/>
      <c r="T52" s="205" t="s">
        <v>531</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317</v>
      </c>
      <c r="B53" s="1278" t="s">
        <v>318</v>
      </c>
      <c r="C53" s="1278" t="s">
        <v>319</v>
      </c>
      <c r="D53" s="1278" t="s">
        <v>320</v>
      </c>
      <c r="E53" s="5315"/>
      <c r="F53" s="5315"/>
      <c r="G53" s="5315"/>
      <c r="H53" s="5314"/>
      <c r="I53" s="1278"/>
      <c r="J53" s="1278"/>
      <c r="K53" s="1278"/>
      <c r="L53" s="1279"/>
      <c r="M53" s="1280"/>
      <c r="N53" s="1280"/>
      <c r="O53" s="461"/>
      <c r="P53" s="284"/>
      <c r="Q53" s="303"/>
      <c r="R53" s="279"/>
      <c r="S53" s="1197"/>
      <c r="T53" s="291" t="s">
        <v>532</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2167" customFormat="1" ht="0.75" customHeight="1">
      <c r="A54" s="1259" t="s">
        <v>317</v>
      </c>
      <c r="B54" s="1259" t="s">
        <v>318</v>
      </c>
      <c r="C54" s="1259" t="s">
        <v>319</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167" customFormat="1" ht="0.75" customHeight="1">
      <c r="A55" s="1259" t="s">
        <v>317</v>
      </c>
      <c r="B55" s="1259" t="s">
        <v>318</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3598" customFormat="1" ht="21" customHeight="1">
      <c r="A56" s="2211"/>
      <c r="B56" s="2211" t="s">
        <v>321</v>
      </c>
      <c r="C56" s="2211"/>
      <c r="D56" s="2211"/>
      <c r="E56" s="5315"/>
      <c r="F56" s="5314" t="s">
        <v>98</v>
      </c>
      <c r="G56" s="2211"/>
      <c r="H56" s="2211"/>
      <c r="I56" s="2211"/>
      <c r="J56" s="2211"/>
      <c r="K56" s="2211"/>
      <c r="L56" s="2212"/>
      <c r="M56" s="2213"/>
      <c r="N56" s="2213"/>
      <c r="O56" s="2213"/>
      <c r="P56" s="2214"/>
      <c r="Q56" s="2215"/>
      <c r="R56" s="2216"/>
      <c r="S56" s="2217" t="str">
        <f>INDEX(PT_DIFFERENTIATION_NUM_TER,MATCH(B56,PT_DIFFERENTIATION_TER_ID,0))</f>
        <v>1.2</v>
      </c>
      <c r="T56" s="2218" t="s">
        <v>516</v>
      </c>
      <c r="U56" s="2219"/>
      <c r="V56" s="5300"/>
      <c r="W56" s="5301"/>
      <c r="X56" s="5301"/>
      <c r="Y56" s="5301"/>
      <c r="Z56" s="5301"/>
      <c r="AA56" s="5301"/>
      <c r="AB56" s="5301"/>
      <c r="AC56" s="5302"/>
      <c r="AD56" s="5300" t="str">
        <f>INDEX(PT_DIFFERENTIATION_TER,MATCH(B56,PT_DIFFERENTIATION_TER_ID,0))</f>
        <v>Территория 2</v>
      </c>
      <c r="AE56" s="5301"/>
      <c r="AF56" s="5301"/>
      <c r="AG56" s="5301"/>
      <c r="AH56" s="5301"/>
      <c r="AI56" s="5301"/>
      <c r="AJ56" s="5301"/>
      <c r="AK56" s="5301"/>
      <c r="AL56" s="5302"/>
      <c r="AM56" s="2220" t="s">
        <v>517</v>
      </c>
      <c r="AN56" s="2182"/>
      <c r="AO56" s="2221"/>
      <c r="AP56" s="2221" t="str">
        <f t="shared" si="1"/>
        <v>Территория действия тарифа</v>
      </c>
      <c r="AQ56" s="2221"/>
      <c r="AR56" s="2221"/>
    </row>
    <row r="57" spans="1:44" s="3599" customFormat="1" ht="23.25" customHeight="1">
      <c r="A57" s="2211"/>
      <c r="B57" s="2211"/>
      <c r="C57" s="2211" t="s">
        <v>322</v>
      </c>
      <c r="D57" s="2211"/>
      <c r="E57" s="5315"/>
      <c r="F57" s="5315">
        <v>1</v>
      </c>
      <c r="G57" s="5314">
        <v>1</v>
      </c>
      <c r="H57" s="2211"/>
      <c r="I57" s="2211"/>
      <c r="J57" s="2211"/>
      <c r="K57" s="2211"/>
      <c r="L57" s="2212"/>
      <c r="M57" s="2213"/>
      <c r="N57" s="2213"/>
      <c r="O57" s="2213"/>
      <c r="P57" s="2223"/>
      <c r="Q57" s="2215"/>
      <c r="R57" s="2216"/>
      <c r="S57" s="2217" t="str">
        <f>INDEX(PT_DIFFERENTIATION_NUM_CS,MATCH(C57,PT_DIFFERENTIATION_CS_ID,0))</f>
        <v>1.2.1</v>
      </c>
      <c r="T57" s="2224" t="s">
        <v>518</v>
      </c>
      <c r="U57" s="2219"/>
      <c r="V57" s="5300"/>
      <c r="W57" s="5301"/>
      <c r="X57" s="5301"/>
      <c r="Y57" s="5301"/>
      <c r="Z57" s="5301"/>
      <c r="AA57" s="5301"/>
      <c r="AB57" s="5301"/>
      <c r="AC57" s="5302"/>
      <c r="AD57" s="5300" t="str">
        <f>INDEX(PT_DIFFERENTIATION_CS,MATCH(C57,PT_DIFFERENTIATION_CS_ID,0))</f>
        <v>открытая система теплоснабжения г. Кировск</v>
      </c>
      <c r="AE57" s="5301"/>
      <c r="AF57" s="5301"/>
      <c r="AG57" s="5301"/>
      <c r="AH57" s="5301"/>
      <c r="AI57" s="5301"/>
      <c r="AJ57" s="5301"/>
      <c r="AK57" s="5301"/>
      <c r="AL57" s="5302"/>
      <c r="AM57" s="2220" t="s">
        <v>519</v>
      </c>
      <c r="AN57" s="2182"/>
      <c r="AO57" s="2221"/>
      <c r="AP57" s="2221" t="str">
        <f t="shared" si="1"/>
        <v xml:space="preserve">Наименование системы теплоснабжения </v>
      </c>
      <c r="AQ57" s="2221"/>
      <c r="AR57" s="2221"/>
    </row>
    <row r="58" spans="1:44" s="3600" customFormat="1" ht="21" customHeight="1">
      <c r="A58" s="2211"/>
      <c r="B58" s="2211"/>
      <c r="C58" s="2211"/>
      <c r="D58" s="2211" t="s">
        <v>323</v>
      </c>
      <c r="E58" s="5315"/>
      <c r="F58" s="5315">
        <v>1</v>
      </c>
      <c r="G58" s="5315"/>
      <c r="H58" s="5314">
        <v>1</v>
      </c>
      <c r="I58" s="2211"/>
      <c r="J58" s="2211"/>
      <c r="K58" s="2211"/>
      <c r="L58" s="2212"/>
      <c r="M58" s="2213"/>
      <c r="N58" s="2213"/>
      <c r="O58" s="2213"/>
      <c r="P58" s="2223"/>
      <c r="Q58" s="2215"/>
      <c r="R58" s="2216"/>
      <c r="S58" s="2217" t="str">
        <f>INDEX(PT_DIFFERENTIATION_NUM_IST_TE,MATCH(D58,PT_DIFFERENTIATION_IST_TE_ID,0))</f>
        <v>1.2.1.1</v>
      </c>
      <c r="T58" s="2226" t="s">
        <v>520</v>
      </c>
      <c r="U58" s="2219"/>
      <c r="V58" s="5300"/>
      <c r="W58" s="5301"/>
      <c r="X58" s="5301"/>
      <c r="Y58" s="5301"/>
      <c r="Z58" s="5301"/>
      <c r="AA58" s="5301"/>
      <c r="AB58" s="5301"/>
      <c r="AC58" s="5302"/>
      <c r="AD58" s="5300" t="str">
        <f>INDEX(PT_DIFFERENTIATION_IST_TE,MATCH(D58,PT_DIFFERENTIATION_IST_TE_ID,0))</f>
        <v>Апатитская ТЭЦ</v>
      </c>
      <c r="AE58" s="5301"/>
      <c r="AF58" s="5301"/>
      <c r="AG58" s="5301"/>
      <c r="AH58" s="5301"/>
      <c r="AI58" s="5301"/>
      <c r="AJ58" s="5301"/>
      <c r="AK58" s="5301"/>
      <c r="AL58" s="5302"/>
      <c r="AM58" s="2220" t="s">
        <v>521</v>
      </c>
      <c r="AN58" s="2182"/>
      <c r="AO58" s="2221"/>
      <c r="AP58" s="2221" t="str">
        <f t="shared" si="1"/>
        <v xml:space="preserve">Источник тепловой энергии  </v>
      </c>
      <c r="AQ58" s="2221"/>
      <c r="AR58" s="2221"/>
    </row>
    <row r="59" spans="1:44" s="3601" customFormat="1" ht="47.25" customHeight="1">
      <c r="A59" s="2211"/>
      <c r="B59" s="2211"/>
      <c r="C59" s="2211"/>
      <c r="D59" s="2211"/>
      <c r="E59" s="5315"/>
      <c r="F59" s="5315">
        <v>1</v>
      </c>
      <c r="G59" s="5315"/>
      <c r="H59" s="5315"/>
      <c r="I59" s="5312" t="str">
        <f>S58&amp;".1"</f>
        <v>1.2.1.1.1</v>
      </c>
      <c r="J59" s="2211"/>
      <c r="K59" s="2211"/>
      <c r="L59" s="2212" t="s">
        <v>522</v>
      </c>
      <c r="M59" s="2174"/>
      <c r="N59" s="2228"/>
      <c r="O59" s="2228"/>
      <c r="P59" s="5313">
        <v>1</v>
      </c>
      <c r="Q59" s="2229"/>
      <c r="R59" s="2230"/>
      <c r="S59" s="2217" t="str">
        <f>$I59</f>
        <v>1.2.1.1.1</v>
      </c>
      <c r="T59" s="2231" t="s">
        <v>523</v>
      </c>
      <c r="U59" s="2219"/>
      <c r="V59" s="5303"/>
      <c r="W59" s="5304"/>
      <c r="X59" s="5304"/>
      <c r="Y59" s="5304"/>
      <c r="Z59" s="5304"/>
      <c r="AA59" s="5304"/>
      <c r="AB59" s="5304"/>
      <c r="AC59" s="5305"/>
      <c r="AD59" s="5303" t="s">
        <v>565</v>
      </c>
      <c r="AE59" s="5304"/>
      <c r="AF59" s="5304"/>
      <c r="AG59" s="5304"/>
      <c r="AH59" s="5304"/>
      <c r="AI59" s="5304"/>
      <c r="AJ59" s="5304"/>
      <c r="AK59" s="5304"/>
      <c r="AL59" s="5305"/>
      <c r="AM59" s="2220" t="s">
        <v>524</v>
      </c>
      <c r="AN59" s="2182"/>
      <c r="AO59" s="2221"/>
      <c r="AP59" s="2221" t="str">
        <f t="shared" si="1"/>
        <v>Схема подключения теплопотребляющей установки к коллектору источника тепловой энергии</v>
      </c>
      <c r="AQ59" s="2221"/>
      <c r="AR59" s="2221"/>
    </row>
    <row r="60" spans="1:44" s="3602" customFormat="1" ht="21" customHeight="1">
      <c r="A60" s="2211"/>
      <c r="B60" s="2211"/>
      <c r="C60" s="2211"/>
      <c r="D60" s="2211"/>
      <c r="E60" s="5315"/>
      <c r="F60" s="5315">
        <v>1</v>
      </c>
      <c r="G60" s="5315"/>
      <c r="H60" s="5315"/>
      <c r="I60" s="5335"/>
      <c r="J60" s="5312" t="str">
        <f>I59&amp;".1"</f>
        <v>1.2.1.1.1.1</v>
      </c>
      <c r="K60" s="2211"/>
      <c r="L60" s="2212" t="s">
        <v>525</v>
      </c>
      <c r="M60" s="2174"/>
      <c r="N60" s="2174"/>
      <c r="O60" s="2228"/>
      <c r="P60" s="5313"/>
      <c r="Q60" s="5313">
        <v>1</v>
      </c>
      <c r="R60" s="2233"/>
      <c r="S60" s="2217" t="str">
        <f>$J60</f>
        <v>1.2.1.1.1.1</v>
      </c>
      <c r="T60" s="2234" t="s">
        <v>526</v>
      </c>
      <c r="U60" s="2219"/>
      <c r="V60" s="5303"/>
      <c r="W60" s="5304"/>
      <c r="X60" s="5304"/>
      <c r="Y60" s="5304"/>
      <c r="Z60" s="5304"/>
      <c r="AA60" s="5304"/>
      <c r="AB60" s="5304"/>
      <c r="AC60" s="5305"/>
      <c r="AD60" s="5303" t="s">
        <v>565</v>
      </c>
      <c r="AE60" s="5304"/>
      <c r="AF60" s="5304"/>
      <c r="AG60" s="5304"/>
      <c r="AH60" s="5304"/>
      <c r="AI60" s="5304"/>
      <c r="AJ60" s="5304"/>
      <c r="AK60" s="5304"/>
      <c r="AL60" s="5305"/>
      <c r="AM60" s="2220" t="s">
        <v>527</v>
      </c>
      <c r="AN60" s="2182"/>
      <c r="AO60" s="2221"/>
      <c r="AP60" s="2221" t="str">
        <f t="shared" si="1"/>
        <v>Группа потребителей</v>
      </c>
      <c r="AQ60" s="2221"/>
      <c r="AR60" s="2221"/>
    </row>
    <row r="61" spans="1:44" s="3603" customFormat="1" ht="21" customHeight="1">
      <c r="A61" s="2211"/>
      <c r="B61" s="2211"/>
      <c r="C61" s="2211"/>
      <c r="D61" s="2211"/>
      <c r="E61" s="5315"/>
      <c r="F61" s="5315">
        <v>1</v>
      </c>
      <c r="G61" s="5315"/>
      <c r="H61" s="5315"/>
      <c r="I61" s="5335"/>
      <c r="J61" s="5335"/>
      <c r="K61" s="5312" t="str">
        <f>J60&amp;".1"</f>
        <v>1.2.1.1.1.1.1</v>
      </c>
      <c r="L61" s="2212" t="s">
        <v>528</v>
      </c>
      <c r="M61" s="2174"/>
      <c r="N61" s="2174"/>
      <c r="O61" s="2174"/>
      <c r="P61" s="5313"/>
      <c r="Q61" s="5313"/>
      <c r="R61" s="2233">
        <v>1</v>
      </c>
      <c r="S61" s="2217" t="str">
        <f>$K61</f>
        <v>1.2.1.1.1.1.1</v>
      </c>
      <c r="T61" s="2236" t="s">
        <v>566</v>
      </c>
      <c r="U61" s="2219"/>
      <c r="V61" s="2140"/>
      <c r="W61" s="2139"/>
      <c r="X61" s="2140"/>
      <c r="Y61" s="3604"/>
      <c r="Z61" s="5317"/>
      <c r="AA61" s="5161" t="s">
        <v>62</v>
      </c>
      <c r="AB61" s="5317"/>
      <c r="AC61" s="5161" t="s">
        <v>62</v>
      </c>
      <c r="AD61" s="2140"/>
      <c r="AE61" s="2139">
        <v>154.22999999999999</v>
      </c>
      <c r="AF61" s="2140"/>
      <c r="AG61" s="3604"/>
      <c r="AH61" s="5317">
        <v>45658.576423611114</v>
      </c>
      <c r="AI61" s="5161" t="s">
        <v>62</v>
      </c>
      <c r="AJ61" s="5317">
        <v>46022.576469907406</v>
      </c>
      <c r="AK61" s="5161" t="s">
        <v>62</v>
      </c>
      <c r="AL61" s="2140"/>
      <c r="AM61" s="5309" t="s">
        <v>529</v>
      </c>
      <c r="AN61" s="2182" t="e">
        <f ca="1">STRCHECKDATE(V62:AL62)</f>
        <v>#NAME?</v>
      </c>
      <c r="AO61" s="2221"/>
      <c r="AP61" s="2221" t="str">
        <f t="shared" si="1"/>
        <v>вода</v>
      </c>
      <c r="AQ61" s="2221"/>
      <c r="AR61" s="2221"/>
    </row>
    <row r="62" spans="1:44" s="3605" customFormat="1" ht="0.75" customHeight="1">
      <c r="A62" s="2211"/>
      <c r="B62" s="2211"/>
      <c r="C62" s="2211"/>
      <c r="D62" s="2211"/>
      <c r="E62" s="5315"/>
      <c r="F62" s="5315">
        <v>1</v>
      </c>
      <c r="G62" s="5315"/>
      <c r="H62" s="5315"/>
      <c r="I62" s="5335"/>
      <c r="J62" s="5335"/>
      <c r="K62" s="5312"/>
      <c r="L62" s="2212"/>
      <c r="M62" s="2174"/>
      <c r="N62" s="2174"/>
      <c r="O62" s="2174"/>
      <c r="P62" s="5313"/>
      <c r="Q62" s="5313"/>
      <c r="R62" s="2233"/>
      <c r="S62" s="2238"/>
      <c r="T62" s="2219"/>
      <c r="U62" s="2219"/>
      <c r="V62" s="2140"/>
      <c r="W62" s="2140"/>
      <c r="X62" s="2140"/>
      <c r="Y62" s="2142" t="str">
        <f>Z61&amp;"-"&amp;AB61</f>
        <v>-</v>
      </c>
      <c r="Z62" s="5318"/>
      <c r="AA62" s="5161"/>
      <c r="AB62" s="5318"/>
      <c r="AC62" s="5161"/>
      <c r="AD62" s="2140"/>
      <c r="AE62" s="2140"/>
      <c r="AF62" s="2140"/>
      <c r="AG62" s="2142" t="str">
        <f>AH61&amp;"-"&amp;AJ61</f>
        <v>45658,5764236111-46022,5764699074</v>
      </c>
      <c r="AH62" s="5318"/>
      <c r="AI62" s="5161"/>
      <c r="AJ62" s="5318"/>
      <c r="AK62" s="5161"/>
      <c r="AL62" s="2140"/>
      <c r="AM62" s="5310"/>
      <c r="AN62" s="2182"/>
      <c r="AO62" s="2221"/>
      <c r="AP62" s="2221" t="str">
        <f t="shared" si="1"/>
        <v/>
      </c>
      <c r="AQ62" s="2221"/>
      <c r="AR62" s="2221"/>
    </row>
    <row r="63" spans="1:44" s="3606" customFormat="1" ht="15" customHeight="1">
      <c r="A63" s="2211"/>
      <c r="B63" s="2211"/>
      <c r="C63" s="2211"/>
      <c r="D63" s="2211"/>
      <c r="E63" s="5315"/>
      <c r="F63" s="5315">
        <v>1</v>
      </c>
      <c r="G63" s="5315"/>
      <c r="H63" s="5315"/>
      <c r="I63" s="5335"/>
      <c r="J63" s="5312"/>
      <c r="K63" s="2211"/>
      <c r="L63" s="2212"/>
      <c r="M63" s="2174"/>
      <c r="N63" s="2174"/>
      <c r="O63" s="2228"/>
      <c r="P63" s="5313"/>
      <c r="Q63" s="5313"/>
      <c r="R63" s="2230"/>
      <c r="S63" s="3607"/>
      <c r="T63" s="3608" t="s">
        <v>530</v>
      </c>
      <c r="U63" s="3609"/>
      <c r="V63" s="3610"/>
      <c r="W63" s="3611"/>
      <c r="X63" s="3612"/>
      <c r="Y63" s="3613"/>
      <c r="Z63" s="3614"/>
      <c r="AA63" s="3615"/>
      <c r="AB63" s="3616"/>
      <c r="AC63" s="3617"/>
      <c r="AD63" s="3618"/>
      <c r="AE63" s="3619"/>
      <c r="AF63" s="3620"/>
      <c r="AG63" s="3621"/>
      <c r="AH63" s="3622"/>
      <c r="AI63" s="3623"/>
      <c r="AJ63" s="3624"/>
      <c r="AK63" s="3625"/>
      <c r="AL63" s="3626"/>
      <c r="AM63" s="5311"/>
      <c r="AN63" s="2182"/>
      <c r="AO63" s="2221"/>
      <c r="AP63" s="2221" t="str">
        <f t="shared" si="1"/>
        <v>Добавить вид теплоносителя (параметры теплоносителя)</v>
      </c>
      <c r="AQ63" s="2221"/>
      <c r="AR63" s="2221"/>
    </row>
    <row r="64" spans="1:44" s="3627" customFormat="1" ht="15" customHeight="1">
      <c r="A64" s="2211"/>
      <c r="B64" s="2211"/>
      <c r="C64" s="2211"/>
      <c r="D64" s="2211"/>
      <c r="E64" s="5315"/>
      <c r="F64" s="5315">
        <v>1</v>
      </c>
      <c r="G64" s="5315"/>
      <c r="H64" s="5315"/>
      <c r="I64" s="5312"/>
      <c r="J64" s="2211"/>
      <c r="K64" s="2211"/>
      <c r="L64" s="2212"/>
      <c r="M64" s="2174"/>
      <c r="N64" s="2228"/>
      <c r="O64" s="2228"/>
      <c r="P64" s="5313"/>
      <c r="Q64" s="2229"/>
      <c r="R64" s="2230"/>
      <c r="S64" s="3628"/>
      <c r="T64" s="3629" t="s">
        <v>531</v>
      </c>
      <c r="U64" s="3630"/>
      <c r="V64" s="3631"/>
      <c r="W64" s="3632"/>
      <c r="X64" s="3633"/>
      <c r="Y64" s="3634"/>
      <c r="Z64" s="3635"/>
      <c r="AA64" s="3636"/>
      <c r="AB64" s="3637"/>
      <c r="AC64" s="3638"/>
      <c r="AD64" s="3639"/>
      <c r="AE64" s="3640"/>
      <c r="AF64" s="3641"/>
      <c r="AG64" s="3642"/>
      <c r="AH64" s="3643"/>
      <c r="AI64" s="3644"/>
      <c r="AJ64" s="3645"/>
      <c r="AK64" s="3646"/>
      <c r="AL64" s="3647"/>
      <c r="AM64" s="3648"/>
      <c r="AN64" s="2182"/>
      <c r="AO64" s="2221"/>
      <c r="AP64" s="2221" t="str">
        <f t="shared" si="1"/>
        <v>Добавить группу потребителей</v>
      </c>
      <c r="AQ64" s="2221"/>
      <c r="AR64" s="2221"/>
    </row>
    <row r="65" spans="1:44" s="3649" customFormat="1" ht="14.25" customHeight="1">
      <c r="A65" s="2211"/>
      <c r="B65" s="2211"/>
      <c r="C65" s="2211"/>
      <c r="D65" s="2211"/>
      <c r="E65" s="5315"/>
      <c r="F65" s="5315">
        <v>1</v>
      </c>
      <c r="G65" s="5315"/>
      <c r="H65" s="5314"/>
      <c r="I65" s="2211"/>
      <c r="J65" s="2211"/>
      <c r="K65" s="2211"/>
      <c r="L65" s="2212"/>
      <c r="M65" s="2213"/>
      <c r="N65" s="2213"/>
      <c r="O65" s="2174"/>
      <c r="P65" s="2299"/>
      <c r="Q65" s="2300"/>
      <c r="R65" s="2301"/>
      <c r="S65" s="3650"/>
      <c r="T65" s="3651" t="s">
        <v>532</v>
      </c>
      <c r="U65" s="3652"/>
      <c r="V65" s="3653"/>
      <c r="W65" s="3654"/>
      <c r="X65" s="3655"/>
      <c r="Y65" s="3656"/>
      <c r="Z65" s="3657"/>
      <c r="AA65" s="3658"/>
      <c r="AB65" s="3659"/>
      <c r="AC65" s="3660"/>
      <c r="AD65" s="3661"/>
      <c r="AE65" s="3662"/>
      <c r="AF65" s="3663"/>
      <c r="AG65" s="3664"/>
      <c r="AH65" s="3665"/>
      <c r="AI65" s="3666"/>
      <c r="AJ65" s="3667"/>
      <c r="AK65" s="3668"/>
      <c r="AL65" s="3669"/>
      <c r="AM65" s="3670"/>
      <c r="AN65" s="2182"/>
      <c r="AO65" s="2221"/>
      <c r="AP65" s="2221" t="str">
        <f t="shared" si="1"/>
        <v>Добавить схему подключения</v>
      </c>
      <c r="AQ65" s="2221"/>
      <c r="AR65" s="2221"/>
    </row>
    <row r="66" spans="1:44" s="3671" customFormat="1" ht="0.75" customHeight="1">
      <c r="A66" s="2332"/>
      <c r="B66" s="2332"/>
      <c r="C66" s="2332"/>
      <c r="D66" s="2332"/>
      <c r="E66" s="5315"/>
      <c r="F66" s="5315">
        <v>1</v>
      </c>
      <c r="G66" s="5314"/>
      <c r="H66" s="2332"/>
      <c r="I66" s="2332"/>
      <c r="J66" s="2332"/>
      <c r="K66" s="2332"/>
      <c r="L66" s="2333"/>
      <c r="M66" s="2334"/>
      <c r="N66" s="2334"/>
      <c r="O66" s="2182"/>
      <c r="P66" s="2335"/>
      <c r="Q66" s="2336"/>
      <c r="R66" s="2335"/>
      <c r="S66" s="2337"/>
      <c r="T66" s="2338" t="s">
        <v>168</v>
      </c>
      <c r="U66" s="2168"/>
      <c r="V66" s="2168"/>
      <c r="W66" s="2168"/>
      <c r="X66" s="2168"/>
      <c r="Y66" s="2168"/>
      <c r="Z66" s="2168"/>
      <c r="AA66" s="2168"/>
      <c r="AB66" s="2168"/>
      <c r="AC66" s="2168"/>
      <c r="AD66" s="2168"/>
      <c r="AE66" s="2168"/>
      <c r="AF66" s="2168"/>
      <c r="AG66" s="2168"/>
      <c r="AH66" s="2168"/>
      <c r="AI66" s="2168"/>
      <c r="AJ66" s="2168"/>
      <c r="AK66" s="2168"/>
      <c r="AL66" s="2168"/>
      <c r="AM66" s="2168"/>
      <c r="AN66" s="2182"/>
      <c r="AO66" s="2221"/>
      <c r="AP66" s="2221" t="str">
        <f t="shared" si="1"/>
        <v>Добавить источник для дифференциации</v>
      </c>
      <c r="AQ66" s="2221"/>
      <c r="AR66" s="2221"/>
    </row>
    <row r="67" spans="1:44" s="3672" customFormat="1" ht="0.75" customHeight="1">
      <c r="A67" s="2332"/>
      <c r="B67" s="2332"/>
      <c r="C67" s="2332"/>
      <c r="D67" s="2332"/>
      <c r="E67" s="5315"/>
      <c r="F67" s="5314">
        <v>1</v>
      </c>
      <c r="G67" s="2332"/>
      <c r="H67" s="2332"/>
      <c r="I67" s="2332"/>
      <c r="J67" s="2332"/>
      <c r="K67" s="2332"/>
      <c r="L67" s="2333"/>
      <c r="M67" s="2340"/>
      <c r="N67" s="2340"/>
      <c r="O67" s="2182"/>
      <c r="P67" s="2335"/>
      <c r="Q67" s="2336"/>
      <c r="R67" s="2335"/>
      <c r="S67" s="2341"/>
      <c r="T67" s="2342" t="s">
        <v>169</v>
      </c>
      <c r="U67" s="2169"/>
      <c r="V67" s="2169"/>
      <c r="W67" s="2169"/>
      <c r="X67" s="2169"/>
      <c r="Y67" s="2169"/>
      <c r="Z67" s="2169"/>
      <c r="AA67" s="2169"/>
      <c r="AB67" s="2169"/>
      <c r="AC67" s="2169"/>
      <c r="AD67" s="2169"/>
      <c r="AE67" s="2169"/>
      <c r="AF67" s="2169"/>
      <c r="AG67" s="2169"/>
      <c r="AH67" s="2169"/>
      <c r="AI67" s="2169"/>
      <c r="AJ67" s="2169"/>
      <c r="AK67" s="2169"/>
      <c r="AL67" s="2169"/>
      <c r="AM67" s="2169"/>
      <c r="AN67" s="2182"/>
      <c r="AO67" s="2221"/>
      <c r="AP67" s="2221" t="str">
        <f t="shared" si="1"/>
        <v>Добавить централизованную систему для дифференциации</v>
      </c>
      <c r="AQ67" s="2221"/>
      <c r="AR67" s="2221"/>
    </row>
    <row r="68" spans="1:44" s="3673" customFormat="1" ht="21" customHeight="1">
      <c r="A68" s="2211"/>
      <c r="B68" s="2211" t="s">
        <v>324</v>
      </c>
      <c r="C68" s="2211"/>
      <c r="D68" s="2211"/>
      <c r="E68" s="5315"/>
      <c r="F68" s="5314" t="s">
        <v>85</v>
      </c>
      <c r="G68" s="2211"/>
      <c r="H68" s="2211"/>
      <c r="I68" s="2211"/>
      <c r="J68" s="2211"/>
      <c r="K68" s="2211"/>
      <c r="L68" s="2212"/>
      <c r="M68" s="2213"/>
      <c r="N68" s="2213"/>
      <c r="O68" s="2213"/>
      <c r="P68" s="2214"/>
      <c r="Q68" s="2215"/>
      <c r="R68" s="2216"/>
      <c r="S68" s="2217" t="str">
        <f>INDEX(PT_DIFFERENTIATION_NUM_TER,MATCH(B68,PT_DIFFERENTIATION_TER_ID,0))</f>
        <v>1.3</v>
      </c>
      <c r="T68" s="2218" t="s">
        <v>516</v>
      </c>
      <c r="U68" s="2219"/>
      <c r="V68" s="5300"/>
      <c r="W68" s="5301"/>
      <c r="X68" s="5301"/>
      <c r="Y68" s="5301"/>
      <c r="Z68" s="5301"/>
      <c r="AA68" s="5301"/>
      <c r="AB68" s="5301"/>
      <c r="AC68" s="5302"/>
      <c r="AD68" s="5300" t="str">
        <f>INDEX(PT_DIFFERENTIATION_TER,MATCH(B68,PT_DIFFERENTIATION_TER_ID,0))</f>
        <v>Территория 3</v>
      </c>
      <c r="AE68" s="5301"/>
      <c r="AF68" s="5301"/>
      <c r="AG68" s="5301"/>
      <c r="AH68" s="5301"/>
      <c r="AI68" s="5301"/>
      <c r="AJ68" s="5301"/>
      <c r="AK68" s="5301"/>
      <c r="AL68" s="5302"/>
      <c r="AM68" s="2220" t="s">
        <v>517</v>
      </c>
      <c r="AN68" s="2182"/>
      <c r="AO68" s="2221"/>
      <c r="AP68" s="2221" t="str">
        <f t="shared" si="1"/>
        <v>Территория действия тарифа</v>
      </c>
      <c r="AQ68" s="2221"/>
      <c r="AR68" s="2221"/>
    </row>
    <row r="69" spans="1:44" s="3674" customFormat="1" ht="23.25" customHeight="1">
      <c r="A69" s="2211"/>
      <c r="B69" s="2211"/>
      <c r="C69" s="2211" t="s">
        <v>325</v>
      </c>
      <c r="D69" s="2211"/>
      <c r="E69" s="5315"/>
      <c r="F69" s="5315" t="s">
        <v>98</v>
      </c>
      <c r="G69" s="5314">
        <v>1</v>
      </c>
      <c r="H69" s="2211"/>
      <c r="I69" s="2211"/>
      <c r="J69" s="2211"/>
      <c r="K69" s="2211"/>
      <c r="L69" s="2212"/>
      <c r="M69" s="2213"/>
      <c r="N69" s="2213"/>
      <c r="O69" s="2213"/>
      <c r="P69" s="2223"/>
      <c r="Q69" s="2215"/>
      <c r="R69" s="2216"/>
      <c r="S69" s="2217" t="str">
        <f>INDEX(PT_DIFFERENTIATION_NUM_CS,MATCH(C69,PT_DIFFERENTIATION_CS_ID,0))</f>
        <v>1.3.1</v>
      </c>
      <c r="T69" s="2224" t="s">
        <v>518</v>
      </c>
      <c r="U69" s="2219"/>
      <c r="V69" s="5300"/>
      <c r="W69" s="5301"/>
      <c r="X69" s="5301"/>
      <c r="Y69" s="5301"/>
      <c r="Z69" s="5301"/>
      <c r="AA69" s="5301"/>
      <c r="AB69" s="5301"/>
      <c r="AC69" s="5302"/>
      <c r="AD69" s="5300" t="str">
        <f>INDEX(PT_DIFFERENTIATION_CS,MATCH(C69,PT_DIFFERENTIATION_CS_ID,0))</f>
        <v>закрытая система теплоснабжения нп Раякоски</v>
      </c>
      <c r="AE69" s="5301"/>
      <c r="AF69" s="5301"/>
      <c r="AG69" s="5301"/>
      <c r="AH69" s="5301"/>
      <c r="AI69" s="5301"/>
      <c r="AJ69" s="5301"/>
      <c r="AK69" s="5301"/>
      <c r="AL69" s="5302"/>
      <c r="AM69" s="2220" t="s">
        <v>519</v>
      </c>
      <c r="AN69" s="2182"/>
      <c r="AO69" s="2221"/>
      <c r="AP69" s="2221" t="str">
        <f t="shared" si="1"/>
        <v xml:space="preserve">Наименование системы теплоснабжения </v>
      </c>
      <c r="AQ69" s="2221"/>
      <c r="AR69" s="2221"/>
    </row>
    <row r="70" spans="1:44" s="3675" customFormat="1" ht="21" customHeight="1">
      <c r="A70" s="2211"/>
      <c r="B70" s="2211"/>
      <c r="C70" s="2211"/>
      <c r="D70" s="2211" t="s">
        <v>326</v>
      </c>
      <c r="E70" s="5315"/>
      <c r="F70" s="5315" t="s">
        <v>98</v>
      </c>
      <c r="G70" s="5315"/>
      <c r="H70" s="5314">
        <v>1</v>
      </c>
      <c r="I70" s="2211"/>
      <c r="J70" s="2211"/>
      <c r="K70" s="2211"/>
      <c r="L70" s="2212"/>
      <c r="M70" s="2213"/>
      <c r="N70" s="2213"/>
      <c r="O70" s="2213"/>
      <c r="P70" s="2223"/>
      <c r="Q70" s="2215"/>
      <c r="R70" s="2216"/>
      <c r="S70" s="2217" t="str">
        <f>INDEX(PT_DIFFERENTIATION_NUM_IST_TE,MATCH(D70,PT_DIFFERENTIATION_IST_TE_ID,0))</f>
        <v>1.3.1.1</v>
      </c>
      <c r="T70" s="2226" t="s">
        <v>520</v>
      </c>
      <c r="U70" s="2219"/>
      <c r="V70" s="5300"/>
      <c r="W70" s="5301"/>
      <c r="X70" s="5301"/>
      <c r="Y70" s="5301"/>
      <c r="Z70" s="5301"/>
      <c r="AA70" s="5301"/>
      <c r="AB70" s="5301"/>
      <c r="AC70" s="5302"/>
      <c r="AD70" s="5300" t="str">
        <f>INDEX(PT_DIFFERENTIATION_IST_TE,MATCH(D70,PT_DIFFERENTIATION_IST_TE_ID,0))</f>
        <v>Электрокотельные нп Раякоски</v>
      </c>
      <c r="AE70" s="5301"/>
      <c r="AF70" s="5301"/>
      <c r="AG70" s="5301"/>
      <c r="AH70" s="5301"/>
      <c r="AI70" s="5301"/>
      <c r="AJ70" s="5301"/>
      <c r="AK70" s="5301"/>
      <c r="AL70" s="5302"/>
      <c r="AM70" s="2220" t="s">
        <v>521</v>
      </c>
      <c r="AN70" s="2182"/>
      <c r="AO70" s="2221"/>
      <c r="AP70" s="2221" t="str">
        <f t="shared" si="1"/>
        <v xml:space="preserve">Источник тепловой энергии  </v>
      </c>
      <c r="AQ70" s="2221"/>
      <c r="AR70" s="2221"/>
    </row>
    <row r="71" spans="1:44" s="3676" customFormat="1" ht="47.25" customHeight="1">
      <c r="A71" s="2211"/>
      <c r="B71" s="2211"/>
      <c r="C71" s="2211"/>
      <c r="D71" s="2211"/>
      <c r="E71" s="5315"/>
      <c r="F71" s="5315" t="s">
        <v>98</v>
      </c>
      <c r="G71" s="5315"/>
      <c r="H71" s="5315"/>
      <c r="I71" s="5312" t="str">
        <f>S70&amp;".1"</f>
        <v>1.3.1.1.1</v>
      </c>
      <c r="J71" s="2211"/>
      <c r="K71" s="2211"/>
      <c r="L71" s="2212" t="s">
        <v>522</v>
      </c>
      <c r="M71" s="2174"/>
      <c r="N71" s="2228"/>
      <c r="O71" s="2228"/>
      <c r="P71" s="5313">
        <v>1</v>
      </c>
      <c r="Q71" s="2229"/>
      <c r="R71" s="2230"/>
      <c r="S71" s="2217" t="str">
        <f>$I71</f>
        <v>1.3.1.1.1</v>
      </c>
      <c r="T71" s="2231" t="s">
        <v>523</v>
      </c>
      <c r="U71" s="2219"/>
      <c r="V71" s="5303"/>
      <c r="W71" s="5304"/>
      <c r="X71" s="5304"/>
      <c r="Y71" s="5304"/>
      <c r="Z71" s="5304"/>
      <c r="AA71" s="5304"/>
      <c r="AB71" s="5304"/>
      <c r="AC71" s="5305"/>
      <c r="AD71" s="5303" t="s">
        <v>565</v>
      </c>
      <c r="AE71" s="5304"/>
      <c r="AF71" s="5304"/>
      <c r="AG71" s="5304"/>
      <c r="AH71" s="5304"/>
      <c r="AI71" s="5304"/>
      <c r="AJ71" s="5304"/>
      <c r="AK71" s="5304"/>
      <c r="AL71" s="5305"/>
      <c r="AM71" s="2220" t="s">
        <v>524</v>
      </c>
      <c r="AN71" s="2182"/>
      <c r="AO71" s="2221"/>
      <c r="AP71" s="2221" t="str">
        <f t="shared" si="1"/>
        <v>Схема подключения теплопотребляющей установки к коллектору источника тепловой энергии</v>
      </c>
      <c r="AQ71" s="2221"/>
      <c r="AR71" s="2221"/>
    </row>
    <row r="72" spans="1:44" s="3677" customFormat="1" ht="21" customHeight="1">
      <c r="A72" s="2211"/>
      <c r="B72" s="2211"/>
      <c r="C72" s="2211"/>
      <c r="D72" s="2211"/>
      <c r="E72" s="5315"/>
      <c r="F72" s="5315" t="s">
        <v>98</v>
      </c>
      <c r="G72" s="5315"/>
      <c r="H72" s="5315"/>
      <c r="I72" s="5335"/>
      <c r="J72" s="5312" t="str">
        <f>I71&amp;".1"</f>
        <v>1.3.1.1.1.1</v>
      </c>
      <c r="K72" s="2211"/>
      <c r="L72" s="2212" t="s">
        <v>525</v>
      </c>
      <c r="M72" s="2174"/>
      <c r="N72" s="2174"/>
      <c r="O72" s="2228"/>
      <c r="P72" s="5313"/>
      <c r="Q72" s="5313">
        <v>1</v>
      </c>
      <c r="R72" s="2233"/>
      <c r="S72" s="2217" t="str">
        <f>$J72</f>
        <v>1.3.1.1.1.1</v>
      </c>
      <c r="T72" s="2234" t="s">
        <v>526</v>
      </c>
      <c r="U72" s="2219"/>
      <c r="V72" s="5303"/>
      <c r="W72" s="5304"/>
      <c r="X72" s="5304"/>
      <c r="Y72" s="5304"/>
      <c r="Z72" s="5304"/>
      <c r="AA72" s="5304"/>
      <c r="AB72" s="5304"/>
      <c r="AC72" s="5305"/>
      <c r="AD72" s="5303" t="s">
        <v>565</v>
      </c>
      <c r="AE72" s="5304"/>
      <c r="AF72" s="5304"/>
      <c r="AG72" s="5304"/>
      <c r="AH72" s="5304"/>
      <c r="AI72" s="5304"/>
      <c r="AJ72" s="5304"/>
      <c r="AK72" s="5304"/>
      <c r="AL72" s="5305"/>
      <c r="AM72" s="2220" t="s">
        <v>527</v>
      </c>
      <c r="AN72" s="2182"/>
      <c r="AO72" s="2221"/>
      <c r="AP72" s="2221" t="str">
        <f t="shared" si="1"/>
        <v>Группа потребителей</v>
      </c>
      <c r="AQ72" s="2221"/>
      <c r="AR72" s="2221"/>
    </row>
    <row r="73" spans="1:44" s="3678" customFormat="1" ht="21" customHeight="1">
      <c r="A73" s="2211"/>
      <c r="B73" s="2211"/>
      <c r="C73" s="2211"/>
      <c r="D73" s="2211"/>
      <c r="E73" s="5315"/>
      <c r="F73" s="5315" t="s">
        <v>98</v>
      </c>
      <c r="G73" s="5315"/>
      <c r="H73" s="5315"/>
      <c r="I73" s="5335"/>
      <c r="J73" s="5335"/>
      <c r="K73" s="5312" t="str">
        <f>J72&amp;".1"</f>
        <v>1.3.1.1.1.1.1</v>
      </c>
      <c r="L73" s="2212" t="s">
        <v>528</v>
      </c>
      <c r="M73" s="2174"/>
      <c r="N73" s="2174"/>
      <c r="O73" s="2174"/>
      <c r="P73" s="5313"/>
      <c r="Q73" s="5313"/>
      <c r="R73" s="2233">
        <v>1</v>
      </c>
      <c r="S73" s="2217" t="str">
        <f>$K73</f>
        <v>1.3.1.1.1.1.1</v>
      </c>
      <c r="T73" s="2236" t="s">
        <v>566</v>
      </c>
      <c r="U73" s="2219"/>
      <c r="V73" s="2140"/>
      <c r="W73" s="2139"/>
      <c r="X73" s="2140"/>
      <c r="Y73" s="3604"/>
      <c r="Z73" s="5317"/>
      <c r="AA73" s="5161" t="s">
        <v>62</v>
      </c>
      <c r="AB73" s="5317"/>
      <c r="AC73" s="5161" t="s">
        <v>62</v>
      </c>
      <c r="AD73" s="2140"/>
      <c r="AE73" s="2139">
        <v>11.29</v>
      </c>
      <c r="AF73" s="2140"/>
      <c r="AG73" s="3604"/>
      <c r="AH73" s="5317">
        <v>45658.578483796293</v>
      </c>
      <c r="AI73" s="5161" t="s">
        <v>62</v>
      </c>
      <c r="AJ73" s="5317">
        <v>46022.578530092593</v>
      </c>
      <c r="AK73" s="5161" t="s">
        <v>62</v>
      </c>
      <c r="AL73" s="2140"/>
      <c r="AM73" s="5309" t="s">
        <v>529</v>
      </c>
      <c r="AN73" s="2182" t="e">
        <f ca="1">STRCHECKDATE(V74:AL74)</f>
        <v>#NAME?</v>
      </c>
      <c r="AO73" s="2221"/>
      <c r="AP73" s="2221" t="str">
        <f t="shared" si="1"/>
        <v>вода</v>
      </c>
      <c r="AQ73" s="2221"/>
      <c r="AR73" s="2221"/>
    </row>
    <row r="74" spans="1:44" s="3679" customFormat="1" ht="0.75" customHeight="1">
      <c r="A74" s="2211"/>
      <c r="B74" s="2211"/>
      <c r="C74" s="2211"/>
      <c r="D74" s="2211"/>
      <c r="E74" s="5315"/>
      <c r="F74" s="5315" t="s">
        <v>98</v>
      </c>
      <c r="G74" s="5315"/>
      <c r="H74" s="5315"/>
      <c r="I74" s="5335"/>
      <c r="J74" s="5335"/>
      <c r="K74" s="5312"/>
      <c r="L74" s="2212"/>
      <c r="M74" s="2174"/>
      <c r="N74" s="2174"/>
      <c r="O74" s="2174"/>
      <c r="P74" s="5313"/>
      <c r="Q74" s="5313"/>
      <c r="R74" s="2233"/>
      <c r="S74" s="2238"/>
      <c r="T74" s="2219"/>
      <c r="U74" s="2219"/>
      <c r="V74" s="2140"/>
      <c r="W74" s="2140"/>
      <c r="X74" s="2140"/>
      <c r="Y74" s="2142" t="str">
        <f>Z73&amp;"-"&amp;AB73</f>
        <v>-</v>
      </c>
      <c r="Z74" s="5318"/>
      <c r="AA74" s="5161"/>
      <c r="AB74" s="5318"/>
      <c r="AC74" s="5161"/>
      <c r="AD74" s="2140"/>
      <c r="AE74" s="2140"/>
      <c r="AF74" s="2140"/>
      <c r="AG74" s="2142" t="str">
        <f>AH73&amp;"-"&amp;AJ73</f>
        <v>45658,5784837963-46022,5785300926</v>
      </c>
      <c r="AH74" s="5318"/>
      <c r="AI74" s="5161"/>
      <c r="AJ74" s="5318"/>
      <c r="AK74" s="5161"/>
      <c r="AL74" s="2140"/>
      <c r="AM74" s="5310"/>
      <c r="AN74" s="2182"/>
      <c r="AO74" s="2221"/>
      <c r="AP74" s="2221" t="str">
        <f t="shared" si="1"/>
        <v/>
      </c>
      <c r="AQ74" s="2221"/>
      <c r="AR74" s="2221"/>
    </row>
    <row r="75" spans="1:44" s="3680" customFormat="1" ht="15" customHeight="1">
      <c r="A75" s="2211"/>
      <c r="B75" s="2211"/>
      <c r="C75" s="2211"/>
      <c r="D75" s="2211"/>
      <c r="E75" s="5315"/>
      <c r="F75" s="5315" t="s">
        <v>98</v>
      </c>
      <c r="G75" s="5315"/>
      <c r="H75" s="5315"/>
      <c r="I75" s="5335"/>
      <c r="J75" s="5312"/>
      <c r="K75" s="2211"/>
      <c r="L75" s="2212"/>
      <c r="M75" s="2174"/>
      <c r="N75" s="2174"/>
      <c r="O75" s="2228"/>
      <c r="P75" s="5313"/>
      <c r="Q75" s="5313"/>
      <c r="R75" s="2230"/>
      <c r="S75" s="3681"/>
      <c r="T75" s="3682" t="s">
        <v>530</v>
      </c>
      <c r="U75" s="3683"/>
      <c r="V75" s="3684"/>
      <c r="W75" s="3685"/>
      <c r="X75" s="3686"/>
      <c r="Y75" s="3687"/>
      <c r="Z75" s="3688"/>
      <c r="AA75" s="3689"/>
      <c r="AB75" s="3690"/>
      <c r="AC75" s="3691"/>
      <c r="AD75" s="3692"/>
      <c r="AE75" s="3693"/>
      <c r="AF75" s="3694"/>
      <c r="AG75" s="3695"/>
      <c r="AH75" s="3696"/>
      <c r="AI75" s="3697"/>
      <c r="AJ75" s="3698"/>
      <c r="AK75" s="3699"/>
      <c r="AL75" s="3700"/>
      <c r="AM75" s="5311"/>
      <c r="AN75" s="2182"/>
      <c r="AO75" s="2221"/>
      <c r="AP75" s="2221" t="str">
        <f t="shared" si="1"/>
        <v>Добавить вид теплоносителя (параметры теплоносителя)</v>
      </c>
      <c r="AQ75" s="2221"/>
      <c r="AR75" s="2221"/>
    </row>
    <row r="76" spans="1:44" s="3701" customFormat="1" ht="15" customHeight="1">
      <c r="A76" s="2211"/>
      <c r="B76" s="2211"/>
      <c r="C76" s="2211"/>
      <c r="D76" s="2211"/>
      <c r="E76" s="5315"/>
      <c r="F76" s="5315" t="s">
        <v>98</v>
      </c>
      <c r="G76" s="5315"/>
      <c r="H76" s="5315"/>
      <c r="I76" s="5312"/>
      <c r="J76" s="2211"/>
      <c r="K76" s="2211"/>
      <c r="L76" s="2212"/>
      <c r="M76" s="2174"/>
      <c r="N76" s="2228"/>
      <c r="O76" s="2228"/>
      <c r="P76" s="5313"/>
      <c r="Q76" s="2229"/>
      <c r="R76" s="2230"/>
      <c r="S76" s="3702"/>
      <c r="T76" s="3703" t="s">
        <v>531</v>
      </c>
      <c r="U76" s="3704"/>
      <c r="V76" s="3705"/>
      <c r="W76" s="3706"/>
      <c r="X76" s="3707"/>
      <c r="Y76" s="3708"/>
      <c r="Z76" s="3709"/>
      <c r="AA76" s="3710"/>
      <c r="AB76" s="3711"/>
      <c r="AC76" s="3712"/>
      <c r="AD76" s="3713"/>
      <c r="AE76" s="3714"/>
      <c r="AF76" s="3715"/>
      <c r="AG76" s="3716"/>
      <c r="AH76" s="3717"/>
      <c r="AI76" s="3718"/>
      <c r="AJ76" s="3719"/>
      <c r="AK76" s="3720"/>
      <c r="AL76" s="3721"/>
      <c r="AM76" s="3722"/>
      <c r="AN76" s="2182"/>
      <c r="AO76" s="2221"/>
      <c r="AP76" s="2221" t="str">
        <f t="shared" si="1"/>
        <v>Добавить группу потребителей</v>
      </c>
      <c r="AQ76" s="2221"/>
      <c r="AR76" s="2221"/>
    </row>
    <row r="77" spans="1:44" s="3723" customFormat="1" ht="14.25" customHeight="1">
      <c r="A77" s="2211"/>
      <c r="B77" s="2211"/>
      <c r="C77" s="2211"/>
      <c r="D77" s="2211"/>
      <c r="E77" s="5315"/>
      <c r="F77" s="5315" t="s">
        <v>98</v>
      </c>
      <c r="G77" s="5315"/>
      <c r="H77" s="5314"/>
      <c r="I77" s="2211"/>
      <c r="J77" s="2211"/>
      <c r="K77" s="2211"/>
      <c r="L77" s="2212"/>
      <c r="M77" s="2213"/>
      <c r="N77" s="2213"/>
      <c r="O77" s="2174"/>
      <c r="P77" s="2299"/>
      <c r="Q77" s="2300"/>
      <c r="R77" s="2301"/>
      <c r="S77" s="3724"/>
      <c r="T77" s="3725" t="s">
        <v>532</v>
      </c>
      <c r="U77" s="3726"/>
      <c r="V77" s="3727"/>
      <c r="W77" s="3728"/>
      <c r="X77" s="3729"/>
      <c r="Y77" s="3730"/>
      <c r="Z77" s="3731"/>
      <c r="AA77" s="3732"/>
      <c r="AB77" s="3733"/>
      <c r="AC77" s="3734"/>
      <c r="AD77" s="3735"/>
      <c r="AE77" s="3736"/>
      <c r="AF77" s="3737"/>
      <c r="AG77" s="3738"/>
      <c r="AH77" s="3739"/>
      <c r="AI77" s="3740"/>
      <c r="AJ77" s="3741"/>
      <c r="AK77" s="3742"/>
      <c r="AL77" s="3743"/>
      <c r="AM77" s="3744"/>
      <c r="AN77" s="2182"/>
      <c r="AO77" s="2221"/>
      <c r="AP77" s="2221" t="str">
        <f t="shared" si="1"/>
        <v>Добавить схему подключения</v>
      </c>
      <c r="AQ77" s="2221"/>
      <c r="AR77" s="2221"/>
    </row>
    <row r="78" spans="1:44" s="3745" customFormat="1" ht="0.75" customHeight="1">
      <c r="A78" s="2332"/>
      <c r="B78" s="2332"/>
      <c r="C78" s="2332"/>
      <c r="D78" s="2332"/>
      <c r="E78" s="5315"/>
      <c r="F78" s="5315" t="s">
        <v>98</v>
      </c>
      <c r="G78" s="5314"/>
      <c r="H78" s="2332"/>
      <c r="I78" s="2332"/>
      <c r="J78" s="2332"/>
      <c r="K78" s="2332"/>
      <c r="L78" s="2333"/>
      <c r="M78" s="2334"/>
      <c r="N78" s="2334"/>
      <c r="O78" s="2182"/>
      <c r="P78" s="2335"/>
      <c r="Q78" s="2336"/>
      <c r="R78" s="2335"/>
      <c r="S78" s="2337"/>
      <c r="T78" s="2338" t="s">
        <v>168</v>
      </c>
      <c r="U78" s="2168"/>
      <c r="V78" s="2168"/>
      <c r="W78" s="2168"/>
      <c r="X78" s="2168"/>
      <c r="Y78" s="2168"/>
      <c r="Z78" s="2168"/>
      <c r="AA78" s="2168"/>
      <c r="AB78" s="2168"/>
      <c r="AC78" s="2168"/>
      <c r="AD78" s="2168"/>
      <c r="AE78" s="2168"/>
      <c r="AF78" s="2168"/>
      <c r="AG78" s="2168"/>
      <c r="AH78" s="2168"/>
      <c r="AI78" s="2168"/>
      <c r="AJ78" s="2168"/>
      <c r="AK78" s="2168"/>
      <c r="AL78" s="2168"/>
      <c r="AM78" s="2168"/>
      <c r="AN78" s="2182"/>
      <c r="AO78" s="2221"/>
      <c r="AP78" s="2221" t="str">
        <f t="shared" si="1"/>
        <v>Добавить источник для дифференциации</v>
      </c>
      <c r="AQ78" s="2221"/>
      <c r="AR78" s="2221"/>
    </row>
    <row r="79" spans="1:44" s="3746" customFormat="1" ht="0.75" customHeight="1">
      <c r="A79" s="2332"/>
      <c r="B79" s="2332"/>
      <c r="C79" s="2332"/>
      <c r="D79" s="2332"/>
      <c r="E79" s="5315"/>
      <c r="F79" s="5314" t="s">
        <v>98</v>
      </c>
      <c r="G79" s="2332"/>
      <c r="H79" s="2332"/>
      <c r="I79" s="2332"/>
      <c r="J79" s="2332"/>
      <c r="K79" s="2332"/>
      <c r="L79" s="2333"/>
      <c r="M79" s="2340"/>
      <c r="N79" s="2340"/>
      <c r="O79" s="2182"/>
      <c r="P79" s="2335"/>
      <c r="Q79" s="2336"/>
      <c r="R79" s="2335"/>
      <c r="S79" s="2341"/>
      <c r="T79" s="2342" t="s">
        <v>169</v>
      </c>
      <c r="U79" s="2169"/>
      <c r="V79" s="2169"/>
      <c r="W79" s="2169"/>
      <c r="X79" s="2169"/>
      <c r="Y79" s="2169"/>
      <c r="Z79" s="2169"/>
      <c r="AA79" s="2169"/>
      <c r="AB79" s="2169"/>
      <c r="AC79" s="2169"/>
      <c r="AD79" s="2169"/>
      <c r="AE79" s="2169"/>
      <c r="AF79" s="2169"/>
      <c r="AG79" s="2169"/>
      <c r="AH79" s="2169"/>
      <c r="AI79" s="2169"/>
      <c r="AJ79" s="2169"/>
      <c r="AK79" s="2169"/>
      <c r="AL79" s="2169"/>
      <c r="AM79" s="2169"/>
      <c r="AN79" s="2182"/>
      <c r="AO79" s="2221"/>
      <c r="AP79" s="2221" t="str">
        <f t="shared" si="1"/>
        <v>Добавить централизованную систему для дифференциации</v>
      </c>
      <c r="AQ79" s="2221"/>
      <c r="AR79" s="2221"/>
    </row>
    <row r="80" spans="1:44" s="1819" customFormat="1" ht="0.75" customHeight="1">
      <c r="A80" s="1259" t="s">
        <v>317</v>
      </c>
      <c r="B80" s="1259"/>
      <c r="C80" s="1259"/>
      <c r="D80" s="1259"/>
      <c r="E80" s="5314"/>
      <c r="F80" s="1259"/>
      <c r="G80" s="1259"/>
      <c r="H80" s="1259"/>
      <c r="I80" s="1259"/>
      <c r="J80" s="1259"/>
      <c r="K80" s="1259"/>
      <c r="L80" s="1262"/>
      <c r="M80" s="1238"/>
      <c r="N80" s="1238"/>
      <c r="O80" s="443"/>
      <c r="P80" s="312"/>
      <c r="Q80" s="1260"/>
      <c r="R80" s="312"/>
      <c r="S80" s="1239"/>
      <c r="T80" s="1242" t="s">
        <v>174</v>
      </c>
      <c r="U80" s="1241"/>
      <c r="V80" s="1241"/>
      <c r="W80" s="1241"/>
      <c r="X80" s="1241"/>
      <c r="Y80" s="1241"/>
      <c r="Z80" s="1241"/>
      <c r="AA80" s="1241"/>
      <c r="AB80" s="1241"/>
      <c r="AC80" s="1241"/>
      <c r="AD80" s="1241"/>
      <c r="AE80" s="1241"/>
      <c r="AF80" s="1241"/>
      <c r="AG80" s="1241"/>
      <c r="AH80" s="1241"/>
      <c r="AI80" s="1241"/>
      <c r="AJ80" s="1241"/>
      <c r="AK80" s="1241"/>
      <c r="AL80" s="1241"/>
      <c r="AM80" s="1241"/>
      <c r="AO80" s="425"/>
      <c r="AP80" s="425" t="str">
        <f t="shared" si="1"/>
        <v>Добавить территорию для дифференциации</v>
      </c>
      <c r="AQ80" s="425"/>
      <c r="AR80" s="425"/>
    </row>
    <row r="81" spans="1:44" s="2167" customFormat="1" ht="0.75" customHeight="1">
      <c r="A81" s="1231"/>
      <c r="B81" s="1231"/>
      <c r="C81" s="1231"/>
      <c r="D81" s="1231"/>
      <c r="E81" s="1259"/>
      <c r="F81" s="1231"/>
      <c r="G81" s="1231"/>
      <c r="H81" s="1231"/>
      <c r="I81" s="1231"/>
      <c r="J81" s="1231"/>
      <c r="K81" s="1231"/>
      <c r="L81" s="1255"/>
      <c r="M81" s="1238"/>
      <c r="N81" s="1238"/>
      <c r="P81" s="1233"/>
      <c r="Q81" s="1234"/>
      <c r="R81" s="1233"/>
      <c r="S81" s="1239"/>
      <c r="T81" s="1242" t="s">
        <v>215</v>
      </c>
      <c r="U81" s="1241"/>
      <c r="V81" s="1241"/>
      <c r="W81" s="1241"/>
      <c r="X81" s="1241"/>
      <c r="Y81" s="1241"/>
      <c r="Z81" s="1241"/>
      <c r="AA81" s="1241"/>
      <c r="AB81" s="1241"/>
      <c r="AC81" s="1241"/>
      <c r="AD81" s="1241"/>
      <c r="AE81" s="1241"/>
      <c r="AF81" s="1241"/>
      <c r="AG81" s="1241"/>
      <c r="AH81" s="1241"/>
      <c r="AI81" s="1241"/>
      <c r="AJ81" s="1241"/>
      <c r="AK81" s="1241"/>
      <c r="AL81" s="1241"/>
      <c r="AM81" s="1241"/>
      <c r="AO81" s="705"/>
      <c r="AP81" s="705" t="str">
        <f t="shared" si="1"/>
        <v>Добавить наименование тарифа</v>
      </c>
      <c r="AQ81" s="705"/>
      <c r="AR81" s="705"/>
    </row>
    <row r="82" spans="1:44" ht="11.25" customHeight="1">
      <c r="M82" s="1059"/>
      <c r="N82" s="1059"/>
      <c r="O82" s="461"/>
      <c r="P82" s="1054"/>
      <c r="Q82" s="1054"/>
      <c r="R82" s="1054"/>
      <c r="S82" s="1054"/>
      <c r="AN82" s="1054"/>
      <c r="AO82" s="1054"/>
      <c r="AP82" s="1054"/>
      <c r="AQ82" s="1054"/>
      <c r="AR82" s="1054"/>
    </row>
    <row r="83" spans="1:44" ht="27" customHeight="1">
      <c r="O83" s="461"/>
      <c r="S83" s="1163"/>
      <c r="T83" s="5334"/>
      <c r="U83" s="5334"/>
      <c r="V83" s="5334"/>
      <c r="W83" s="5334"/>
      <c r="X83" s="5334"/>
      <c r="Y83" s="5334"/>
      <c r="Z83" s="5334"/>
      <c r="AA83" s="5334"/>
      <c r="AB83" s="5334"/>
      <c r="AC83" s="5334"/>
      <c r="AD83" s="5334"/>
      <c r="AE83" s="5334"/>
      <c r="AF83" s="5334"/>
      <c r="AG83" s="5334"/>
      <c r="AH83" s="5334"/>
      <c r="AI83" s="5334"/>
      <c r="AJ83" s="5334"/>
      <c r="AK83" s="5334"/>
      <c r="AL83" s="5334"/>
      <c r="AM83" s="5334"/>
    </row>
    <row r="84" spans="1:44" ht="75" customHeight="1">
      <c r="O84" s="461"/>
      <c r="T84" s="5334"/>
      <c r="U84" s="5334"/>
      <c r="V84" s="5334"/>
      <c r="W84" s="5334"/>
      <c r="X84" s="5334"/>
      <c r="Y84" s="5334"/>
      <c r="Z84" s="5334"/>
      <c r="AA84" s="5334"/>
      <c r="AB84" s="5334"/>
      <c r="AC84" s="5334"/>
      <c r="AD84" s="5334"/>
      <c r="AE84" s="5334"/>
      <c r="AF84" s="5334"/>
      <c r="AG84" s="5334"/>
      <c r="AH84" s="5334"/>
      <c r="AI84" s="5334"/>
      <c r="AJ84" s="5334"/>
      <c r="AK84" s="5334"/>
      <c r="AL84" s="5334"/>
      <c r="AM84" s="5334"/>
    </row>
    <row r="85" spans="1:44" ht="14.25" customHeight="1">
      <c r="O85" s="461"/>
    </row>
    <row r="86" spans="1:44" ht="18" customHeight="1">
      <c r="O86" s="461"/>
      <c r="S86" s="1163"/>
      <c r="T86" s="5334"/>
      <c r="U86" s="5334"/>
      <c r="V86" s="5334"/>
      <c r="W86" s="5334"/>
      <c r="X86" s="5334"/>
      <c r="Y86" s="5334"/>
      <c r="Z86" s="5334"/>
      <c r="AA86" s="5334"/>
      <c r="AB86" s="5334"/>
      <c r="AC86" s="5334"/>
      <c r="AD86" s="5334"/>
      <c r="AE86" s="5334"/>
      <c r="AF86" s="5334"/>
      <c r="AG86" s="5334"/>
      <c r="AH86" s="5334"/>
      <c r="AI86" s="5334"/>
      <c r="AJ86" s="5334"/>
      <c r="AK86" s="5334"/>
      <c r="AL86" s="5334"/>
      <c r="AM86" s="5334"/>
    </row>
    <row r="87" spans="1:44" ht="18" customHeight="1">
      <c r="O87" s="461"/>
      <c r="T87" s="5334"/>
      <c r="U87" s="5334"/>
      <c r="V87" s="5334"/>
      <c r="W87" s="5334"/>
      <c r="X87" s="5334"/>
      <c r="Y87" s="5334"/>
      <c r="Z87" s="5334"/>
      <c r="AA87" s="5334"/>
      <c r="AB87" s="5334"/>
      <c r="AC87" s="5334"/>
      <c r="AD87" s="5334"/>
      <c r="AE87" s="5334"/>
      <c r="AF87" s="5334"/>
      <c r="AG87" s="5334"/>
      <c r="AH87" s="5334"/>
      <c r="AI87" s="5334"/>
      <c r="AJ87" s="5334"/>
      <c r="AK87" s="5334"/>
      <c r="AL87" s="5334"/>
      <c r="AM87" s="5334"/>
    </row>
    <row r="88" spans="1:44" ht="38.25" customHeight="1">
      <c r="O88" s="461"/>
      <c r="S88" s="1163"/>
      <c r="T88" s="5334"/>
      <c r="U88" s="5334"/>
      <c r="V88" s="5334"/>
      <c r="W88" s="5334"/>
      <c r="X88" s="5334"/>
      <c r="Y88" s="5334"/>
      <c r="Z88" s="5334"/>
      <c r="AA88" s="5334"/>
      <c r="AB88" s="5334"/>
      <c r="AC88" s="5334"/>
      <c r="AD88" s="5334"/>
      <c r="AE88" s="5334"/>
      <c r="AF88" s="5334"/>
      <c r="AG88" s="5334"/>
      <c r="AH88" s="5334"/>
      <c r="AI88" s="5334"/>
      <c r="AJ88" s="5334"/>
      <c r="AK88" s="5334"/>
      <c r="AL88" s="5334"/>
      <c r="AM88" s="5334"/>
    </row>
  </sheetData>
  <sheetProtection formatColumns="0" formatRows="0" insertRows="0" deleteColumns="0" deleteRows="0" sort="0" autoFilter="0"/>
  <mergeCells count="164">
    <mergeCell ref="AK73:AK74"/>
    <mergeCell ref="Z73:Z74"/>
    <mergeCell ref="AM73:AM75"/>
    <mergeCell ref="AA73:AA74"/>
    <mergeCell ref="AB73:AB74"/>
    <mergeCell ref="AC73:AC74"/>
    <mergeCell ref="AH73:AH74"/>
    <mergeCell ref="AI73:AI74"/>
    <mergeCell ref="V70:AC70"/>
    <mergeCell ref="AD70:AL70"/>
    <mergeCell ref="V71:AC71"/>
    <mergeCell ref="AD71:AL71"/>
    <mergeCell ref="V72:AC72"/>
    <mergeCell ref="AD72:AL72"/>
    <mergeCell ref="F68:F79"/>
    <mergeCell ref="G69:G78"/>
    <mergeCell ref="H70:H77"/>
    <mergeCell ref="I71:I76"/>
    <mergeCell ref="P71:P76"/>
    <mergeCell ref="J72:J75"/>
    <mergeCell ref="Q72:Q75"/>
    <mergeCell ref="K73:K74"/>
    <mergeCell ref="AJ73:AJ74"/>
    <mergeCell ref="V68:AC68"/>
    <mergeCell ref="AD68:AL68"/>
    <mergeCell ref="V69:AC69"/>
    <mergeCell ref="AD69:AL69"/>
    <mergeCell ref="AK61:AK62"/>
    <mergeCell ref="Z61:Z62"/>
    <mergeCell ref="AM61:AM63"/>
    <mergeCell ref="AA61:AA62"/>
    <mergeCell ref="AB61:AB62"/>
    <mergeCell ref="AC61:AC62"/>
    <mergeCell ref="AH61:AH62"/>
    <mergeCell ref="AI61:AI62"/>
    <mergeCell ref="V58:AC58"/>
    <mergeCell ref="AD58:AL58"/>
    <mergeCell ref="V59:AC59"/>
    <mergeCell ref="AD59:AL59"/>
    <mergeCell ref="V60:AC60"/>
    <mergeCell ref="AD60:AL60"/>
    <mergeCell ref="F56:F67"/>
    <mergeCell ref="G57:G66"/>
    <mergeCell ref="H58:H65"/>
    <mergeCell ref="I59:I64"/>
    <mergeCell ref="P59:P64"/>
    <mergeCell ref="J60:J63"/>
    <mergeCell ref="Q60:Q63"/>
    <mergeCell ref="K61:K62"/>
    <mergeCell ref="AJ61:AJ62"/>
    <mergeCell ref="V56:AC56"/>
    <mergeCell ref="AD56:AL56"/>
    <mergeCell ref="V57:AC57"/>
    <mergeCell ref="AD57:AL57"/>
    <mergeCell ref="V2:AC2"/>
    <mergeCell ref="AD2:AL2"/>
    <mergeCell ref="V3:AC3"/>
    <mergeCell ref="AD3:AL3"/>
    <mergeCell ref="V4:AC4"/>
    <mergeCell ref="AD4:AL4"/>
    <mergeCell ref="T86:AM86"/>
    <mergeCell ref="T87:AM87"/>
    <mergeCell ref="T88:AM88"/>
    <mergeCell ref="S34:T34"/>
    <mergeCell ref="V34:AB34"/>
    <mergeCell ref="AD34:AJ34"/>
    <mergeCell ref="S35:T35"/>
    <mergeCell ref="V35:AB35"/>
    <mergeCell ref="AD35:AJ35"/>
    <mergeCell ref="AM49:AM51"/>
    <mergeCell ref="T83:AM83"/>
    <mergeCell ref="T84:AM84"/>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80"/>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47:AM131153 S196683:AM196689 S262219:AM262225 S327755:AM327761 S393291:AM393297 S458827:AM458833 S524363:AM524369 S589899:AM589905 S655435:AM655441 S720971:AM720977 S786507:AM786513 S852043:AM852049 S917579:AM917585 S983115:AM983121 S65611:AM65617"/>
    <dataValidation type="list" allowBlank="1" showInputMessage="1" errorTitle="Ошибка" error="Выберите значение из списка" prompt="Выберите значение из списка" sqref="V983112:AL983112 V65608:AL65608 V131144:AL131144 V196680:AL196680 V262216:AL262216 V327752:AL327752 V393288:AL393288 V458824:AL458824 V524360:AL524360 V589896:AL589896 V655432:AL655432 V720968:AL720968 V786504:AL786504 V852040:AL852040 V917576:AL917576">
      <formula1>kind_of_cons</formula1>
    </dataValidation>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type="textLength" operator="lessThanOrEqual" allowBlank="1" showInputMessage="1" showErrorMessage="1" errorTitle="Ошибка" error="Допускается ввод не более 900 символов!" sqref="AM65603:AM65610 AM131139:AM131146 AM196675:AM196682 AM262211:AM262218 AM327747:AM327754 AM393283:AM393290 AM458819:AM458826 AM524355:AM524362 AM589891:AM589898 AM655427:AM655434 AM720963:AM720970 AM786499:AM786506 AM852035:AM852042 AM917571:AM917578 AM983107:AM9831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524361 AK8 AK589897 AK655433 AK17 AK720969 AK786505 AK852041 AK917577 AK983113 AK65609 AK131145 AK458825 AK196681 AK262217 AI49 AI8 AC8 AA8 AI17 AK327753 AK393289 AA49 AC49 AK49 AA61 AC61 AI61 AK61 AA73 AC73 AI73 AK73"/>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AG50 AG18 Y50 Y62 AG62 Y74 AG7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103"/>
  <sheetViews>
    <sheetView showGridLines="0" topLeftCell="Q25" zoomScale="90" workbookViewId="0">
      <selection activeCell="AD43" sqref="AD43:AT43"/>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81" hidden="1" customWidth="1"/>
    <col min="17" max="18" width="3.7109375" style="3147" customWidth="1"/>
    <col min="19" max="19" width="12.7109375" style="3148" customWidth="1"/>
    <col min="20" max="20" width="32" style="2112" customWidth="1"/>
    <col min="21" max="21" width="0.140625" style="2112" customWidth="1"/>
    <col min="22" max="22" width="24.7109375" style="2112" hidden="1" customWidth="1"/>
    <col min="23" max="23" width="0.140625" style="2112" hidden="1" customWidth="1"/>
    <col min="24" max="25" width="24.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24.7109375" style="2112" customWidth="1"/>
    <col min="31" max="31" width="0.140625" style="2112" customWidth="1"/>
    <col min="32" max="33" width="24.7109375" style="2112" customWidth="1"/>
    <col min="34" max="34" width="11.7109375" style="2112" customWidth="1"/>
    <col min="35" max="35" width="3.7109375" style="2112" customWidth="1"/>
    <col min="36" max="36" width="11.7109375" style="2112" customWidth="1"/>
    <col min="37" max="37" width="8.5703125" style="2112" customWidth="1"/>
    <col min="45" max="45" width="10.5703125" hidden="1"/>
    <col min="46" max="46" width="4.7109375" style="2112" customWidth="1"/>
    <col min="47" max="47" width="115.7109375" style="2112" customWidth="1"/>
    <col min="48" max="49" width="10.5703125" style="1819"/>
    <col min="50" max="50" width="11.140625" style="1819" customWidth="1"/>
    <col min="51" max="52" width="10.5703125" style="1819"/>
  </cols>
  <sheetData>
    <row r="1" spans="1:52" ht="14.25" hidden="1" customHeight="1">
      <c r="Y1" s="253"/>
      <c r="Z1" s="253"/>
      <c r="AG1" s="253"/>
      <c r="AH1" s="253"/>
      <c r="AL1" s="2138"/>
      <c r="AM1" s="2138"/>
      <c r="AN1" s="2138"/>
      <c r="AO1" s="2138"/>
      <c r="AP1" s="2138"/>
      <c r="AQ1" s="2138"/>
      <c r="AR1" s="2138"/>
      <c r="AS1" s="2138"/>
    </row>
    <row r="2" spans="1:52" ht="21" hidden="1" customHeight="1">
      <c r="A2" s="1278"/>
      <c r="B2" s="1278"/>
      <c r="C2" s="1278"/>
      <c r="D2" s="1278"/>
      <c r="E2" s="5314">
        <v>1</v>
      </c>
      <c r="F2" s="1278"/>
      <c r="G2" s="1278"/>
      <c r="H2" s="1278"/>
      <c r="I2" s="1278"/>
      <c r="J2" s="1278"/>
      <c r="K2" s="1278"/>
      <c r="L2" s="1279"/>
      <c r="M2" s="1280"/>
      <c r="N2" s="1280"/>
      <c r="O2" s="1280"/>
      <c r="P2" s="285"/>
      <c r="Q2" s="284"/>
      <c r="R2" s="279"/>
      <c r="S2" s="1252"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0"/>
      <c r="AM2" s="5301"/>
      <c r="AN2" s="5301"/>
      <c r="AO2" s="5301"/>
      <c r="AP2" s="5301"/>
      <c r="AQ2" s="5301"/>
      <c r="AR2" s="5301"/>
      <c r="AS2" s="5302"/>
      <c r="AT2" s="5302"/>
      <c r="AU2" s="1176" t="s">
        <v>515</v>
      </c>
      <c r="AW2" s="425"/>
      <c r="AX2" s="425" t="str">
        <f t="shared" ref="AX2:AX15" si="0">IF(T2="","",T2)</f>
        <v>Наименование тарифа</v>
      </c>
      <c r="AY2" s="425"/>
      <c r="AZ2" s="425"/>
    </row>
    <row r="3" spans="1:52" ht="21" hidden="1" customHeight="1">
      <c r="A3" s="1278"/>
      <c r="B3" s="1278"/>
      <c r="C3" s="1278"/>
      <c r="D3" s="1278"/>
      <c r="E3" s="5315"/>
      <c r="F3" s="5314">
        <v>1</v>
      </c>
      <c r="G3" s="1278"/>
      <c r="H3" s="1278"/>
      <c r="I3" s="1278"/>
      <c r="J3" s="1278"/>
      <c r="K3" s="1278"/>
      <c r="L3" s="1279"/>
      <c r="M3" s="1280"/>
      <c r="N3" s="1280"/>
      <c r="O3" s="1280"/>
      <c r="P3" s="1248"/>
      <c r="Q3" s="276"/>
      <c r="R3" s="277"/>
      <c r="S3" s="1252"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0"/>
      <c r="AM3" s="5301"/>
      <c r="AN3" s="5301"/>
      <c r="AO3" s="5301"/>
      <c r="AP3" s="5301"/>
      <c r="AQ3" s="5301"/>
      <c r="AR3" s="5301"/>
      <c r="AS3" s="5302"/>
      <c r="AT3" s="5302"/>
      <c r="AU3" s="1176" t="s">
        <v>517</v>
      </c>
      <c r="AW3" s="425"/>
      <c r="AX3" s="425" t="str">
        <f t="shared" si="0"/>
        <v>Территория действия тарифа</v>
      </c>
      <c r="AY3" s="425"/>
      <c r="AZ3" s="425"/>
    </row>
    <row r="4" spans="1:52" ht="23.25" hidden="1" customHeight="1">
      <c r="A4" s="1278"/>
      <c r="B4" s="1278"/>
      <c r="C4" s="1278"/>
      <c r="D4" s="1278"/>
      <c r="E4" s="5315"/>
      <c r="F4" s="5315"/>
      <c r="G4" s="5314">
        <v>1</v>
      </c>
      <c r="H4" s="1278"/>
      <c r="I4" s="1278"/>
      <c r="J4" s="1278"/>
      <c r="K4" s="1278"/>
      <c r="L4" s="1279"/>
      <c r="M4" s="1280"/>
      <c r="N4" s="1280"/>
      <c r="O4" s="1280"/>
      <c r="P4" s="278"/>
      <c r="Q4" s="276"/>
      <c r="R4" s="277"/>
      <c r="S4" s="1252"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0"/>
      <c r="AM4" s="5301"/>
      <c r="AN4" s="5301"/>
      <c r="AO4" s="5301"/>
      <c r="AP4" s="5301"/>
      <c r="AQ4" s="5301"/>
      <c r="AR4" s="5301"/>
      <c r="AS4" s="5302"/>
      <c r="AT4" s="5302"/>
      <c r="AU4" s="1176" t="s">
        <v>519</v>
      </c>
      <c r="AW4" s="425"/>
      <c r="AX4" s="425" t="str">
        <f t="shared" si="0"/>
        <v xml:space="preserve">Наименование системы теплоснабжения </v>
      </c>
      <c r="AY4" s="425"/>
      <c r="AZ4" s="425"/>
    </row>
    <row r="5" spans="1:52" ht="21" hidden="1" customHeight="1">
      <c r="A5" s="1278"/>
      <c r="B5" s="1278"/>
      <c r="C5" s="1278"/>
      <c r="D5" s="1278"/>
      <c r="E5" s="5315"/>
      <c r="F5" s="5315"/>
      <c r="G5" s="5315"/>
      <c r="H5" s="5314">
        <v>1</v>
      </c>
      <c r="I5" s="1278"/>
      <c r="J5" s="1278"/>
      <c r="K5" s="1278"/>
      <c r="L5" s="1279"/>
      <c r="M5" s="1280"/>
      <c r="N5" s="1280"/>
      <c r="O5" s="1280"/>
      <c r="P5" s="278"/>
      <c r="Q5" s="276"/>
      <c r="R5" s="277"/>
      <c r="S5" s="1252"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0"/>
      <c r="AM5" s="5301"/>
      <c r="AN5" s="5301"/>
      <c r="AO5" s="5301"/>
      <c r="AP5" s="5301"/>
      <c r="AQ5" s="5301"/>
      <c r="AR5" s="5301"/>
      <c r="AS5" s="5302"/>
      <c r="AT5" s="5302"/>
      <c r="AU5" s="1176" t="s">
        <v>521</v>
      </c>
      <c r="AW5" s="425"/>
      <c r="AX5" s="425" t="str">
        <f t="shared" si="0"/>
        <v xml:space="preserve">Источник тепловой энергии  </v>
      </c>
      <c r="AY5" s="425"/>
      <c r="AZ5" s="425"/>
    </row>
    <row r="6" spans="1:52" ht="14.25" hidden="1" customHeight="1">
      <c r="A6" s="1278"/>
      <c r="B6" s="1278"/>
      <c r="C6" s="1278"/>
      <c r="D6" s="1278"/>
      <c r="E6" s="5315"/>
      <c r="F6" s="5315"/>
      <c r="G6" s="5315"/>
      <c r="H6" s="5315"/>
      <c r="I6" s="5312" t="e">
        <f>S5&amp;".1"</f>
        <v>#N/A</v>
      </c>
      <c r="J6" s="1278"/>
      <c r="K6" s="1278"/>
      <c r="L6" s="1279" t="s">
        <v>522</v>
      </c>
      <c r="M6" s="461"/>
      <c r="P6" s="5313">
        <v>1</v>
      </c>
      <c r="Q6" s="1247"/>
      <c r="R6" s="280"/>
      <c r="S6" s="948"/>
      <c r="T6" s="1298"/>
      <c r="U6" s="1299"/>
      <c r="V6" s="5341"/>
      <c r="W6" s="5342"/>
      <c r="X6" s="5342"/>
      <c r="Y6" s="5342"/>
      <c r="Z6" s="5342"/>
      <c r="AA6" s="5342"/>
      <c r="AB6" s="5342"/>
      <c r="AC6" s="5343"/>
      <c r="AD6" s="5341"/>
      <c r="AE6" s="5342"/>
      <c r="AF6" s="5342"/>
      <c r="AG6" s="5342"/>
      <c r="AH6" s="5342"/>
      <c r="AI6" s="5342"/>
      <c r="AJ6" s="5342"/>
      <c r="AK6" s="5342"/>
      <c r="AL6" s="5341"/>
      <c r="AM6" s="5342"/>
      <c r="AN6" s="5342"/>
      <c r="AO6" s="5342"/>
      <c r="AP6" s="5342"/>
      <c r="AQ6" s="5342"/>
      <c r="AR6" s="5342"/>
      <c r="AS6" s="5343"/>
      <c r="AT6" s="5343"/>
      <c r="AU6" s="1300"/>
      <c r="AW6" s="425"/>
      <c r="AX6" s="425" t="str">
        <f t="shared" si="0"/>
        <v/>
      </c>
      <c r="AY6" s="425"/>
      <c r="AZ6" s="425"/>
    </row>
    <row r="7" spans="1:52" ht="21" hidden="1" customHeight="1">
      <c r="A7" s="1278"/>
      <c r="B7" s="1278"/>
      <c r="C7" s="1278"/>
      <c r="D7" s="1278"/>
      <c r="E7" s="5315"/>
      <c r="F7" s="5315"/>
      <c r="G7" s="5315"/>
      <c r="H7" s="5315"/>
      <c r="I7" s="5335"/>
      <c r="J7" s="5312" t="e">
        <f>I6&amp;".1"</f>
        <v>#N/A</v>
      </c>
      <c r="K7" s="1278"/>
      <c r="L7" s="1279" t="s">
        <v>525</v>
      </c>
      <c r="M7" s="461"/>
      <c r="N7" s="1281"/>
      <c r="P7" s="5313"/>
      <c r="Q7" s="5313">
        <v>1</v>
      </c>
      <c r="R7" s="281"/>
      <c r="S7" s="1252" t="e">
        <f>$J7</f>
        <v>#N/A</v>
      </c>
      <c r="T7" s="204" t="s">
        <v>526</v>
      </c>
      <c r="U7" s="218"/>
      <c r="V7" s="5303"/>
      <c r="W7" s="5304"/>
      <c r="X7" s="5304"/>
      <c r="Y7" s="5304"/>
      <c r="Z7" s="5304"/>
      <c r="AA7" s="5304"/>
      <c r="AB7" s="5304"/>
      <c r="AC7" s="5305"/>
      <c r="AD7" s="5303"/>
      <c r="AE7" s="5304"/>
      <c r="AF7" s="5304"/>
      <c r="AG7" s="5304"/>
      <c r="AH7" s="5304"/>
      <c r="AI7" s="5304"/>
      <c r="AJ7" s="5304"/>
      <c r="AK7" s="5304"/>
      <c r="AL7" s="5303"/>
      <c r="AM7" s="5304"/>
      <c r="AN7" s="5304"/>
      <c r="AO7" s="5304"/>
      <c r="AP7" s="5304"/>
      <c r="AQ7" s="5304"/>
      <c r="AR7" s="5304"/>
      <c r="AS7" s="5305"/>
      <c r="AT7" s="5305"/>
      <c r="AU7" s="1176" t="s">
        <v>527</v>
      </c>
      <c r="AW7" s="425"/>
      <c r="AX7" s="425" t="str">
        <f t="shared" si="0"/>
        <v>Группа потребителей</v>
      </c>
      <c r="AY7" s="425"/>
      <c r="AZ7" s="425"/>
    </row>
    <row r="8" spans="1:52"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52" t="e">
        <f>$K8</f>
        <v>#N/A</v>
      </c>
      <c r="T8" s="1263"/>
      <c r="U8" s="218"/>
      <c r="V8" s="667"/>
      <c r="W8" s="250"/>
      <c r="X8" s="667"/>
      <c r="Y8" s="1175"/>
      <c r="Z8" s="5317"/>
      <c r="AA8" s="5161" t="s">
        <v>62</v>
      </c>
      <c r="AB8" s="5317"/>
      <c r="AC8" s="5161" t="s">
        <v>62</v>
      </c>
      <c r="AD8" s="667"/>
      <c r="AE8" s="250"/>
      <c r="AF8" s="667"/>
      <c r="AG8" s="1175"/>
      <c r="AH8" s="5317"/>
      <c r="AI8" s="5161" t="s">
        <v>62</v>
      </c>
      <c r="AJ8" s="5317"/>
      <c r="AK8" s="5161" t="s">
        <v>62</v>
      </c>
      <c r="AL8" s="2139"/>
      <c r="AM8" s="2140"/>
      <c r="AN8" s="2139"/>
      <c r="AO8" s="2141"/>
      <c r="AP8" s="5317"/>
      <c r="AQ8" s="5161" t="s">
        <v>62</v>
      </c>
      <c r="AR8" s="5317"/>
      <c r="AS8" s="5161" t="s">
        <v>62</v>
      </c>
      <c r="AT8" s="250"/>
      <c r="AU8" s="5309" t="s">
        <v>529</v>
      </c>
      <c r="AV8" s="436" t="e">
        <f ca="1">STRCHECKDATE(V9:AT9)</f>
        <v>#NAME?</v>
      </c>
      <c r="AW8" s="425"/>
      <c r="AX8" s="425" t="str">
        <f t="shared" si="0"/>
        <v/>
      </c>
      <c r="AY8" s="425"/>
      <c r="AZ8" s="425"/>
    </row>
    <row r="9" spans="1:52" ht="0.75" hidden="1" customHeight="1">
      <c r="A9" s="1278"/>
      <c r="B9" s="1278"/>
      <c r="C9" s="1278"/>
      <c r="D9" s="1278"/>
      <c r="E9" s="5315"/>
      <c r="F9" s="5315"/>
      <c r="G9" s="5315"/>
      <c r="H9" s="5315"/>
      <c r="I9" s="5335"/>
      <c r="J9" s="5335"/>
      <c r="K9" s="5312"/>
      <c r="L9" s="1279"/>
      <c r="M9" s="461"/>
      <c r="N9" s="1281"/>
      <c r="O9" s="1281"/>
      <c r="P9" s="5313"/>
      <c r="Q9" s="5313"/>
      <c r="R9" s="281"/>
      <c r="S9" s="1258"/>
      <c r="T9" s="218"/>
      <c r="U9" s="218"/>
      <c r="V9" s="250"/>
      <c r="W9" s="250"/>
      <c r="X9" s="250"/>
      <c r="Y9" s="254" t="str">
        <f>Z8&amp;"-"&amp;AB8</f>
        <v>-</v>
      </c>
      <c r="Z9" s="5318"/>
      <c r="AA9" s="5161"/>
      <c r="AB9" s="5318"/>
      <c r="AC9" s="5161"/>
      <c r="AD9" s="250"/>
      <c r="AE9" s="250"/>
      <c r="AF9" s="250"/>
      <c r="AG9" s="254" t="str">
        <f>AH8&amp;"-"&amp;AJ8</f>
        <v>-</v>
      </c>
      <c r="AH9" s="5318"/>
      <c r="AI9" s="5161"/>
      <c r="AJ9" s="5318"/>
      <c r="AK9" s="5161"/>
      <c r="AL9" s="2140"/>
      <c r="AM9" s="2140"/>
      <c r="AN9" s="2140"/>
      <c r="AO9" s="2142" t="str">
        <f>AP8&amp;"-"&amp;AR8</f>
        <v>-</v>
      </c>
      <c r="AP9" s="5318"/>
      <c r="AQ9" s="5161"/>
      <c r="AR9" s="5318"/>
      <c r="AS9" s="5161"/>
      <c r="AT9" s="250"/>
      <c r="AU9" s="5310"/>
      <c r="AW9" s="425"/>
      <c r="AX9" s="425" t="str">
        <f t="shared" si="0"/>
        <v/>
      </c>
      <c r="AY9" s="425"/>
      <c r="AZ9" s="425"/>
    </row>
    <row r="10" spans="1:52" ht="15" hidden="1" customHeight="1">
      <c r="A10" s="1278"/>
      <c r="B10" s="1278"/>
      <c r="C10" s="1278"/>
      <c r="D10" s="1278"/>
      <c r="E10" s="5315"/>
      <c r="F10" s="5315"/>
      <c r="G10" s="5315"/>
      <c r="H10" s="5315"/>
      <c r="I10" s="5335"/>
      <c r="J10" s="5312"/>
      <c r="K10" s="1278"/>
      <c r="L10" s="1279"/>
      <c r="M10" s="461"/>
      <c r="N10" s="1281"/>
      <c r="P10" s="5313"/>
      <c r="Q10" s="5313"/>
      <c r="R10" s="280"/>
      <c r="S10" s="1197"/>
      <c r="T10" s="205" t="s">
        <v>530</v>
      </c>
      <c r="U10" s="294"/>
      <c r="V10" s="294"/>
      <c r="W10" s="294"/>
      <c r="X10" s="294"/>
      <c r="Y10" s="294"/>
      <c r="Z10" s="294"/>
      <c r="AA10" s="294"/>
      <c r="AB10" s="294"/>
      <c r="AC10" s="294"/>
      <c r="AD10" s="294"/>
      <c r="AE10" s="294"/>
      <c r="AF10" s="294"/>
      <c r="AG10" s="294"/>
      <c r="AH10" s="294"/>
      <c r="AI10" s="294"/>
      <c r="AJ10" s="294"/>
      <c r="AK10" s="294"/>
      <c r="AL10" s="3747"/>
      <c r="AM10" s="3748"/>
      <c r="AN10" s="3749"/>
      <c r="AO10" s="3750"/>
      <c r="AP10" s="3751"/>
      <c r="AQ10" s="3752"/>
      <c r="AR10" s="3753"/>
      <c r="AS10" s="3754"/>
      <c r="AT10" s="249"/>
      <c r="AU10" s="5311"/>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5315"/>
      <c r="F11" s="5315"/>
      <c r="G11" s="5315"/>
      <c r="H11" s="5315"/>
      <c r="I11" s="5312"/>
      <c r="J11" s="1278"/>
      <c r="K11" s="1278"/>
      <c r="L11" s="1279"/>
      <c r="M11" s="461"/>
      <c r="P11" s="5313"/>
      <c r="Q11" s="1247"/>
      <c r="R11" s="280"/>
      <c r="S11" s="1197"/>
      <c r="T11" s="291" t="s">
        <v>531</v>
      </c>
      <c r="U11" s="294"/>
      <c r="V11" s="294"/>
      <c r="W11" s="294"/>
      <c r="X11" s="294"/>
      <c r="Y11" s="294"/>
      <c r="Z11" s="294"/>
      <c r="AA11" s="294"/>
      <c r="AB11" s="294"/>
      <c r="AC11" s="293"/>
      <c r="AD11" s="294"/>
      <c r="AE11" s="294"/>
      <c r="AF11" s="294"/>
      <c r="AG11" s="294"/>
      <c r="AH11" s="294"/>
      <c r="AI11" s="294"/>
      <c r="AJ11" s="294"/>
      <c r="AK11" s="293"/>
      <c r="AL11" s="3755"/>
      <c r="AM11" s="3756"/>
      <c r="AN11" s="3757"/>
      <c r="AO11" s="3758"/>
      <c r="AP11" s="3759"/>
      <c r="AQ11" s="3760"/>
      <c r="AR11" s="3761"/>
      <c r="AS11" s="3762"/>
      <c r="AT11" s="294"/>
      <c r="AU11" s="221"/>
      <c r="AW11" s="425"/>
      <c r="AX11" s="425" t="str">
        <f t="shared" si="0"/>
        <v>Добавить группу потребителей</v>
      </c>
      <c r="AY11" s="425"/>
      <c r="AZ11" s="425"/>
    </row>
    <row r="12" spans="1:52" ht="14.25" hidden="1" customHeight="1">
      <c r="A12" s="1278"/>
      <c r="B12" s="1278"/>
      <c r="C12" s="1278"/>
      <c r="D12" s="1278"/>
      <c r="E12" s="5315"/>
      <c r="F12" s="5315"/>
      <c r="G12" s="5315"/>
      <c r="H12" s="5314"/>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3763"/>
      <c r="AM12" s="3763"/>
      <c r="AN12" s="3763"/>
      <c r="AO12" s="3763"/>
      <c r="AP12" s="3763"/>
      <c r="AQ12" s="3763"/>
      <c r="AR12" s="3763"/>
      <c r="AS12" s="3763"/>
      <c r="AT12" s="1303"/>
      <c r="AU12" s="1304"/>
      <c r="AW12" s="425"/>
      <c r="AX12" s="425" t="str">
        <f t="shared" si="0"/>
        <v/>
      </c>
      <c r="AY12" s="425"/>
      <c r="AZ12" s="425"/>
    </row>
    <row r="13" spans="1:52" s="2167" customFormat="1" ht="0.7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168"/>
      <c r="AM13" s="2168"/>
      <c r="AN13" s="2168"/>
      <c r="AO13" s="2168"/>
      <c r="AP13" s="2168"/>
      <c r="AQ13" s="2168"/>
      <c r="AR13" s="2168"/>
      <c r="AS13" s="2168"/>
      <c r="AT13" s="1237"/>
      <c r="AU13" s="1237"/>
      <c r="AW13" s="705"/>
      <c r="AX13" s="705" t="str">
        <f t="shared" si="0"/>
        <v>Добавить источник для дифференциации</v>
      </c>
      <c r="AY13" s="705"/>
      <c r="AZ13" s="705"/>
    </row>
    <row r="14" spans="1:52" s="2167" customFormat="1" ht="0.7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169"/>
      <c r="AM14" s="2169"/>
      <c r="AN14" s="2169"/>
      <c r="AO14" s="2169"/>
      <c r="AP14" s="2169"/>
      <c r="AQ14" s="2169"/>
      <c r="AR14" s="2169"/>
      <c r="AS14" s="2169"/>
      <c r="AT14" s="1241"/>
      <c r="AU14" s="1241"/>
      <c r="AW14" s="705"/>
      <c r="AX14" s="705" t="str">
        <f t="shared" si="0"/>
        <v>Добавить централизованную систему для дифференциации</v>
      </c>
      <c r="AY14" s="705"/>
      <c r="AZ14" s="705"/>
    </row>
    <row r="15" spans="1:52" s="2167" customFormat="1" ht="0.7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169"/>
      <c r="AM15" s="2169"/>
      <c r="AN15" s="2169"/>
      <c r="AO15" s="2169"/>
      <c r="AP15" s="2169"/>
      <c r="AQ15" s="2169"/>
      <c r="AR15" s="2169"/>
      <c r="AS15" s="2169"/>
      <c r="AT15" s="1241"/>
      <c r="AU15" s="1241"/>
      <c r="AW15" s="705"/>
      <c r="AX15" s="705" t="str">
        <f t="shared" si="0"/>
        <v>Добавить территорию для дифференциации</v>
      </c>
      <c r="AY15" s="705"/>
      <c r="AZ15" s="705"/>
    </row>
    <row r="16" spans="1:52" ht="14.25" hidden="1" customHeight="1">
      <c r="AC16" s="253"/>
      <c r="AK16" s="253"/>
      <c r="AL16" s="2138"/>
      <c r="AM16" s="2138"/>
      <c r="AN16" s="2138"/>
      <c r="AO16" s="2138"/>
      <c r="AP16" s="2138"/>
      <c r="AQ16" s="2138"/>
      <c r="AR16" s="2138"/>
      <c r="AS16" s="2138"/>
    </row>
    <row r="17" spans="1:52" ht="14.25" hidden="1" customHeight="1">
      <c r="AD17" s="1275"/>
      <c r="AE17" s="1275"/>
      <c r="AF17" s="1275"/>
      <c r="AG17" s="1276"/>
      <c r="AH17" s="5319"/>
      <c r="AI17" s="5320" t="s">
        <v>62</v>
      </c>
      <c r="AJ17" s="5319"/>
      <c r="AK17" s="5320" t="s">
        <v>62</v>
      </c>
      <c r="AL17" s="2138"/>
      <c r="AM17" s="2138"/>
      <c r="AN17" s="2138"/>
      <c r="AO17" s="2138"/>
      <c r="AP17" s="2138"/>
      <c r="AQ17" s="2138"/>
      <c r="AR17" s="2138"/>
      <c r="AS17" s="2138"/>
    </row>
    <row r="18" spans="1:52" ht="14.25" hidden="1" customHeight="1">
      <c r="AD18" s="1275"/>
      <c r="AE18" s="1275"/>
      <c r="AF18" s="1275"/>
      <c r="AG18" s="254" t="str">
        <f>AH17&amp;"-"&amp;AJ17</f>
        <v>-</v>
      </c>
      <c r="AH18" s="5320"/>
      <c r="AI18" s="5320"/>
      <c r="AJ18" s="5320"/>
      <c r="AK18" s="5320"/>
      <c r="AL18" s="2138"/>
      <c r="AM18" s="2138"/>
      <c r="AN18" s="2138"/>
      <c r="AO18" s="2138"/>
      <c r="AP18" s="2138"/>
      <c r="AQ18" s="2138"/>
      <c r="AR18" s="2138"/>
      <c r="AS18" s="2138"/>
    </row>
    <row r="19" spans="1:52" ht="14.25" hidden="1" customHeight="1">
      <c r="AK19" s="253"/>
      <c r="AL19" s="2138"/>
      <c r="AM19" s="2138"/>
      <c r="AN19" s="2138"/>
      <c r="AO19" s="2138"/>
      <c r="AP19" s="2138"/>
      <c r="AQ19" s="2138"/>
      <c r="AR19" s="2138"/>
      <c r="AS19" s="2138"/>
    </row>
    <row r="20" spans="1:52" s="1832" customFormat="1" ht="22.5" hidden="1" customHeight="1">
      <c r="L20" s="1245"/>
      <c r="M20" s="1277"/>
      <c r="N20" s="1277"/>
      <c r="O20" s="1282" t="s">
        <v>533</v>
      </c>
      <c r="P20" s="1277"/>
      <c r="Q20" s="1286"/>
      <c r="R20" s="1286"/>
      <c r="S20" s="647"/>
      <c r="Z20" s="1282"/>
      <c r="AB20" s="1282"/>
      <c r="AC20" s="1281"/>
      <c r="AH20" s="1282"/>
      <c r="AJ20" s="1282"/>
      <c r="AK20" s="1281"/>
      <c r="AL20" s="2174"/>
      <c r="AM20" s="2174"/>
      <c r="AN20" s="2174"/>
      <c r="AO20" s="2174"/>
      <c r="AP20" s="2175"/>
      <c r="AQ20" s="2174"/>
      <c r="AR20" s="2175"/>
      <c r="AS20" s="2174"/>
      <c r="AV20" s="436"/>
      <c r="AW20" s="436"/>
      <c r="AX20" s="436"/>
      <c r="AY20" s="436"/>
      <c r="AZ20" s="436"/>
    </row>
    <row r="21" spans="1:52" s="1832" customFormat="1" ht="14.25" hidden="1" customHeight="1">
      <c r="L21" s="1245"/>
      <c r="M21" s="1277"/>
      <c r="N21" s="1277"/>
      <c r="O21" s="1277"/>
      <c r="P21" s="1277"/>
      <c r="Q21" s="1286"/>
      <c r="R21" s="1286"/>
      <c r="S21" s="647"/>
      <c r="AC21" s="1281"/>
      <c r="AK21" s="1281"/>
      <c r="AL21" s="2174"/>
      <c r="AM21" s="2174"/>
      <c r="AN21" s="2174"/>
      <c r="AO21" s="2174"/>
      <c r="AP21" s="2174"/>
      <c r="AQ21" s="2174"/>
      <c r="AR21" s="2174"/>
      <c r="AS21" s="2174"/>
      <c r="AV21" s="436"/>
      <c r="AW21" s="436"/>
      <c r="AX21" s="436"/>
      <c r="AY21" s="436"/>
      <c r="AZ21" s="436"/>
    </row>
    <row r="22" spans="1:52" s="1832" customFormat="1" ht="14.2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L22" s="2174"/>
      <c r="AM22" s="2174"/>
      <c r="AN22" s="2174"/>
      <c r="AO22" s="2174"/>
      <c r="AP22" s="2174"/>
      <c r="AQ22" s="2176" t="s">
        <v>536</v>
      </c>
      <c r="AR22" s="2174"/>
      <c r="AS22" s="2176" t="s">
        <v>537</v>
      </c>
      <c r="AV22" s="436"/>
      <c r="AW22" s="436"/>
      <c r="AX22" s="436"/>
      <c r="AY22" s="436"/>
      <c r="AZ22" s="436"/>
    </row>
    <row r="23" spans="1:52" ht="14.25" hidden="1" customHeight="1">
      <c r="O23" s="1279"/>
      <c r="AL23" s="2138"/>
      <c r="AM23" s="2138"/>
      <c r="AN23" s="2138"/>
      <c r="AO23" s="2138"/>
      <c r="AP23" s="2138"/>
      <c r="AQ23" s="2138"/>
      <c r="AR23" s="2138"/>
      <c r="AS23" s="2138"/>
    </row>
    <row r="24" spans="1:52" ht="14.25" hidden="1" customHeight="1">
      <c r="O24" s="1279"/>
      <c r="AL24" s="2138"/>
      <c r="AM24" s="2138"/>
      <c r="AN24" s="2138"/>
      <c r="AO24" s="2138"/>
      <c r="AP24" s="2138"/>
      <c r="AQ24" s="2138"/>
      <c r="AR24" s="2138"/>
      <c r="AS24" s="2138"/>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138"/>
      <c r="AM25" s="2138"/>
      <c r="AN25" s="2138"/>
      <c r="AO25" s="2138"/>
      <c r="AP25" s="2138"/>
      <c r="AQ25" s="2138"/>
      <c r="AR25" s="2138"/>
      <c r="AS25" s="2138"/>
    </row>
    <row r="26" spans="1:52" ht="51" customHeight="1">
      <c r="Q26" s="304"/>
      <c r="R26" s="304"/>
      <c r="S26" s="5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298"/>
      <c r="U26" s="5298"/>
      <c r="V26" s="5298"/>
      <c r="W26" s="5298"/>
      <c r="X26" s="5298"/>
      <c r="Y26" s="5298"/>
      <c r="Z26" s="5298"/>
      <c r="AA26" s="5298"/>
      <c r="AB26" s="5298"/>
      <c r="AC26" s="5298"/>
      <c r="AD26" s="5298"/>
      <c r="AE26" s="5298"/>
      <c r="AF26" s="5298"/>
      <c r="AG26" s="5298"/>
      <c r="AH26" s="5298"/>
      <c r="AI26" s="5298"/>
      <c r="AJ26" s="5298"/>
      <c r="AK26" s="1151"/>
      <c r="AL26" s="2177"/>
      <c r="AM26" s="2177"/>
      <c r="AN26" s="2177"/>
      <c r="AO26" s="2177"/>
      <c r="AP26" s="2177"/>
      <c r="AQ26" s="2177"/>
      <c r="AR26" s="2177"/>
      <c r="AS26" s="2177"/>
    </row>
    <row r="27" spans="1:52"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c r="AL27" s="2178"/>
      <c r="AM27" s="2178"/>
      <c r="AN27" s="2178"/>
      <c r="AO27" s="2178"/>
      <c r="AP27" s="2178"/>
      <c r="AQ27" s="2178"/>
      <c r="AR27" s="2178"/>
      <c r="AS27" s="2178"/>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179"/>
      <c r="AM28" s="2179"/>
      <c r="AN28" s="2179"/>
      <c r="AO28" s="2179"/>
      <c r="AP28" s="2179"/>
      <c r="AQ28" s="2179"/>
      <c r="AR28" s="2179"/>
      <c r="AS28" s="2179"/>
      <c r="AT28" s="434"/>
    </row>
    <row r="29" spans="1:52"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5307" t="str">
        <f>IF(TITLE_NAME_OR_PR_CHANGE="",IF(TITLE_NAME_OR_PR="","",TITLE_NAME_OR_PR),TITLE_NAME_OR_PR_CHANGE)</f>
        <v>Комитет по тарифному регулированию Мурманской области</v>
      </c>
      <c r="AM29" s="5307"/>
      <c r="AN29" s="5307"/>
      <c r="AO29" s="5307"/>
      <c r="AP29" s="5307"/>
      <c r="AQ29" s="5307"/>
      <c r="AR29" s="5307"/>
      <c r="AS29" s="2138"/>
      <c r="AT29" s="252"/>
      <c r="AU29" s="199"/>
      <c r="AV29" s="295"/>
      <c r="AW29" s="295"/>
      <c r="AX29" s="295"/>
      <c r="AY29" s="295"/>
      <c r="AZ29" s="295"/>
    </row>
    <row r="30" spans="1:52"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5316">
        <f>IF(TITLE_DATE_PR_CHANGE="",IF(TITLE_DATE_PR="","",TITLE_DATE_PR),TITLE_DATE_PR_CHANGE)</f>
        <v>45646.340555555558</v>
      </c>
      <c r="AM30" s="5316"/>
      <c r="AN30" s="5316"/>
      <c r="AO30" s="5316"/>
      <c r="AP30" s="5316"/>
      <c r="AQ30" s="5316"/>
      <c r="AR30" s="5316"/>
      <c r="AS30" s="2138"/>
      <c r="AT30" s="252"/>
      <c r="AU30" s="199"/>
      <c r="AV30" s="295"/>
      <c r="AW30" s="295"/>
      <c r="AX30" s="295"/>
      <c r="AY30" s="295"/>
      <c r="AZ30" s="295"/>
    </row>
    <row r="31" spans="1:52"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5307" t="str">
        <f>IF(TITLE_NUMBER_PR_CHANGE="",IF(TITLE_NUMBER_PR="","",TITLE_NUMBER_PR),TITLE_NUMBER_PR_CHANGE)</f>
        <v>51/6; 51/7</v>
      </c>
      <c r="AM31" s="5307"/>
      <c r="AN31" s="5307"/>
      <c r="AO31" s="5307"/>
      <c r="AP31" s="5307"/>
      <c r="AQ31" s="5307"/>
      <c r="AR31" s="5307"/>
      <c r="AS31" s="2138"/>
      <c r="AT31" s="252"/>
      <c r="AU31" s="199"/>
      <c r="AV31" s="295"/>
      <c r="AW31" s="295"/>
      <c r="AX31" s="295"/>
      <c r="AY31" s="295"/>
      <c r="AZ31" s="295"/>
    </row>
    <row r="32" spans="1:52"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5307" t="str">
        <f>IF(TITLE_IST_PUB_CHANGE="",IF(TITLE_IST_PUB="","",TITLE_IST_PUB),TITLE_IST_PUB_CHANGE)</f>
        <v>Официальный электронный бюллетень Правительства Мурманской области</v>
      </c>
      <c r="AM32" s="5307"/>
      <c r="AN32" s="5307"/>
      <c r="AO32" s="5307"/>
      <c r="AP32" s="5307"/>
      <c r="AQ32" s="5307"/>
      <c r="AR32" s="5307"/>
      <c r="AS32" s="2138"/>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179"/>
      <c r="AM33" s="2179"/>
      <c r="AN33" s="2179"/>
      <c r="AO33" s="2179"/>
      <c r="AP33" s="2179"/>
      <c r="AQ33" s="2179"/>
      <c r="AR33" s="2179"/>
      <c r="AS33" s="2179"/>
      <c r="AT33" s="434"/>
    </row>
    <row r="34" spans="1:52"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5316">
        <f>IF(TITLE_DATE_PR_CHANGE="",IF(TITLE_DATE_PR="","",TITLE_DATE_PR),TITLE_DATE_PR_CHANGE)</f>
        <v>45646.340555555558</v>
      </c>
      <c r="AM34" s="5316"/>
      <c r="AN34" s="5316"/>
      <c r="AO34" s="5316"/>
      <c r="AP34" s="5316"/>
      <c r="AQ34" s="5316"/>
      <c r="AR34" s="5316"/>
      <c r="AS34" s="2138"/>
      <c r="AT34" s="252"/>
      <c r="AU34" s="199"/>
      <c r="AV34" s="295"/>
      <c r="AW34" s="295"/>
      <c r="AX34" s="295"/>
      <c r="AY34" s="295"/>
      <c r="AZ34" s="295"/>
    </row>
    <row r="35" spans="1:52" s="2180" customFormat="1" ht="18.7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5307" t="str">
        <f>IF(TITLE_NUMBER_PR_CHANGE="",IF(TITLE_NUMBER_PR="","",TITLE_NUMBER_PR),TITLE_NUMBER_PR_CHANGE)</f>
        <v>51/6; 51/7</v>
      </c>
      <c r="AM35" s="5307"/>
      <c r="AN35" s="5307"/>
      <c r="AO35" s="5307"/>
      <c r="AP35" s="5307"/>
      <c r="AQ35" s="5307"/>
      <c r="AR35" s="5307"/>
      <c r="AS35" s="2138"/>
      <c r="AT35" s="252"/>
      <c r="AU35" s="199"/>
      <c r="AV35" s="295"/>
      <c r="AW35" s="295"/>
      <c r="AX35" s="295"/>
      <c r="AY35" s="295"/>
      <c r="AZ35" s="295"/>
    </row>
    <row r="36" spans="1:52" s="218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543</v>
      </c>
      <c r="AD36" s="252"/>
      <c r="AE36" s="252"/>
      <c r="AF36" s="252"/>
      <c r="AG36" s="252"/>
      <c r="AH36" s="252"/>
      <c r="AI36" s="252"/>
      <c r="AJ36" s="252"/>
      <c r="AK36" s="197" t="s">
        <v>543</v>
      </c>
      <c r="AL36" s="2138"/>
      <c r="AM36" s="2138"/>
      <c r="AN36" s="2138"/>
      <c r="AO36" s="2138"/>
      <c r="AP36" s="2138"/>
      <c r="AQ36" s="2138"/>
      <c r="AR36" s="2138"/>
      <c r="AS36" s="2182" t="s">
        <v>543</v>
      </c>
      <c r="AV36" s="295"/>
      <c r="AW36" s="295"/>
      <c r="AX36" s="295"/>
      <c r="AY36" s="295"/>
      <c r="AZ36" s="295"/>
    </row>
    <row r="37" spans="1:52"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c r="AL37" s="5308" t="s">
        <v>99</v>
      </c>
      <c r="AM37" s="5308"/>
      <c r="AN37" s="5308"/>
      <c r="AO37" s="5308"/>
      <c r="AP37" s="5308"/>
      <c r="AQ37" s="5308"/>
      <c r="AR37" s="5308"/>
      <c r="AS37" s="5308"/>
    </row>
    <row r="38" spans="1:52"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t="s">
        <v>417</v>
      </c>
      <c r="AM38" s="5180"/>
      <c r="AN38" s="5180"/>
      <c r="AO38" s="5180"/>
      <c r="AP38" s="5180"/>
      <c r="AQ38" s="5180"/>
      <c r="AR38" s="5180"/>
      <c r="AS38" s="5180"/>
      <c r="AT38" s="5180"/>
      <c r="AU38" s="5180"/>
    </row>
    <row r="39" spans="1:52" ht="14.25" customHeight="1">
      <c r="Q39" s="304"/>
      <c r="R39" s="304"/>
      <c r="S39" s="5322" t="s">
        <v>83</v>
      </c>
      <c r="T39" s="5274" t="s">
        <v>544</v>
      </c>
      <c r="U39" s="219"/>
      <c r="V39" s="5323" t="s">
        <v>545</v>
      </c>
      <c r="W39" s="5324"/>
      <c r="X39" s="5324"/>
      <c r="Y39" s="5324"/>
      <c r="Z39" s="5324"/>
      <c r="AA39" s="5324"/>
      <c r="AB39" s="5325"/>
      <c r="AC39" s="5326" t="s">
        <v>546</v>
      </c>
      <c r="AD39" s="5323" t="s">
        <v>545</v>
      </c>
      <c r="AE39" s="5324"/>
      <c r="AF39" s="5324"/>
      <c r="AG39" s="5324"/>
      <c r="AH39" s="5324"/>
      <c r="AI39" s="5324"/>
      <c r="AJ39" s="5325"/>
      <c r="AK39" s="5326" t="s">
        <v>547</v>
      </c>
      <c r="AL39" s="5323" t="s">
        <v>545</v>
      </c>
      <c r="AM39" s="5324"/>
      <c r="AN39" s="5324"/>
      <c r="AO39" s="5324"/>
      <c r="AP39" s="5324"/>
      <c r="AQ39" s="5324"/>
      <c r="AR39" s="5325"/>
      <c r="AS39" s="5326" t="s">
        <v>546</v>
      </c>
      <c r="AT39" s="5329" t="s">
        <v>548</v>
      </c>
      <c r="AU39" s="5180"/>
    </row>
    <row r="40" spans="1:52" ht="33.75" customHeight="1">
      <c r="Q40" s="304"/>
      <c r="R40" s="304"/>
      <c r="S40" s="5322"/>
      <c r="T40" s="5274"/>
      <c r="U40" s="937"/>
      <c r="V40" s="5244" t="s">
        <v>570</v>
      </c>
      <c r="W40" s="5332"/>
      <c r="X40" s="5151" t="s">
        <v>551</v>
      </c>
      <c r="Y40" s="5150"/>
      <c r="Z40" s="5151" t="s">
        <v>552</v>
      </c>
      <c r="AA40" s="5156"/>
      <c r="AB40" s="5150"/>
      <c r="AC40" s="5327"/>
      <c r="AD40" s="5244" t="s">
        <v>570</v>
      </c>
      <c r="AE40" s="5332"/>
      <c r="AF40" s="5151" t="s">
        <v>551</v>
      </c>
      <c r="AG40" s="5150"/>
      <c r="AH40" s="5151" t="s">
        <v>552</v>
      </c>
      <c r="AI40" s="5156"/>
      <c r="AJ40" s="5150"/>
      <c r="AK40" s="5327"/>
      <c r="AL40" s="5244" t="s">
        <v>570</v>
      </c>
      <c r="AM40" s="5332"/>
      <c r="AN40" s="5151" t="s">
        <v>551</v>
      </c>
      <c r="AO40" s="5150"/>
      <c r="AP40" s="5151" t="s">
        <v>552</v>
      </c>
      <c r="AQ40" s="5156"/>
      <c r="AR40" s="5150"/>
      <c r="AS40" s="5327"/>
      <c r="AT40" s="5330"/>
      <c r="AU40" s="5180"/>
    </row>
    <row r="41" spans="1:52" ht="33.7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Q41" s="304"/>
      <c r="R41" s="304"/>
      <c r="S41" s="5322"/>
      <c r="T41" s="5274"/>
      <c r="U41" s="220"/>
      <c r="V41" s="5293"/>
      <c r="W41" s="5333"/>
      <c r="X41" s="1127" t="s">
        <v>560</v>
      </c>
      <c r="Y41" s="1127" t="s">
        <v>561</v>
      </c>
      <c r="Z41" s="1254" t="s">
        <v>562</v>
      </c>
      <c r="AA41" s="5282" t="s">
        <v>563</v>
      </c>
      <c r="AB41" s="5284"/>
      <c r="AC41" s="5328"/>
      <c r="AD41" s="5293"/>
      <c r="AE41" s="5333"/>
      <c r="AF41" s="1127" t="s">
        <v>560</v>
      </c>
      <c r="AG41" s="1127" t="s">
        <v>561</v>
      </c>
      <c r="AH41" s="1254" t="s">
        <v>562</v>
      </c>
      <c r="AI41" s="5282" t="s">
        <v>563</v>
      </c>
      <c r="AJ41" s="5284"/>
      <c r="AK41" s="5328"/>
      <c r="AL41" s="5293"/>
      <c r="AM41" s="5333"/>
      <c r="AN41" s="2183" t="s">
        <v>560</v>
      </c>
      <c r="AO41" s="2183" t="s">
        <v>561</v>
      </c>
      <c r="AP41" s="2183" t="s">
        <v>562</v>
      </c>
      <c r="AQ41" s="5282" t="s">
        <v>563</v>
      </c>
      <c r="AR41" s="5284"/>
      <c r="AS41" s="5328"/>
      <c r="AT41" s="5331"/>
      <c r="AU41" s="5180"/>
    </row>
    <row r="42" spans="1:52"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251">
        <f ca="1">OFFSET(V42,0,-1)+1</f>
        <v>3</v>
      </c>
      <c r="W42" s="1251"/>
      <c r="X42" s="1251">
        <f ca="1">OFFSET(X42,0,-1)+1</f>
        <v>1</v>
      </c>
      <c r="Y42" s="1251">
        <f ca="1">OFFSET(Y42,0,-1)+1</f>
        <v>2</v>
      </c>
      <c r="Z42" s="1251">
        <f ca="1">OFFSET(Z42,0,-1)+1</f>
        <v>3</v>
      </c>
      <c r="AA42" s="5321">
        <f ca="1">OFFSET(AA42,0,-1)+1</f>
        <v>4</v>
      </c>
      <c r="AB42" s="5321"/>
      <c r="AC42" s="1251">
        <f ca="1">OFFSET(AC42,0,-2)+1</f>
        <v>5</v>
      </c>
      <c r="AD42" s="1251">
        <f ca="1">OFFSET(AD42,0,-1)+1</f>
        <v>6</v>
      </c>
      <c r="AE42" s="1251"/>
      <c r="AF42" s="1251">
        <f ca="1">OFFSET(AF42,0,-1)+1</f>
        <v>1</v>
      </c>
      <c r="AG42" s="1251">
        <f ca="1">OFFSET(AG42,0,-1)+1</f>
        <v>2</v>
      </c>
      <c r="AH42" s="1251">
        <f ca="1">OFFSET(AH42,0,-1)+1</f>
        <v>3</v>
      </c>
      <c r="AI42" s="5321">
        <f ca="1">OFFSET(AI42,0,-1)+1</f>
        <v>4</v>
      </c>
      <c r="AJ42" s="5321"/>
      <c r="AK42" s="1251">
        <f ca="1">OFFSET(AK42,0,-2)+1</f>
        <v>5</v>
      </c>
      <c r="AL42" s="2185">
        <f ca="1">OFFSET(AL42,0,-1)+1</f>
        <v>6</v>
      </c>
      <c r="AM42" s="2185"/>
      <c r="AN42" s="2185">
        <f ca="1">OFFSET(AN42,0,-1)+1</f>
        <v>1</v>
      </c>
      <c r="AO42" s="2185">
        <f ca="1">OFFSET(AO42,0,-1)+1</f>
        <v>2</v>
      </c>
      <c r="AP42" s="2185">
        <f ca="1">OFFSET(AP42,0,-1)+1</f>
        <v>3</v>
      </c>
      <c r="AQ42" s="5321">
        <f ca="1">OFFSET(AQ42,0,-1)+1</f>
        <v>4</v>
      </c>
      <c r="AR42" s="5321"/>
      <c r="AS42" s="2185">
        <f ca="1">OFFSET(AS42,0,-2)+1</f>
        <v>5</v>
      </c>
      <c r="AT42" s="1153">
        <f ca="1">OFFSET(AT42,0,-1)</f>
        <v>5</v>
      </c>
      <c r="AU42" s="1251">
        <f ca="1">OFFSET(AU42,0,-1)+1</f>
        <v>6</v>
      </c>
      <c r="AV42" s="436"/>
      <c r="AW42" s="436"/>
      <c r="AX42" s="436"/>
      <c r="AY42" s="436"/>
      <c r="AZ42" s="436"/>
    </row>
    <row r="43" spans="1:52" ht="21" customHeight="1">
      <c r="A43" s="1278" t="s">
        <v>250</v>
      </c>
      <c r="B43" s="1278"/>
      <c r="C43" s="1278"/>
      <c r="D43" s="1278"/>
      <c r="E43" s="5314">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127</v>
      </c>
      <c r="U43" s="218"/>
      <c r="V43" s="5300"/>
      <c r="W43" s="5301"/>
      <c r="X43" s="5301"/>
      <c r="Y43" s="5301"/>
      <c r="Z43" s="5301"/>
      <c r="AA43" s="5301"/>
      <c r="AB43" s="5301"/>
      <c r="AC43" s="5302"/>
      <c r="AD43" s="5300" t="str">
        <f>INDEX(PT_DIFFERENTIATION_NTAR,MATCH(A43,PT_DIFFERENTIATION_NTAR_ID,0))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E43" s="5301"/>
      <c r="AF43" s="5301"/>
      <c r="AG43" s="5301"/>
      <c r="AH43" s="5301"/>
      <c r="AI43" s="5301"/>
      <c r="AJ43" s="5301"/>
      <c r="AK43" s="5301"/>
      <c r="AL43" s="5300"/>
      <c r="AM43" s="5301"/>
      <c r="AN43" s="5301"/>
      <c r="AO43" s="5301"/>
      <c r="AP43" s="5301"/>
      <c r="AQ43" s="5301"/>
      <c r="AR43" s="5301"/>
      <c r="AS43" s="5302"/>
      <c r="AT43" s="5302"/>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74" si="1">IF(T43="","",T43)</f>
        <v>Наименование тарифа</v>
      </c>
      <c r="AY43" s="425"/>
      <c r="AZ43" s="425"/>
    </row>
    <row r="44" spans="1:52" ht="21" customHeight="1">
      <c r="A44" s="1278" t="s">
        <v>250</v>
      </c>
      <c r="B44" s="1278" t="s">
        <v>251</v>
      </c>
      <c r="C44" s="1278"/>
      <c r="D44" s="1278"/>
      <c r="E44" s="5315"/>
      <c r="F44" s="5314">
        <v>1</v>
      </c>
      <c r="G44" s="1278"/>
      <c r="H44" s="1278"/>
      <c r="I44" s="1278"/>
      <c r="J44" s="1278"/>
      <c r="K44" s="1278"/>
      <c r="L44" s="1279"/>
      <c r="M44" s="1280"/>
      <c r="N44" s="1280"/>
      <c r="O44" s="1280"/>
      <c r="P44" s="1248"/>
      <c r="Q44" s="276"/>
      <c r="R44" s="277"/>
      <c r="S44" s="1252" t="str">
        <f>INDEX(PT_DIFFERENTIATION_NUM_TER,MATCH(B44,PT_DIFFERENTIATION_TER_ID,0))</f>
        <v>1.1</v>
      </c>
      <c r="T44" s="228" t="s">
        <v>516</v>
      </c>
      <c r="U44" s="218"/>
      <c r="V44" s="5300"/>
      <c r="W44" s="5301"/>
      <c r="X44" s="5301"/>
      <c r="Y44" s="5301"/>
      <c r="Z44" s="5301"/>
      <c r="AA44" s="5301"/>
      <c r="AB44" s="5301"/>
      <c r="AC44" s="5302"/>
      <c r="AD44" s="5300" t="str">
        <f>INDEX(PT_DIFFERENTIATION_TER,MATCH(B44,PT_DIFFERENTIATION_TER_ID,0))</f>
        <v>Территория 1</v>
      </c>
      <c r="AE44" s="5301"/>
      <c r="AF44" s="5301"/>
      <c r="AG44" s="5301"/>
      <c r="AH44" s="5301"/>
      <c r="AI44" s="5301"/>
      <c r="AJ44" s="5301"/>
      <c r="AK44" s="5301"/>
      <c r="AL44" s="5300"/>
      <c r="AM44" s="5301"/>
      <c r="AN44" s="5301"/>
      <c r="AO44" s="5301"/>
      <c r="AP44" s="5301"/>
      <c r="AQ44" s="5301"/>
      <c r="AR44" s="5301"/>
      <c r="AS44" s="5302"/>
      <c r="AT44" s="5302"/>
      <c r="AU44" s="1176" t="s">
        <v>517</v>
      </c>
      <c r="AW44" s="425"/>
      <c r="AX44" s="425" t="str">
        <f t="shared" si="1"/>
        <v>Территория действия тарифа</v>
      </c>
      <c r="AY44" s="425"/>
      <c r="AZ44" s="425"/>
    </row>
    <row r="45" spans="1:52" ht="23.25" customHeight="1">
      <c r="A45" s="1278" t="s">
        <v>250</v>
      </c>
      <c r="B45" s="1278" t="s">
        <v>251</v>
      </c>
      <c r="C45" s="1278" t="s">
        <v>252</v>
      </c>
      <c r="D45" s="1278"/>
      <c r="E45" s="5315"/>
      <c r="F45" s="5315"/>
      <c r="G45" s="5314">
        <v>1</v>
      </c>
      <c r="H45" s="1278"/>
      <c r="I45" s="1278"/>
      <c r="J45" s="1278"/>
      <c r="K45" s="1278"/>
      <c r="L45" s="1279"/>
      <c r="M45" s="1280"/>
      <c r="N45" s="1280"/>
      <c r="O45" s="1280"/>
      <c r="P45" s="278"/>
      <c r="Q45" s="276"/>
      <c r="R45" s="277"/>
      <c r="S45" s="1252" t="str">
        <f>INDEX(PT_DIFFERENTIATION_NUM_CS,MATCH(C45,PT_DIFFERENTIATION_CS_ID,0))</f>
        <v>1.1.1</v>
      </c>
      <c r="T45" s="229" t="s">
        <v>518</v>
      </c>
      <c r="U45" s="218"/>
      <c r="V45" s="5300"/>
      <c r="W45" s="5301"/>
      <c r="X45" s="5301"/>
      <c r="Y45" s="5301"/>
      <c r="Z45" s="5301"/>
      <c r="AA45" s="5301"/>
      <c r="AB45" s="5301"/>
      <c r="AC45" s="5302"/>
      <c r="AD45" s="5300" t="str">
        <f>INDEX(PT_DIFFERENTIATION_CS,MATCH(C45,PT_DIFFERENTIATION_CS_ID,0))</f>
        <v xml:space="preserve">открытая система теплоснабжения г. Апатиты
</v>
      </c>
      <c r="AE45" s="5301"/>
      <c r="AF45" s="5301"/>
      <c r="AG45" s="5301"/>
      <c r="AH45" s="5301"/>
      <c r="AI45" s="5301"/>
      <c r="AJ45" s="5301"/>
      <c r="AK45" s="5301"/>
      <c r="AL45" s="5300"/>
      <c r="AM45" s="5301"/>
      <c r="AN45" s="5301"/>
      <c r="AO45" s="5301"/>
      <c r="AP45" s="5301"/>
      <c r="AQ45" s="5301"/>
      <c r="AR45" s="5301"/>
      <c r="AS45" s="5302"/>
      <c r="AT45" s="5302"/>
      <c r="AU45" s="1176" t="s">
        <v>519</v>
      </c>
      <c r="AW45" s="425"/>
      <c r="AX45" s="425" t="str">
        <f t="shared" si="1"/>
        <v xml:space="preserve">Наименование системы теплоснабжения </v>
      </c>
      <c r="AY45" s="425"/>
      <c r="AZ45" s="425"/>
    </row>
    <row r="46" spans="1:52" ht="21" customHeight="1">
      <c r="A46" s="1278" t="s">
        <v>250</v>
      </c>
      <c r="B46" s="1278" t="s">
        <v>251</v>
      </c>
      <c r="C46" s="1278" t="s">
        <v>252</v>
      </c>
      <c r="D46" s="1278" t="s">
        <v>253</v>
      </c>
      <c r="E46" s="5315"/>
      <c r="F46" s="5315"/>
      <c r="G46" s="5315"/>
      <c r="H46" s="5314">
        <v>1</v>
      </c>
      <c r="I46" s="1278"/>
      <c r="J46" s="1278"/>
      <c r="K46" s="1278"/>
      <c r="L46" s="1279"/>
      <c r="M46" s="1280"/>
      <c r="N46" s="1280"/>
      <c r="O46" s="1280"/>
      <c r="P46" s="278"/>
      <c r="Q46" s="276"/>
      <c r="R46" s="277"/>
      <c r="S46" s="1252" t="str">
        <f>INDEX(PT_DIFFERENTIATION_NUM_IST_TE,MATCH(D46,PT_DIFFERENTIATION_IST_TE_ID,0))</f>
        <v>1.1.1.1</v>
      </c>
      <c r="T46" s="230" t="s">
        <v>520</v>
      </c>
      <c r="U46" s="218"/>
      <c r="V46" s="5300"/>
      <c r="W46" s="5301"/>
      <c r="X46" s="5301"/>
      <c r="Y46" s="5301"/>
      <c r="Z46" s="5301"/>
      <c r="AA46" s="5301"/>
      <c r="AB46" s="5301"/>
      <c r="AC46" s="5302"/>
      <c r="AD46" s="5300" t="str">
        <f>INDEX(PT_DIFFERENTIATION_IST_TE,MATCH(D46,PT_DIFFERENTIATION_IST_TE_ID,0))</f>
        <v>Апатитская ТЭЦ</v>
      </c>
      <c r="AE46" s="5301"/>
      <c r="AF46" s="5301"/>
      <c r="AG46" s="5301"/>
      <c r="AH46" s="5301"/>
      <c r="AI46" s="5301"/>
      <c r="AJ46" s="5301"/>
      <c r="AK46" s="5301"/>
      <c r="AL46" s="5300"/>
      <c r="AM46" s="5301"/>
      <c r="AN46" s="5301"/>
      <c r="AO46" s="5301"/>
      <c r="AP46" s="5301"/>
      <c r="AQ46" s="5301"/>
      <c r="AR46" s="5301"/>
      <c r="AS46" s="5302"/>
      <c r="AT46" s="5302"/>
      <c r="AU46" s="1176" t="s">
        <v>521</v>
      </c>
      <c r="AW46" s="425"/>
      <c r="AX46" s="425" t="str">
        <f t="shared" si="1"/>
        <v xml:space="preserve">Источник тепловой энергии  </v>
      </c>
      <c r="AY46" s="425"/>
      <c r="AZ46" s="425"/>
    </row>
    <row r="47" spans="1:52" s="1819" customFormat="1" ht="0" hidden="1" customHeight="1">
      <c r="A47" s="1259" t="s">
        <v>250</v>
      </c>
      <c r="B47" s="1259" t="s">
        <v>251</v>
      </c>
      <c r="C47" s="1259" t="s">
        <v>252</v>
      </c>
      <c r="D47" s="1259" t="s">
        <v>253</v>
      </c>
      <c r="E47" s="5315"/>
      <c r="F47" s="5315"/>
      <c r="G47" s="5315"/>
      <c r="H47" s="5315"/>
      <c r="I47" s="5312" t="str">
        <f>S46&amp;".1"</f>
        <v>1.1.1.1.1</v>
      </c>
      <c r="J47" s="1259"/>
      <c r="K47" s="1259"/>
      <c r="L47" s="1262" t="s">
        <v>522</v>
      </c>
      <c r="M47" s="435"/>
      <c r="N47" s="435"/>
      <c r="O47" s="435"/>
      <c r="P47" s="5313">
        <v>1</v>
      </c>
      <c r="Q47" s="1247"/>
      <c r="R47" s="280"/>
      <c r="S47" s="948"/>
      <c r="T47" s="1298"/>
      <c r="U47" s="1299"/>
      <c r="V47" s="5341"/>
      <c r="W47" s="5342"/>
      <c r="X47" s="5342"/>
      <c r="Y47" s="5342"/>
      <c r="Z47" s="5342"/>
      <c r="AA47" s="5342"/>
      <c r="AB47" s="5342"/>
      <c r="AC47" s="5343"/>
      <c r="AD47" s="5341"/>
      <c r="AE47" s="5342"/>
      <c r="AF47" s="5342"/>
      <c r="AG47" s="5342"/>
      <c r="AH47" s="5342"/>
      <c r="AI47" s="5342"/>
      <c r="AJ47" s="5342"/>
      <c r="AK47" s="5342"/>
      <c r="AL47" s="5341"/>
      <c r="AM47" s="5342"/>
      <c r="AN47" s="5342"/>
      <c r="AO47" s="5342"/>
      <c r="AP47" s="5342"/>
      <c r="AQ47" s="5342"/>
      <c r="AR47" s="5342"/>
      <c r="AS47" s="5343"/>
      <c r="AT47" s="5343"/>
      <c r="AU47" s="1300"/>
      <c r="AW47" s="425"/>
      <c r="AX47" s="425" t="str">
        <f t="shared" si="1"/>
        <v/>
      </c>
      <c r="AY47" s="425"/>
      <c r="AZ47" s="425"/>
    </row>
    <row r="48" spans="1:52" ht="21" customHeight="1">
      <c r="A48" s="1278" t="s">
        <v>250</v>
      </c>
      <c r="B48" s="1278" t="s">
        <v>251</v>
      </c>
      <c r="C48" s="1278" t="s">
        <v>252</v>
      </c>
      <c r="D48" s="1278" t="s">
        <v>253</v>
      </c>
      <c r="E48" s="5315"/>
      <c r="F48" s="5315"/>
      <c r="G48" s="5315"/>
      <c r="H48" s="5315"/>
      <c r="I48" s="5335"/>
      <c r="J48" s="5312" t="str">
        <f>S46&amp;".1"</f>
        <v>1.1.1.1.1</v>
      </c>
      <c r="K48" s="1278"/>
      <c r="L48" s="1279" t="s">
        <v>525</v>
      </c>
      <c r="P48" s="5313"/>
      <c r="Q48" s="5313">
        <v>1</v>
      </c>
      <c r="R48" s="281"/>
      <c r="S48" s="1252" t="str">
        <f>$J48</f>
        <v>1.1.1.1.1</v>
      </c>
      <c r="T48" s="204" t="s">
        <v>526</v>
      </c>
      <c r="U48" s="218"/>
      <c r="V48" s="5303"/>
      <c r="W48" s="5304"/>
      <c r="X48" s="5304"/>
      <c r="Y48" s="5304"/>
      <c r="Z48" s="5304"/>
      <c r="AA48" s="5304"/>
      <c r="AB48" s="5304"/>
      <c r="AC48" s="5305"/>
      <c r="AD48" s="5303" t="s">
        <v>565</v>
      </c>
      <c r="AE48" s="5304"/>
      <c r="AF48" s="5304"/>
      <c r="AG48" s="5304"/>
      <c r="AH48" s="5304"/>
      <c r="AI48" s="5304"/>
      <c r="AJ48" s="5304"/>
      <c r="AK48" s="5304"/>
      <c r="AL48" s="5303"/>
      <c r="AM48" s="5304"/>
      <c r="AN48" s="5304"/>
      <c r="AO48" s="5304"/>
      <c r="AP48" s="5304"/>
      <c r="AQ48" s="5304"/>
      <c r="AR48" s="5304"/>
      <c r="AS48" s="5305"/>
      <c r="AT48" s="5305"/>
      <c r="AU48" s="1176" t="s">
        <v>527</v>
      </c>
      <c r="AW48" s="425"/>
      <c r="AX48" s="425" t="str">
        <f t="shared" si="1"/>
        <v>Группа потребителей</v>
      </c>
      <c r="AY48" s="425"/>
      <c r="AZ48" s="425"/>
    </row>
    <row r="49" spans="1:52" ht="21" customHeight="1">
      <c r="A49" s="1278" t="s">
        <v>250</v>
      </c>
      <c r="B49" s="1278" t="s">
        <v>251</v>
      </c>
      <c r="C49" s="1278" t="s">
        <v>252</v>
      </c>
      <c r="D49" s="1278" t="s">
        <v>253</v>
      </c>
      <c r="E49" s="5315"/>
      <c r="F49" s="5315"/>
      <c r="G49" s="5315"/>
      <c r="H49" s="5315"/>
      <c r="I49" s="5335"/>
      <c r="J49" s="5335"/>
      <c r="K49" s="5312" t="str">
        <f>J48&amp;".1"</f>
        <v>1.1.1.1.1.1</v>
      </c>
      <c r="L49" s="1279" t="s">
        <v>528</v>
      </c>
      <c r="P49" s="5313"/>
      <c r="Q49" s="5313"/>
      <c r="R49" s="281">
        <v>1</v>
      </c>
      <c r="S49" s="1252" t="str">
        <f>$K49</f>
        <v>1.1.1.1.1.1</v>
      </c>
      <c r="T49" s="1263" t="s">
        <v>566</v>
      </c>
      <c r="U49" s="218"/>
      <c r="V49" s="667"/>
      <c r="W49" s="250"/>
      <c r="X49" s="667"/>
      <c r="Y49" s="1175"/>
      <c r="Z49" s="5317"/>
      <c r="AA49" s="5161" t="s">
        <v>62</v>
      </c>
      <c r="AB49" s="5317"/>
      <c r="AC49" s="5161" t="s">
        <v>62</v>
      </c>
      <c r="AD49" s="667">
        <v>26.8</v>
      </c>
      <c r="AE49" s="250"/>
      <c r="AF49" s="667"/>
      <c r="AG49" s="1175"/>
      <c r="AH49" s="5317">
        <v>45658.599074074074</v>
      </c>
      <c r="AI49" s="5161" t="s">
        <v>62</v>
      </c>
      <c r="AJ49" s="5336">
        <v>45838.599143518521</v>
      </c>
      <c r="AK49" s="5161" t="s">
        <v>62</v>
      </c>
      <c r="AL49" s="2139">
        <v>53.82</v>
      </c>
      <c r="AM49" s="2140"/>
      <c r="AN49" s="2139"/>
      <c r="AO49" s="2141"/>
      <c r="AP49" s="5317">
        <v>45839.599351851852</v>
      </c>
      <c r="AQ49" s="5161" t="s">
        <v>62</v>
      </c>
      <c r="AR49" s="5317">
        <v>46022.599421296298</v>
      </c>
      <c r="AS49" s="5161" t="s">
        <v>62</v>
      </c>
      <c r="AT49" s="1264"/>
      <c r="AU49" s="5309" t="s">
        <v>571</v>
      </c>
      <c r="AV49" s="436" t="e">
        <f ca="1">STRCHECKDATE(V50:AT50)</f>
        <v>#NAME?</v>
      </c>
      <c r="AW49" s="425"/>
      <c r="AX49" s="425" t="str">
        <f t="shared" si="1"/>
        <v>вода</v>
      </c>
      <c r="AY49" s="425"/>
      <c r="AZ49" s="425"/>
    </row>
    <row r="50" spans="1:52" ht="0.75" customHeight="1">
      <c r="A50" s="1278" t="s">
        <v>250</v>
      </c>
      <c r="B50" s="1278" t="s">
        <v>251</v>
      </c>
      <c r="C50" s="1278" t="s">
        <v>252</v>
      </c>
      <c r="D50" s="1278" t="s">
        <v>253</v>
      </c>
      <c r="E50" s="5315"/>
      <c r="F50" s="5315"/>
      <c r="G50" s="5315"/>
      <c r="H50" s="5315"/>
      <c r="I50" s="5335"/>
      <c r="J50" s="5335"/>
      <c r="K50" s="5312"/>
      <c r="L50" s="1279"/>
      <c r="P50" s="5313"/>
      <c r="Q50" s="5313"/>
      <c r="R50" s="281"/>
      <c r="S50" s="1258"/>
      <c r="T50" s="218"/>
      <c r="U50" s="218"/>
      <c r="V50" s="250"/>
      <c r="W50" s="250"/>
      <c r="X50" s="250"/>
      <c r="Y50" s="254" t="str">
        <f>Z49&amp;"-"&amp;AB49</f>
        <v>-</v>
      </c>
      <c r="Z50" s="5318"/>
      <c r="AA50" s="5161"/>
      <c r="AB50" s="5318"/>
      <c r="AC50" s="5161"/>
      <c r="AD50" s="250"/>
      <c r="AE50" s="250"/>
      <c r="AF50" s="250"/>
      <c r="AG50" s="254" t="str">
        <f>AH49&amp;"-"&amp;AJ49</f>
        <v>45658,5990740741-45838,5991435185</v>
      </c>
      <c r="AH50" s="5318"/>
      <c r="AI50" s="5161"/>
      <c r="AJ50" s="5337"/>
      <c r="AK50" s="5161"/>
      <c r="AL50" s="2140"/>
      <c r="AM50" s="2140"/>
      <c r="AN50" s="2140"/>
      <c r="AO50" s="2142" t="str">
        <f>AP49&amp;"-"&amp;AR49</f>
        <v>45839,5993518519-46022,5994212963</v>
      </c>
      <c r="AP50" s="5318"/>
      <c r="AQ50" s="5161"/>
      <c r="AR50" s="5318"/>
      <c r="AS50" s="5161"/>
      <c r="AT50" s="1265"/>
      <c r="AU50" s="5310"/>
      <c r="AW50" s="425"/>
      <c r="AX50" s="425" t="str">
        <f t="shared" si="1"/>
        <v/>
      </c>
      <c r="AY50" s="425"/>
      <c r="AZ50" s="425"/>
    </row>
    <row r="51" spans="1:52" ht="11.25" customHeight="1">
      <c r="A51" s="1278" t="s">
        <v>250</v>
      </c>
      <c r="B51" s="1278" t="s">
        <v>251</v>
      </c>
      <c r="C51" s="1278" t="s">
        <v>252</v>
      </c>
      <c r="D51" s="1278" t="s">
        <v>253</v>
      </c>
      <c r="E51" s="5315"/>
      <c r="F51" s="5315"/>
      <c r="G51" s="5315"/>
      <c r="H51" s="5315"/>
      <c r="I51" s="5335"/>
      <c r="J51" s="5312"/>
      <c r="K51" s="1278"/>
      <c r="L51" s="1279"/>
      <c r="P51" s="5313"/>
      <c r="Q51" s="5313"/>
      <c r="R51" s="280"/>
      <c r="S51" s="1197"/>
      <c r="T51" s="205" t="s">
        <v>530</v>
      </c>
      <c r="U51" s="294"/>
      <c r="V51" s="294"/>
      <c r="W51" s="294"/>
      <c r="X51" s="294"/>
      <c r="Y51" s="294"/>
      <c r="Z51" s="294"/>
      <c r="AA51" s="294"/>
      <c r="AB51" s="294"/>
      <c r="AC51" s="294"/>
      <c r="AD51" s="294"/>
      <c r="AE51" s="294"/>
      <c r="AF51" s="294"/>
      <c r="AG51" s="294"/>
      <c r="AH51" s="294"/>
      <c r="AI51" s="294"/>
      <c r="AJ51" s="294"/>
      <c r="AK51" s="294"/>
      <c r="AL51" s="3765"/>
      <c r="AM51" s="3766"/>
      <c r="AN51" s="3767"/>
      <c r="AO51" s="3768"/>
      <c r="AP51" s="3769"/>
      <c r="AQ51" s="3770"/>
      <c r="AR51" s="3771"/>
      <c r="AS51" s="3772"/>
      <c r="AT51" s="249"/>
      <c r="AU51" s="5311"/>
      <c r="AW51" s="425"/>
      <c r="AX51" s="425" t="str">
        <f t="shared" si="1"/>
        <v>Добавить вид теплоносителя (параметры теплоносителя)</v>
      </c>
      <c r="AY51" s="425"/>
      <c r="AZ51" s="425"/>
    </row>
    <row r="52" spans="1:52" ht="11.25" customHeight="1">
      <c r="A52" s="1278" t="s">
        <v>250</v>
      </c>
      <c r="B52" s="1278" t="s">
        <v>251</v>
      </c>
      <c r="C52" s="1278" t="s">
        <v>252</v>
      </c>
      <c r="D52" s="1278" t="s">
        <v>253</v>
      </c>
      <c r="E52" s="5315"/>
      <c r="F52" s="5315"/>
      <c r="G52" s="5315"/>
      <c r="H52" s="5315"/>
      <c r="I52" s="5312"/>
      <c r="J52" s="1278"/>
      <c r="K52" s="1278"/>
      <c r="L52" s="1279"/>
      <c r="P52" s="5313"/>
      <c r="Q52" s="1247"/>
      <c r="R52" s="280"/>
      <c r="S52" s="1197"/>
      <c r="T52" s="291" t="s">
        <v>531</v>
      </c>
      <c r="U52" s="294"/>
      <c r="V52" s="294"/>
      <c r="W52" s="294"/>
      <c r="X52" s="294"/>
      <c r="Y52" s="294"/>
      <c r="Z52" s="294"/>
      <c r="AA52" s="294"/>
      <c r="AB52" s="294"/>
      <c r="AC52" s="293"/>
      <c r="AD52" s="294"/>
      <c r="AE52" s="294"/>
      <c r="AF52" s="294"/>
      <c r="AG52" s="294"/>
      <c r="AH52" s="294"/>
      <c r="AI52" s="294"/>
      <c r="AJ52" s="294"/>
      <c r="AK52" s="293"/>
      <c r="AL52" s="3773"/>
      <c r="AM52" s="3774"/>
      <c r="AN52" s="3775"/>
      <c r="AO52" s="3776"/>
      <c r="AP52" s="3777"/>
      <c r="AQ52" s="3778"/>
      <c r="AR52" s="3779"/>
      <c r="AS52" s="3780"/>
      <c r="AT52" s="294"/>
      <c r="AU52" s="221"/>
      <c r="AW52" s="425"/>
      <c r="AX52" s="425" t="str">
        <f t="shared" si="1"/>
        <v>Добавить группу потребителей</v>
      </c>
      <c r="AY52" s="425"/>
      <c r="AZ52" s="425"/>
    </row>
    <row r="53" spans="1:52" ht="0" hidden="1" customHeight="1">
      <c r="A53" s="1278" t="s">
        <v>250</v>
      </c>
      <c r="B53" s="1278" t="s">
        <v>251</v>
      </c>
      <c r="C53" s="1278" t="s">
        <v>252</v>
      </c>
      <c r="D53" s="1278" t="s">
        <v>253</v>
      </c>
      <c r="E53" s="5315"/>
      <c r="F53" s="5315"/>
      <c r="G53" s="5315"/>
      <c r="H53" s="5314"/>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3763"/>
      <c r="AM53" s="3763"/>
      <c r="AN53" s="3763"/>
      <c r="AO53" s="3763"/>
      <c r="AP53" s="3763"/>
      <c r="AQ53" s="3763"/>
      <c r="AR53" s="3763"/>
      <c r="AS53" s="3763"/>
      <c r="AT53" s="1303"/>
      <c r="AU53" s="1304"/>
      <c r="AW53" s="425"/>
      <c r="AX53" s="425" t="str">
        <f t="shared" si="1"/>
        <v/>
      </c>
      <c r="AY53" s="425"/>
      <c r="AZ53" s="425"/>
    </row>
    <row r="54" spans="1:52" s="2167" customFormat="1" ht="0.75" customHeight="1">
      <c r="A54" s="1259" t="s">
        <v>250</v>
      </c>
      <c r="B54" s="1259" t="s">
        <v>251</v>
      </c>
      <c r="C54" s="1259" t="s">
        <v>252</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169"/>
      <c r="AM54" s="2169"/>
      <c r="AN54" s="2169"/>
      <c r="AO54" s="2169"/>
      <c r="AP54" s="2169"/>
      <c r="AQ54" s="2169"/>
      <c r="AR54" s="2169"/>
      <c r="AS54" s="2169"/>
      <c r="AT54" s="1241"/>
      <c r="AU54" s="1241"/>
      <c r="AW54" s="705"/>
      <c r="AX54" s="705" t="str">
        <f t="shared" si="1"/>
        <v>Добавить источник для дифференциации</v>
      </c>
      <c r="AY54" s="705"/>
      <c r="AZ54" s="705"/>
    </row>
    <row r="55" spans="1:52" s="2167" customFormat="1" ht="0.75" customHeight="1">
      <c r="A55" s="1259" t="s">
        <v>250</v>
      </c>
      <c r="B55" s="1259" t="s">
        <v>251</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169"/>
      <c r="AM55" s="2169"/>
      <c r="AN55" s="2169"/>
      <c r="AO55" s="2169"/>
      <c r="AP55" s="2169"/>
      <c r="AQ55" s="2169"/>
      <c r="AR55" s="2169"/>
      <c r="AS55" s="2169"/>
      <c r="AT55" s="1241"/>
      <c r="AU55" s="1241"/>
      <c r="AW55" s="705"/>
      <c r="AX55" s="705" t="str">
        <f t="shared" si="1"/>
        <v>Добавить централизованную систему для дифференциации</v>
      </c>
      <c r="AY55" s="705"/>
      <c r="AZ55" s="705"/>
    </row>
    <row r="56" spans="1:52" s="3781" customFormat="1" ht="21" customHeight="1">
      <c r="A56" s="2211"/>
      <c r="B56" s="2211" t="s">
        <v>254</v>
      </c>
      <c r="C56" s="2211"/>
      <c r="D56" s="2211"/>
      <c r="E56" s="5315"/>
      <c r="F56" s="5314" t="s">
        <v>98</v>
      </c>
      <c r="G56" s="2211"/>
      <c r="H56" s="2211"/>
      <c r="I56" s="2211"/>
      <c r="J56" s="2211"/>
      <c r="K56" s="2211"/>
      <c r="L56" s="2212"/>
      <c r="M56" s="2213"/>
      <c r="N56" s="2213"/>
      <c r="O56" s="2213"/>
      <c r="P56" s="2214"/>
      <c r="Q56" s="2215"/>
      <c r="R56" s="2216"/>
      <c r="S56" s="2217" t="str">
        <f>INDEX(PT_DIFFERENTIATION_NUM_TER,MATCH(B56,PT_DIFFERENTIATION_TER_ID,0))</f>
        <v>1.2</v>
      </c>
      <c r="T56" s="2218" t="s">
        <v>516</v>
      </c>
      <c r="U56" s="2219"/>
      <c r="V56" s="5300"/>
      <c r="W56" s="5301"/>
      <c r="X56" s="5301"/>
      <c r="Y56" s="5301"/>
      <c r="Z56" s="5301"/>
      <c r="AA56" s="5301"/>
      <c r="AB56" s="5301"/>
      <c r="AC56" s="5302"/>
      <c r="AD56" s="5300" t="str">
        <f>INDEX(PT_DIFFERENTIATION_TER,MATCH(B56,PT_DIFFERENTIATION_TER_ID,0))</f>
        <v>Территория 2</v>
      </c>
      <c r="AE56" s="5301"/>
      <c r="AF56" s="5301"/>
      <c r="AG56" s="5301"/>
      <c r="AH56" s="5301"/>
      <c r="AI56" s="5301"/>
      <c r="AJ56" s="5301"/>
      <c r="AK56" s="5301"/>
      <c r="AL56" s="5300"/>
      <c r="AM56" s="5301"/>
      <c r="AN56" s="5301"/>
      <c r="AO56" s="5301"/>
      <c r="AP56" s="5301"/>
      <c r="AQ56" s="5301"/>
      <c r="AR56" s="5301"/>
      <c r="AS56" s="5302"/>
      <c r="AT56" s="5302"/>
      <c r="AU56" s="2220" t="s">
        <v>517</v>
      </c>
      <c r="AV56" s="2182"/>
      <c r="AW56" s="2221"/>
      <c r="AX56" s="2221" t="str">
        <f t="shared" si="1"/>
        <v>Территория действия тарифа</v>
      </c>
      <c r="AY56" s="2221"/>
      <c r="AZ56" s="2221"/>
    </row>
    <row r="57" spans="1:52" s="3782" customFormat="1" ht="23.25" customHeight="1">
      <c r="A57" s="2211"/>
      <c r="B57" s="2211"/>
      <c r="C57" s="2211" t="s">
        <v>255</v>
      </c>
      <c r="D57" s="2211"/>
      <c r="E57" s="5315"/>
      <c r="F57" s="5315">
        <v>1</v>
      </c>
      <c r="G57" s="5314">
        <v>1</v>
      </c>
      <c r="H57" s="2211"/>
      <c r="I57" s="2211"/>
      <c r="J57" s="2211"/>
      <c r="K57" s="2211"/>
      <c r="L57" s="2212"/>
      <c r="M57" s="2213"/>
      <c r="N57" s="2213"/>
      <c r="O57" s="2213"/>
      <c r="P57" s="2223"/>
      <c r="Q57" s="2215"/>
      <c r="R57" s="2216"/>
      <c r="S57" s="2217" t="str">
        <f>INDEX(PT_DIFFERENTIATION_NUM_CS,MATCH(C57,PT_DIFFERENTIATION_CS_ID,0))</f>
        <v>1.2.1</v>
      </c>
      <c r="T57" s="2224" t="s">
        <v>518</v>
      </c>
      <c r="U57" s="2219"/>
      <c r="V57" s="5300"/>
      <c r="W57" s="5301"/>
      <c r="X57" s="5301"/>
      <c r="Y57" s="5301"/>
      <c r="Z57" s="5301"/>
      <c r="AA57" s="5301"/>
      <c r="AB57" s="5301"/>
      <c r="AC57" s="5302"/>
      <c r="AD57" s="5300" t="str">
        <f>INDEX(PT_DIFFERENTIATION_CS,MATCH(C57,PT_DIFFERENTIATION_CS_ID,0))</f>
        <v>открытая система теплоснабжения г. Кировск</v>
      </c>
      <c r="AE57" s="5301"/>
      <c r="AF57" s="5301"/>
      <c r="AG57" s="5301"/>
      <c r="AH57" s="5301"/>
      <c r="AI57" s="5301"/>
      <c r="AJ57" s="5301"/>
      <c r="AK57" s="5301"/>
      <c r="AL57" s="5300"/>
      <c r="AM57" s="5301"/>
      <c r="AN57" s="5301"/>
      <c r="AO57" s="5301"/>
      <c r="AP57" s="5301"/>
      <c r="AQ57" s="5301"/>
      <c r="AR57" s="5301"/>
      <c r="AS57" s="5302"/>
      <c r="AT57" s="5302"/>
      <c r="AU57" s="2220" t="s">
        <v>519</v>
      </c>
      <c r="AV57" s="2182"/>
      <c r="AW57" s="2221"/>
      <c r="AX57" s="2221" t="str">
        <f t="shared" si="1"/>
        <v xml:space="preserve">Наименование системы теплоснабжения </v>
      </c>
      <c r="AY57" s="2221"/>
      <c r="AZ57" s="2221"/>
    </row>
    <row r="58" spans="1:52" s="3783" customFormat="1" ht="21" customHeight="1">
      <c r="A58" s="2211"/>
      <c r="B58" s="2211"/>
      <c r="C58" s="2211"/>
      <c r="D58" s="2211" t="s">
        <v>256</v>
      </c>
      <c r="E58" s="5315"/>
      <c r="F58" s="5315">
        <v>1</v>
      </c>
      <c r="G58" s="5315"/>
      <c r="H58" s="5314">
        <v>1</v>
      </c>
      <c r="I58" s="2211"/>
      <c r="J58" s="2211"/>
      <c r="K58" s="2211"/>
      <c r="L58" s="2212"/>
      <c r="M58" s="2213"/>
      <c r="N58" s="2213"/>
      <c r="O58" s="2213"/>
      <c r="P58" s="2223"/>
      <c r="Q58" s="2215"/>
      <c r="R58" s="2216"/>
      <c r="S58" s="2217" t="str">
        <f>INDEX(PT_DIFFERENTIATION_NUM_IST_TE,MATCH(D58,PT_DIFFERENTIATION_IST_TE_ID,0))</f>
        <v>1.2.1.1</v>
      </c>
      <c r="T58" s="2226" t="s">
        <v>520</v>
      </c>
      <c r="U58" s="2219"/>
      <c r="V58" s="5300"/>
      <c r="W58" s="5301"/>
      <c r="X58" s="5301"/>
      <c r="Y58" s="5301"/>
      <c r="Z58" s="5301"/>
      <c r="AA58" s="5301"/>
      <c r="AB58" s="5301"/>
      <c r="AC58" s="5302"/>
      <c r="AD58" s="5300" t="str">
        <f>INDEX(PT_DIFFERENTIATION_IST_TE,MATCH(D58,PT_DIFFERENTIATION_IST_TE_ID,0))</f>
        <v>Апатитская ТЭЦ</v>
      </c>
      <c r="AE58" s="5301"/>
      <c r="AF58" s="5301"/>
      <c r="AG58" s="5301"/>
      <c r="AH58" s="5301"/>
      <c r="AI58" s="5301"/>
      <c r="AJ58" s="5301"/>
      <c r="AK58" s="5301"/>
      <c r="AL58" s="5300"/>
      <c r="AM58" s="5301"/>
      <c r="AN58" s="5301"/>
      <c r="AO58" s="5301"/>
      <c r="AP58" s="5301"/>
      <c r="AQ58" s="5301"/>
      <c r="AR58" s="5301"/>
      <c r="AS58" s="5302"/>
      <c r="AT58" s="5302"/>
      <c r="AU58" s="2220" t="s">
        <v>521</v>
      </c>
      <c r="AV58" s="2182"/>
      <c r="AW58" s="2221"/>
      <c r="AX58" s="2221" t="str">
        <f t="shared" si="1"/>
        <v xml:space="preserve">Источник тепловой энергии  </v>
      </c>
      <c r="AY58" s="2221"/>
      <c r="AZ58" s="2221"/>
    </row>
    <row r="59" spans="1:52" s="3784" customFormat="1" ht="14.25" customHeight="1">
      <c r="A59" s="2211"/>
      <c r="B59" s="2211"/>
      <c r="C59" s="2211"/>
      <c r="D59" s="2211"/>
      <c r="E59" s="5315"/>
      <c r="F59" s="5315">
        <v>1</v>
      </c>
      <c r="G59" s="5315"/>
      <c r="H59" s="5315"/>
      <c r="I59" s="5312" t="str">
        <f>S58&amp;".1"</f>
        <v>1.2.1.1.1</v>
      </c>
      <c r="J59" s="2211"/>
      <c r="K59" s="2211"/>
      <c r="L59" s="2212" t="s">
        <v>522</v>
      </c>
      <c r="M59" s="2174"/>
      <c r="N59" s="2228"/>
      <c r="O59" s="2228"/>
      <c r="P59" s="5313">
        <v>1</v>
      </c>
      <c r="Q59" s="2229"/>
      <c r="R59" s="2230"/>
      <c r="S59" s="3785"/>
      <c r="T59" s="3786"/>
      <c r="U59" s="3787"/>
      <c r="V59" s="5341"/>
      <c r="W59" s="5342"/>
      <c r="X59" s="5342"/>
      <c r="Y59" s="5342"/>
      <c r="Z59" s="5342"/>
      <c r="AA59" s="5342"/>
      <c r="AB59" s="5342"/>
      <c r="AC59" s="5343"/>
      <c r="AD59" s="5341"/>
      <c r="AE59" s="5342"/>
      <c r="AF59" s="5342"/>
      <c r="AG59" s="5342"/>
      <c r="AH59" s="5342"/>
      <c r="AI59" s="5342"/>
      <c r="AJ59" s="5342"/>
      <c r="AK59" s="5342"/>
      <c r="AL59" s="5341"/>
      <c r="AM59" s="5342"/>
      <c r="AN59" s="5342"/>
      <c r="AO59" s="5342"/>
      <c r="AP59" s="5342"/>
      <c r="AQ59" s="5342"/>
      <c r="AR59" s="5342"/>
      <c r="AS59" s="5343"/>
      <c r="AT59" s="5343"/>
      <c r="AU59" s="3788"/>
      <c r="AV59" s="2182"/>
      <c r="AW59" s="2221"/>
      <c r="AX59" s="2221" t="str">
        <f t="shared" si="1"/>
        <v/>
      </c>
      <c r="AY59" s="2221"/>
      <c r="AZ59" s="2221"/>
    </row>
    <row r="60" spans="1:52" s="3789" customFormat="1" ht="21" customHeight="1">
      <c r="A60" s="2211"/>
      <c r="B60" s="2211"/>
      <c r="C60" s="2211"/>
      <c r="D60" s="2211"/>
      <c r="E60" s="5315"/>
      <c r="F60" s="5315">
        <v>1</v>
      </c>
      <c r="G60" s="5315"/>
      <c r="H60" s="5315"/>
      <c r="I60" s="5335"/>
      <c r="J60" s="5312" t="str">
        <f>I59&amp;".1"</f>
        <v>1.2.1.1.1.1</v>
      </c>
      <c r="K60" s="2211"/>
      <c r="L60" s="2212" t="s">
        <v>525</v>
      </c>
      <c r="M60" s="2174"/>
      <c r="N60" s="2174"/>
      <c r="O60" s="2228"/>
      <c r="P60" s="5313"/>
      <c r="Q60" s="5313">
        <v>1</v>
      </c>
      <c r="R60" s="2233"/>
      <c r="S60" s="2217" t="str">
        <f>$J60</f>
        <v>1.2.1.1.1.1</v>
      </c>
      <c r="T60" s="2234" t="s">
        <v>526</v>
      </c>
      <c r="U60" s="2219"/>
      <c r="V60" s="5303"/>
      <c r="W60" s="5304"/>
      <c r="X60" s="5304"/>
      <c r="Y60" s="5304"/>
      <c r="Z60" s="5304"/>
      <c r="AA60" s="5304"/>
      <c r="AB60" s="5304"/>
      <c r="AC60" s="5305"/>
      <c r="AD60" s="5303" t="s">
        <v>565</v>
      </c>
      <c r="AE60" s="5304"/>
      <c r="AF60" s="5304"/>
      <c r="AG60" s="5304"/>
      <c r="AH60" s="5304"/>
      <c r="AI60" s="5304"/>
      <c r="AJ60" s="5304"/>
      <c r="AK60" s="5304"/>
      <c r="AL60" s="5303"/>
      <c r="AM60" s="5304"/>
      <c r="AN60" s="5304"/>
      <c r="AO60" s="5304"/>
      <c r="AP60" s="5304"/>
      <c r="AQ60" s="5304"/>
      <c r="AR60" s="5304"/>
      <c r="AS60" s="5305"/>
      <c r="AT60" s="5305"/>
      <c r="AU60" s="2220" t="s">
        <v>527</v>
      </c>
      <c r="AV60" s="2182"/>
      <c r="AW60" s="2221"/>
      <c r="AX60" s="2221" t="str">
        <f t="shared" si="1"/>
        <v>Группа потребителей</v>
      </c>
      <c r="AY60" s="2221"/>
      <c r="AZ60" s="2221"/>
    </row>
    <row r="61" spans="1:52" s="3790" customFormat="1" ht="21" customHeight="1">
      <c r="A61" s="2211"/>
      <c r="B61" s="2211"/>
      <c r="C61" s="2211"/>
      <c r="D61" s="2211"/>
      <c r="E61" s="5315"/>
      <c r="F61" s="5315">
        <v>1</v>
      </c>
      <c r="G61" s="5315"/>
      <c r="H61" s="5315"/>
      <c r="I61" s="5335"/>
      <c r="J61" s="5335"/>
      <c r="K61" s="5312" t="str">
        <f>J60&amp;".1"</f>
        <v>1.2.1.1.1.1.1</v>
      </c>
      <c r="L61" s="2212" t="s">
        <v>528</v>
      </c>
      <c r="M61" s="2174"/>
      <c r="N61" s="2174"/>
      <c r="O61" s="2174"/>
      <c r="P61" s="5313"/>
      <c r="Q61" s="5313"/>
      <c r="R61" s="2233">
        <v>1</v>
      </c>
      <c r="S61" s="2217" t="str">
        <f>$K61</f>
        <v>1.2.1.1.1.1.1</v>
      </c>
      <c r="T61" s="2236" t="s">
        <v>566</v>
      </c>
      <c r="U61" s="2219"/>
      <c r="V61" s="2139"/>
      <c r="W61" s="2140"/>
      <c r="X61" s="2139"/>
      <c r="Y61" s="2141"/>
      <c r="Z61" s="5317"/>
      <c r="AA61" s="5161" t="s">
        <v>62</v>
      </c>
      <c r="AB61" s="5317"/>
      <c r="AC61" s="5161" t="s">
        <v>62</v>
      </c>
      <c r="AD61" s="2139">
        <v>26.8</v>
      </c>
      <c r="AE61" s="2140"/>
      <c r="AF61" s="2139"/>
      <c r="AG61" s="2141"/>
      <c r="AH61" s="5317">
        <v>45658.599606481483</v>
      </c>
      <c r="AI61" s="5161" t="s">
        <v>62</v>
      </c>
      <c r="AJ61" s="5317">
        <v>45838.599675925929</v>
      </c>
      <c r="AK61" s="5161" t="s">
        <v>62</v>
      </c>
      <c r="AL61" s="2139">
        <v>53.82</v>
      </c>
      <c r="AM61" s="2140"/>
      <c r="AN61" s="2139"/>
      <c r="AO61" s="2141"/>
      <c r="AP61" s="5317">
        <v>45839.599803240744</v>
      </c>
      <c r="AQ61" s="5161" t="s">
        <v>62</v>
      </c>
      <c r="AR61" s="5317">
        <v>46022.599872685183</v>
      </c>
      <c r="AS61" s="5161" t="s">
        <v>62</v>
      </c>
      <c r="AT61" s="2140"/>
      <c r="AU61" s="5309" t="s">
        <v>529</v>
      </c>
      <c r="AV61" s="2182" t="e">
        <f ca="1">STRCHECKDATE(V62:AT62)</f>
        <v>#NAME?</v>
      </c>
      <c r="AW61" s="2221"/>
      <c r="AX61" s="2221" t="str">
        <f t="shared" si="1"/>
        <v>вода</v>
      </c>
      <c r="AY61" s="2221"/>
      <c r="AZ61" s="2221"/>
    </row>
    <row r="62" spans="1:52" s="3791" customFormat="1" ht="0.75" customHeight="1">
      <c r="A62" s="2211"/>
      <c r="B62" s="2211"/>
      <c r="C62" s="2211"/>
      <c r="D62" s="2211"/>
      <c r="E62" s="5315"/>
      <c r="F62" s="5315">
        <v>1</v>
      </c>
      <c r="G62" s="5315"/>
      <c r="H62" s="5315"/>
      <c r="I62" s="5335"/>
      <c r="J62" s="5335"/>
      <c r="K62" s="5312"/>
      <c r="L62" s="2212"/>
      <c r="M62" s="2174"/>
      <c r="N62" s="2174"/>
      <c r="O62" s="2174"/>
      <c r="P62" s="5313"/>
      <c r="Q62" s="5313"/>
      <c r="R62" s="2233"/>
      <c r="S62" s="2238"/>
      <c r="T62" s="2219"/>
      <c r="U62" s="2219"/>
      <c r="V62" s="2140"/>
      <c r="W62" s="2140"/>
      <c r="X62" s="2140"/>
      <c r="Y62" s="2142" t="str">
        <f>Z61&amp;"-"&amp;AB61</f>
        <v>-</v>
      </c>
      <c r="Z62" s="5318"/>
      <c r="AA62" s="5161"/>
      <c r="AB62" s="5318"/>
      <c r="AC62" s="5161"/>
      <c r="AD62" s="2140"/>
      <c r="AE62" s="2140"/>
      <c r="AF62" s="2140"/>
      <c r="AG62" s="2142" t="str">
        <f>AH61&amp;"-"&amp;AJ61</f>
        <v>45658,5996064815-45838,5996759259</v>
      </c>
      <c r="AH62" s="5318"/>
      <c r="AI62" s="5161"/>
      <c r="AJ62" s="5318"/>
      <c r="AK62" s="5161"/>
      <c r="AL62" s="2140"/>
      <c r="AM62" s="2140"/>
      <c r="AN62" s="2140"/>
      <c r="AO62" s="2142" t="str">
        <f>AP61&amp;"-"&amp;AR61</f>
        <v>45839,5998032407-46022,5998726852</v>
      </c>
      <c r="AP62" s="5318"/>
      <c r="AQ62" s="5161"/>
      <c r="AR62" s="5318"/>
      <c r="AS62" s="5161"/>
      <c r="AT62" s="2140"/>
      <c r="AU62" s="5310"/>
      <c r="AV62" s="2182"/>
      <c r="AW62" s="2221"/>
      <c r="AX62" s="2221" t="str">
        <f t="shared" si="1"/>
        <v/>
      </c>
      <c r="AY62" s="2221"/>
      <c r="AZ62" s="2221"/>
    </row>
    <row r="63" spans="1:52" s="3792" customFormat="1" ht="15" customHeight="1">
      <c r="A63" s="2211"/>
      <c r="B63" s="2211"/>
      <c r="C63" s="2211"/>
      <c r="D63" s="2211"/>
      <c r="E63" s="5315"/>
      <c r="F63" s="5315">
        <v>1</v>
      </c>
      <c r="G63" s="5315"/>
      <c r="H63" s="5315"/>
      <c r="I63" s="5335"/>
      <c r="J63" s="5312"/>
      <c r="K63" s="2211"/>
      <c r="L63" s="2212"/>
      <c r="M63" s="2174"/>
      <c r="N63" s="2174"/>
      <c r="O63" s="2228"/>
      <c r="P63" s="5313"/>
      <c r="Q63" s="5313"/>
      <c r="R63" s="2230"/>
      <c r="S63" s="3793"/>
      <c r="T63" s="3794" t="s">
        <v>530</v>
      </c>
      <c r="U63" s="3795"/>
      <c r="V63" s="3796"/>
      <c r="W63" s="3797"/>
      <c r="X63" s="3798"/>
      <c r="Y63" s="3799"/>
      <c r="Z63" s="3800"/>
      <c r="AA63" s="3801"/>
      <c r="AB63" s="3802"/>
      <c r="AC63" s="3803"/>
      <c r="AD63" s="3804"/>
      <c r="AE63" s="3805"/>
      <c r="AF63" s="3806"/>
      <c r="AG63" s="3807"/>
      <c r="AH63" s="3808"/>
      <c r="AI63" s="3809"/>
      <c r="AJ63" s="3810"/>
      <c r="AK63" s="3811"/>
      <c r="AL63" s="3812"/>
      <c r="AM63" s="3813"/>
      <c r="AN63" s="3814"/>
      <c r="AO63" s="3815"/>
      <c r="AP63" s="3816"/>
      <c r="AQ63" s="3817"/>
      <c r="AR63" s="3818"/>
      <c r="AS63" s="3819"/>
      <c r="AT63" s="3820"/>
      <c r="AU63" s="5311"/>
      <c r="AV63" s="2182"/>
      <c r="AW63" s="2221"/>
      <c r="AX63" s="2221" t="str">
        <f t="shared" si="1"/>
        <v>Добавить вид теплоносителя (параметры теплоносителя)</v>
      </c>
      <c r="AY63" s="2221"/>
      <c r="AZ63" s="2221"/>
    </row>
    <row r="64" spans="1:52" s="3821" customFormat="1" ht="15" customHeight="1">
      <c r="A64" s="2211"/>
      <c r="B64" s="2211"/>
      <c r="C64" s="2211"/>
      <c r="D64" s="2211"/>
      <c r="E64" s="5315"/>
      <c r="F64" s="5315">
        <v>1</v>
      </c>
      <c r="G64" s="5315"/>
      <c r="H64" s="5315"/>
      <c r="I64" s="5312"/>
      <c r="J64" s="2211"/>
      <c r="K64" s="2211"/>
      <c r="L64" s="2212"/>
      <c r="M64" s="2174"/>
      <c r="N64" s="2228"/>
      <c r="O64" s="2228"/>
      <c r="P64" s="5313"/>
      <c r="Q64" s="2229"/>
      <c r="R64" s="2230"/>
      <c r="S64" s="3822"/>
      <c r="T64" s="3823" t="s">
        <v>531</v>
      </c>
      <c r="U64" s="3824"/>
      <c r="V64" s="3825"/>
      <c r="W64" s="3826"/>
      <c r="X64" s="3827"/>
      <c r="Y64" s="3828"/>
      <c r="Z64" s="3829"/>
      <c r="AA64" s="3830"/>
      <c r="AB64" s="3831"/>
      <c r="AC64" s="3832"/>
      <c r="AD64" s="3833"/>
      <c r="AE64" s="3834"/>
      <c r="AF64" s="3835"/>
      <c r="AG64" s="3836"/>
      <c r="AH64" s="3837"/>
      <c r="AI64" s="3838"/>
      <c r="AJ64" s="3839"/>
      <c r="AK64" s="3840"/>
      <c r="AL64" s="3841"/>
      <c r="AM64" s="3842"/>
      <c r="AN64" s="3843"/>
      <c r="AO64" s="3844"/>
      <c r="AP64" s="3845"/>
      <c r="AQ64" s="3846"/>
      <c r="AR64" s="3847"/>
      <c r="AS64" s="3848"/>
      <c r="AT64" s="3849"/>
      <c r="AU64" s="3850"/>
      <c r="AV64" s="2182"/>
      <c r="AW64" s="2221"/>
      <c r="AX64" s="2221" t="str">
        <f t="shared" si="1"/>
        <v>Добавить группу потребителей</v>
      </c>
      <c r="AY64" s="2221"/>
      <c r="AZ64" s="2221"/>
    </row>
    <row r="65" spans="1:52" s="3851" customFormat="1" ht="14.25" customHeight="1">
      <c r="A65" s="2211"/>
      <c r="B65" s="2211"/>
      <c r="C65" s="2211"/>
      <c r="D65" s="2211"/>
      <c r="E65" s="5315"/>
      <c r="F65" s="5315">
        <v>1</v>
      </c>
      <c r="G65" s="5315"/>
      <c r="H65" s="5314"/>
      <c r="I65" s="2211"/>
      <c r="J65" s="2211"/>
      <c r="K65" s="2211"/>
      <c r="L65" s="2212"/>
      <c r="M65" s="2213"/>
      <c r="N65" s="2213"/>
      <c r="O65" s="2174"/>
      <c r="P65" s="2299"/>
      <c r="Q65" s="2300"/>
      <c r="R65" s="2301"/>
      <c r="S65" s="3852"/>
      <c r="T65" s="3853"/>
      <c r="U65" s="3763"/>
      <c r="V65" s="3763"/>
      <c r="W65" s="3763"/>
      <c r="X65" s="3763"/>
      <c r="Y65" s="3763"/>
      <c r="Z65" s="3763"/>
      <c r="AA65" s="3763"/>
      <c r="AB65" s="3763"/>
      <c r="AC65" s="3763"/>
      <c r="AD65" s="3763"/>
      <c r="AE65" s="3763"/>
      <c r="AF65" s="3763"/>
      <c r="AG65" s="3763"/>
      <c r="AH65" s="3763"/>
      <c r="AI65" s="3763"/>
      <c r="AJ65" s="3763"/>
      <c r="AK65" s="3763"/>
      <c r="AL65" s="3763"/>
      <c r="AM65" s="3763"/>
      <c r="AN65" s="3763"/>
      <c r="AO65" s="3763"/>
      <c r="AP65" s="3763"/>
      <c r="AQ65" s="3763"/>
      <c r="AR65" s="3763"/>
      <c r="AS65" s="3763"/>
      <c r="AT65" s="3763"/>
      <c r="AU65" s="3854"/>
      <c r="AV65" s="2182"/>
      <c r="AW65" s="2221"/>
      <c r="AX65" s="2221" t="str">
        <f t="shared" si="1"/>
        <v/>
      </c>
      <c r="AY65" s="2221"/>
      <c r="AZ65" s="2221"/>
    </row>
    <row r="66" spans="1:52" s="3855" customFormat="1" ht="0.75" customHeight="1">
      <c r="A66" s="2332"/>
      <c r="B66" s="2332"/>
      <c r="C66" s="2332"/>
      <c r="D66" s="2332"/>
      <c r="E66" s="5315"/>
      <c r="F66" s="5315">
        <v>1</v>
      </c>
      <c r="G66" s="5314"/>
      <c r="H66" s="2332"/>
      <c r="I66" s="2332"/>
      <c r="J66" s="2332"/>
      <c r="K66" s="2332"/>
      <c r="L66" s="2333"/>
      <c r="M66" s="2334"/>
      <c r="N66" s="2334"/>
      <c r="O66" s="2182"/>
      <c r="P66" s="2335"/>
      <c r="Q66" s="2336"/>
      <c r="R66" s="2335"/>
      <c r="S66" s="2337"/>
      <c r="T66" s="2338" t="s">
        <v>168</v>
      </c>
      <c r="U66" s="2168"/>
      <c r="V66" s="2168"/>
      <c r="W66" s="2168"/>
      <c r="X66" s="2168"/>
      <c r="Y66" s="2168"/>
      <c r="Z66" s="2168"/>
      <c r="AA66" s="2168"/>
      <c r="AB66" s="2168"/>
      <c r="AC66" s="2168"/>
      <c r="AD66" s="2168"/>
      <c r="AE66" s="2168"/>
      <c r="AF66" s="2168"/>
      <c r="AG66" s="2168"/>
      <c r="AH66" s="2168"/>
      <c r="AI66" s="2168"/>
      <c r="AJ66" s="2168"/>
      <c r="AK66" s="2168"/>
      <c r="AL66" s="2168"/>
      <c r="AM66" s="2168"/>
      <c r="AN66" s="2168"/>
      <c r="AO66" s="2168"/>
      <c r="AP66" s="2168"/>
      <c r="AQ66" s="2168"/>
      <c r="AR66" s="2168"/>
      <c r="AS66" s="2168"/>
      <c r="AT66" s="2168"/>
      <c r="AU66" s="2168"/>
      <c r="AV66" s="2182"/>
      <c r="AW66" s="2221"/>
      <c r="AX66" s="2221" t="str">
        <f t="shared" si="1"/>
        <v>Добавить источник для дифференциации</v>
      </c>
      <c r="AY66" s="2221"/>
      <c r="AZ66" s="2221"/>
    </row>
    <row r="67" spans="1:52" s="3856" customFormat="1" ht="0.75" customHeight="1">
      <c r="A67" s="2332"/>
      <c r="B67" s="2332"/>
      <c r="C67" s="2332"/>
      <c r="D67" s="2332"/>
      <c r="E67" s="5315"/>
      <c r="F67" s="5314">
        <v>1</v>
      </c>
      <c r="G67" s="2332"/>
      <c r="H67" s="2332"/>
      <c r="I67" s="2332"/>
      <c r="J67" s="2332"/>
      <c r="K67" s="2332"/>
      <c r="L67" s="2333"/>
      <c r="M67" s="2340"/>
      <c r="N67" s="2340"/>
      <c r="O67" s="2182"/>
      <c r="P67" s="2335"/>
      <c r="Q67" s="2336"/>
      <c r="R67" s="2335"/>
      <c r="S67" s="2341"/>
      <c r="T67" s="2342" t="s">
        <v>169</v>
      </c>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82"/>
      <c r="AW67" s="2221"/>
      <c r="AX67" s="2221" t="str">
        <f t="shared" si="1"/>
        <v>Добавить централизованную систему для дифференциации</v>
      </c>
      <c r="AY67" s="2221"/>
      <c r="AZ67" s="2221"/>
    </row>
    <row r="68" spans="1:52" s="1819" customFormat="1" ht="0.75" customHeight="1">
      <c r="A68" s="1259" t="s">
        <v>250</v>
      </c>
      <c r="B68" s="1259"/>
      <c r="C68" s="1259"/>
      <c r="D68" s="1259"/>
      <c r="E68" s="5314"/>
      <c r="F68" s="1259"/>
      <c r="G68" s="1259"/>
      <c r="H68" s="1259"/>
      <c r="I68" s="1259"/>
      <c r="J68" s="1259"/>
      <c r="K68" s="1259"/>
      <c r="L68" s="1262"/>
      <c r="M68" s="1238"/>
      <c r="N68" s="1238"/>
      <c r="O68" s="443"/>
      <c r="P68" s="312"/>
      <c r="Q68" s="1260"/>
      <c r="R68" s="312"/>
      <c r="S68" s="1239"/>
      <c r="T68" s="1242" t="s">
        <v>174</v>
      </c>
      <c r="U68" s="1241"/>
      <c r="V68" s="1241"/>
      <c r="W68" s="1241"/>
      <c r="X68" s="1241"/>
      <c r="Y68" s="1241"/>
      <c r="Z68" s="1241"/>
      <c r="AA68" s="1241"/>
      <c r="AB68" s="1241"/>
      <c r="AC68" s="1241"/>
      <c r="AD68" s="1241"/>
      <c r="AE68" s="1241"/>
      <c r="AF68" s="1241"/>
      <c r="AG68" s="1241"/>
      <c r="AH68" s="1241"/>
      <c r="AI68" s="1241"/>
      <c r="AJ68" s="1241"/>
      <c r="AK68" s="1241"/>
      <c r="AL68" s="2169"/>
      <c r="AM68" s="2169"/>
      <c r="AN68" s="2169"/>
      <c r="AO68" s="2169"/>
      <c r="AP68" s="2169"/>
      <c r="AQ68" s="2169"/>
      <c r="AR68" s="2169"/>
      <c r="AS68" s="2169"/>
      <c r="AT68" s="1241"/>
      <c r="AU68" s="1241"/>
      <c r="AW68" s="425"/>
      <c r="AX68" s="425" t="str">
        <f t="shared" si="1"/>
        <v>Добавить территорию для дифференциации</v>
      </c>
      <c r="AY68" s="425"/>
      <c r="AZ68" s="425"/>
    </row>
    <row r="69" spans="1:52" s="3857" customFormat="1" ht="21" customHeight="1">
      <c r="A69" s="2211" t="s">
        <v>259</v>
      </c>
      <c r="B69" s="2211"/>
      <c r="C69" s="2211"/>
      <c r="D69" s="2211"/>
      <c r="E69" s="5314" t="s">
        <v>98</v>
      </c>
      <c r="F69" s="2211"/>
      <c r="G69" s="2211"/>
      <c r="H69" s="2211"/>
      <c r="I69" s="2211"/>
      <c r="J69" s="2211"/>
      <c r="K69" s="2211"/>
      <c r="L69" s="2212"/>
      <c r="M69" s="2213"/>
      <c r="N69" s="2213"/>
      <c r="O69" s="2213"/>
      <c r="P69" s="2344"/>
      <c r="Q69" s="2299"/>
      <c r="R69" s="2301"/>
      <c r="S69" s="2217" t="str">
        <f>INDEX(PT_DIFFERENTIATION_NUM_NTAR,MATCH(A69,PT_DIFFERENTIATION_NTAR_ID,0))</f>
        <v>2</v>
      </c>
      <c r="T69" s="2345" t="s">
        <v>127</v>
      </c>
      <c r="U69" s="2219"/>
      <c r="V69" s="5300"/>
      <c r="W69" s="5301"/>
      <c r="X69" s="5301"/>
      <c r="Y69" s="5301"/>
      <c r="Z69" s="5301"/>
      <c r="AA69" s="5301"/>
      <c r="AB69" s="5301"/>
      <c r="AC69" s="5302"/>
      <c r="AD69" s="5300" t="str">
        <f>INDEX(PT_DIFFERENTIATION_NTAR,MATCH(A69,PT_DIFFERENTIATION_NTAR_ID,0))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AE69" s="5301"/>
      <c r="AF69" s="5301"/>
      <c r="AG69" s="5301"/>
      <c r="AH69" s="5301"/>
      <c r="AI69" s="5301"/>
      <c r="AJ69" s="5301"/>
      <c r="AK69" s="5301"/>
      <c r="AL69" s="5300"/>
      <c r="AM69" s="5301"/>
      <c r="AN69" s="5301"/>
      <c r="AO69" s="5301"/>
      <c r="AP69" s="5301"/>
      <c r="AQ69" s="5301"/>
      <c r="AR69" s="5301"/>
      <c r="AS69" s="5302"/>
      <c r="AT69" s="5302"/>
      <c r="AU69" s="2220" t="s">
        <v>515</v>
      </c>
      <c r="AV69" s="2182"/>
      <c r="AW69" s="2221"/>
      <c r="AX69" s="2221" t="str">
        <f t="shared" si="1"/>
        <v>Наименование тарифа</v>
      </c>
      <c r="AY69" s="2221"/>
      <c r="AZ69" s="2221"/>
    </row>
    <row r="70" spans="1:52" s="3858" customFormat="1" ht="21" customHeight="1">
      <c r="A70" s="2211"/>
      <c r="B70" s="2211" t="s">
        <v>260</v>
      </c>
      <c r="C70" s="2211"/>
      <c r="D70" s="2211"/>
      <c r="E70" s="5315">
        <v>1</v>
      </c>
      <c r="F70" s="5314">
        <v>1</v>
      </c>
      <c r="G70" s="2211"/>
      <c r="H70" s="2211"/>
      <c r="I70" s="2211"/>
      <c r="J70" s="2211"/>
      <c r="K70" s="2211"/>
      <c r="L70" s="2212"/>
      <c r="M70" s="2213"/>
      <c r="N70" s="2213"/>
      <c r="O70" s="2213"/>
      <c r="P70" s="2214"/>
      <c r="Q70" s="2215"/>
      <c r="R70" s="2216"/>
      <c r="S70" s="2217" t="str">
        <f>INDEX(PT_DIFFERENTIATION_NUM_TER,MATCH(B70,PT_DIFFERENTIATION_TER_ID,0))</f>
        <v>2.1</v>
      </c>
      <c r="T70" s="2218" t="s">
        <v>516</v>
      </c>
      <c r="U70" s="2219"/>
      <c r="V70" s="5300"/>
      <c r="W70" s="5301"/>
      <c r="X70" s="5301"/>
      <c r="Y70" s="5301"/>
      <c r="Z70" s="5301"/>
      <c r="AA70" s="5301"/>
      <c r="AB70" s="5301"/>
      <c r="AC70" s="5302"/>
      <c r="AD70" s="5300" t="str">
        <f>INDEX(PT_DIFFERENTIATION_TER,MATCH(B70,PT_DIFFERENTIATION_TER_ID,0))</f>
        <v>Территория 1</v>
      </c>
      <c r="AE70" s="5301"/>
      <c r="AF70" s="5301"/>
      <c r="AG70" s="5301"/>
      <c r="AH70" s="5301"/>
      <c r="AI70" s="5301"/>
      <c r="AJ70" s="5301"/>
      <c r="AK70" s="5301"/>
      <c r="AL70" s="5300"/>
      <c r="AM70" s="5301"/>
      <c r="AN70" s="5301"/>
      <c r="AO70" s="5301"/>
      <c r="AP70" s="5301"/>
      <c r="AQ70" s="5301"/>
      <c r="AR70" s="5301"/>
      <c r="AS70" s="5302"/>
      <c r="AT70" s="5302"/>
      <c r="AU70" s="2220" t="s">
        <v>517</v>
      </c>
      <c r="AV70" s="2182"/>
      <c r="AW70" s="2221"/>
      <c r="AX70" s="2221" t="str">
        <f t="shared" si="1"/>
        <v>Территория действия тарифа</v>
      </c>
      <c r="AY70" s="2221"/>
      <c r="AZ70" s="2221"/>
    </row>
    <row r="71" spans="1:52" s="3859" customFormat="1" ht="23.25" customHeight="1">
      <c r="A71" s="2211"/>
      <c r="B71" s="2211"/>
      <c r="C71" s="2211" t="s">
        <v>261</v>
      </c>
      <c r="D71" s="2211"/>
      <c r="E71" s="5315">
        <v>1</v>
      </c>
      <c r="F71" s="5315"/>
      <c r="G71" s="5314">
        <v>1</v>
      </c>
      <c r="H71" s="2211"/>
      <c r="I71" s="2211"/>
      <c r="J71" s="2211"/>
      <c r="K71" s="2211"/>
      <c r="L71" s="2212"/>
      <c r="M71" s="2213"/>
      <c r="N71" s="2213"/>
      <c r="O71" s="2213"/>
      <c r="P71" s="2223"/>
      <c r="Q71" s="2215"/>
      <c r="R71" s="2216"/>
      <c r="S71" s="2217" t="str">
        <f>INDEX(PT_DIFFERENTIATION_NUM_CS,MATCH(C71,PT_DIFFERENTIATION_CS_ID,0))</f>
        <v>2.1.1</v>
      </c>
      <c r="T71" s="2224" t="s">
        <v>518</v>
      </c>
      <c r="U71" s="2219"/>
      <c r="V71" s="5300"/>
      <c r="W71" s="5301"/>
      <c r="X71" s="5301"/>
      <c r="Y71" s="5301"/>
      <c r="Z71" s="5301"/>
      <c r="AA71" s="5301"/>
      <c r="AB71" s="5301"/>
      <c r="AC71" s="5302"/>
      <c r="AD71" s="5300" t="str">
        <f>INDEX(PT_DIFFERENTIATION_CS,MATCH(C71,PT_DIFFERENTIATION_CS_ID,0))</f>
        <v xml:space="preserve">открытая система теплоснабжения г. Апатиты
</v>
      </c>
      <c r="AE71" s="5301"/>
      <c r="AF71" s="5301"/>
      <c r="AG71" s="5301"/>
      <c r="AH71" s="5301"/>
      <c r="AI71" s="5301"/>
      <c r="AJ71" s="5301"/>
      <c r="AK71" s="5301"/>
      <c r="AL71" s="5300"/>
      <c r="AM71" s="5301"/>
      <c r="AN71" s="5301"/>
      <c r="AO71" s="5301"/>
      <c r="AP71" s="5301"/>
      <c r="AQ71" s="5301"/>
      <c r="AR71" s="5301"/>
      <c r="AS71" s="5302"/>
      <c r="AT71" s="5302"/>
      <c r="AU71" s="2220" t="s">
        <v>519</v>
      </c>
      <c r="AV71" s="2182"/>
      <c r="AW71" s="2221"/>
      <c r="AX71" s="2221" t="str">
        <f t="shared" si="1"/>
        <v xml:space="preserve">Наименование системы теплоснабжения </v>
      </c>
      <c r="AY71" s="2221"/>
      <c r="AZ71" s="2221"/>
    </row>
    <row r="72" spans="1:52" s="3860" customFormat="1" ht="21" customHeight="1">
      <c r="A72" s="2211"/>
      <c r="B72" s="2211"/>
      <c r="C72" s="2211"/>
      <c r="D72" s="2211" t="s">
        <v>262</v>
      </c>
      <c r="E72" s="5315">
        <v>1</v>
      </c>
      <c r="F72" s="5315"/>
      <c r="G72" s="5315"/>
      <c r="H72" s="5314">
        <v>1</v>
      </c>
      <c r="I72" s="2211"/>
      <c r="J72" s="2211"/>
      <c r="K72" s="2211"/>
      <c r="L72" s="2212"/>
      <c r="M72" s="2213"/>
      <c r="N72" s="2213"/>
      <c r="O72" s="2213"/>
      <c r="P72" s="2223"/>
      <c r="Q72" s="2215"/>
      <c r="R72" s="2216"/>
      <c r="S72" s="2217" t="str">
        <f>INDEX(PT_DIFFERENTIATION_NUM_IST_TE,MATCH(D72,PT_DIFFERENTIATION_IST_TE_ID,0))</f>
        <v>2.1.1.1</v>
      </c>
      <c r="T72" s="2226" t="s">
        <v>520</v>
      </c>
      <c r="U72" s="2219"/>
      <c r="V72" s="5300"/>
      <c r="W72" s="5301"/>
      <c r="X72" s="5301"/>
      <c r="Y72" s="5301"/>
      <c r="Z72" s="5301"/>
      <c r="AA72" s="5301"/>
      <c r="AB72" s="5301"/>
      <c r="AC72" s="5302"/>
      <c r="AD72" s="5300" t="str">
        <f>INDEX(PT_DIFFERENTIATION_IST_TE,MATCH(D72,PT_DIFFERENTIATION_IST_TE_ID,0))</f>
        <v>Апатитская ТЭЦ</v>
      </c>
      <c r="AE72" s="5301"/>
      <c r="AF72" s="5301"/>
      <c r="AG72" s="5301"/>
      <c r="AH72" s="5301"/>
      <c r="AI72" s="5301"/>
      <c r="AJ72" s="5301"/>
      <c r="AK72" s="5301"/>
      <c r="AL72" s="5300"/>
      <c r="AM72" s="5301"/>
      <c r="AN72" s="5301"/>
      <c r="AO72" s="5301"/>
      <c r="AP72" s="5301"/>
      <c r="AQ72" s="5301"/>
      <c r="AR72" s="5301"/>
      <c r="AS72" s="5302"/>
      <c r="AT72" s="5302"/>
      <c r="AU72" s="2220" t="s">
        <v>521</v>
      </c>
      <c r="AV72" s="2182"/>
      <c r="AW72" s="2221"/>
      <c r="AX72" s="2221" t="str">
        <f t="shared" si="1"/>
        <v xml:space="preserve">Источник тепловой энергии  </v>
      </c>
      <c r="AY72" s="2221"/>
      <c r="AZ72" s="2221"/>
    </row>
    <row r="73" spans="1:52" s="3861" customFormat="1" ht="14.25" customHeight="1">
      <c r="A73" s="2211"/>
      <c r="B73" s="2211"/>
      <c r="C73" s="2211"/>
      <c r="D73" s="2211"/>
      <c r="E73" s="5315">
        <v>1</v>
      </c>
      <c r="F73" s="5315"/>
      <c r="G73" s="5315"/>
      <c r="H73" s="5315"/>
      <c r="I73" s="5312" t="str">
        <f>S72&amp;".1"</f>
        <v>2.1.1.1.1</v>
      </c>
      <c r="J73" s="2211"/>
      <c r="K73" s="2211"/>
      <c r="L73" s="2212" t="s">
        <v>522</v>
      </c>
      <c r="M73" s="2174"/>
      <c r="N73" s="2228"/>
      <c r="O73" s="2228"/>
      <c r="P73" s="5313">
        <v>1</v>
      </c>
      <c r="Q73" s="2229"/>
      <c r="R73" s="2230"/>
      <c r="S73" s="3785"/>
      <c r="T73" s="3786"/>
      <c r="U73" s="3787"/>
      <c r="V73" s="5341"/>
      <c r="W73" s="5342"/>
      <c r="X73" s="5342"/>
      <c r="Y73" s="5342"/>
      <c r="Z73" s="5342"/>
      <c r="AA73" s="5342"/>
      <c r="AB73" s="5342"/>
      <c r="AC73" s="5343"/>
      <c r="AD73" s="5341"/>
      <c r="AE73" s="5342"/>
      <c r="AF73" s="5342"/>
      <c r="AG73" s="5342"/>
      <c r="AH73" s="5342"/>
      <c r="AI73" s="5342"/>
      <c r="AJ73" s="5342"/>
      <c r="AK73" s="5342"/>
      <c r="AL73" s="5341"/>
      <c r="AM73" s="5342"/>
      <c r="AN73" s="5342"/>
      <c r="AO73" s="5342"/>
      <c r="AP73" s="5342"/>
      <c r="AQ73" s="5342"/>
      <c r="AR73" s="5342"/>
      <c r="AS73" s="5343"/>
      <c r="AT73" s="5343"/>
      <c r="AU73" s="3788"/>
      <c r="AV73" s="2182"/>
      <c r="AW73" s="2221"/>
      <c r="AX73" s="2221" t="str">
        <f t="shared" si="1"/>
        <v/>
      </c>
      <c r="AY73" s="2221"/>
      <c r="AZ73" s="2221"/>
    </row>
    <row r="74" spans="1:52" s="3862" customFormat="1" ht="21" customHeight="1">
      <c r="A74" s="2211"/>
      <c r="B74" s="2211"/>
      <c r="C74" s="2211"/>
      <c r="D74" s="2211"/>
      <c r="E74" s="5315">
        <v>1</v>
      </c>
      <c r="F74" s="5315"/>
      <c r="G74" s="5315"/>
      <c r="H74" s="5315"/>
      <c r="I74" s="5335"/>
      <c r="J74" s="5312" t="str">
        <f>I73&amp;".1"</f>
        <v>2.1.1.1.1.1</v>
      </c>
      <c r="K74" s="2211"/>
      <c r="L74" s="2212" t="s">
        <v>525</v>
      </c>
      <c r="M74" s="2174"/>
      <c r="N74" s="2174"/>
      <c r="O74" s="2228"/>
      <c r="P74" s="5313"/>
      <c r="Q74" s="5313">
        <v>1</v>
      </c>
      <c r="R74" s="2233"/>
      <c r="S74" s="2217" t="str">
        <f>$J74</f>
        <v>2.1.1.1.1.1</v>
      </c>
      <c r="T74" s="2234" t="s">
        <v>526</v>
      </c>
      <c r="U74" s="2219"/>
      <c r="V74" s="5303"/>
      <c r="W74" s="5304"/>
      <c r="X74" s="5304"/>
      <c r="Y74" s="5304"/>
      <c r="Z74" s="5304"/>
      <c r="AA74" s="5304"/>
      <c r="AB74" s="5304"/>
      <c r="AC74" s="5305"/>
      <c r="AD74" s="5303" t="s">
        <v>565</v>
      </c>
      <c r="AE74" s="5304"/>
      <c r="AF74" s="5304"/>
      <c r="AG74" s="5304"/>
      <c r="AH74" s="5304"/>
      <c r="AI74" s="5304"/>
      <c r="AJ74" s="5304"/>
      <c r="AK74" s="5304"/>
      <c r="AL74" s="5303"/>
      <c r="AM74" s="5304"/>
      <c r="AN74" s="5304"/>
      <c r="AO74" s="5304"/>
      <c r="AP74" s="5304"/>
      <c r="AQ74" s="5304"/>
      <c r="AR74" s="5304"/>
      <c r="AS74" s="5305"/>
      <c r="AT74" s="5305"/>
      <c r="AU74" s="2220" t="s">
        <v>527</v>
      </c>
      <c r="AV74" s="2182"/>
      <c r="AW74" s="2221"/>
      <c r="AX74" s="2221" t="str">
        <f t="shared" si="1"/>
        <v>Группа потребителей</v>
      </c>
      <c r="AY74" s="2221"/>
      <c r="AZ74" s="2221"/>
    </row>
    <row r="75" spans="1:52" s="3863" customFormat="1" ht="21" customHeight="1">
      <c r="A75" s="2211"/>
      <c r="B75" s="2211"/>
      <c r="C75" s="2211"/>
      <c r="D75" s="2211"/>
      <c r="E75" s="5315">
        <v>1</v>
      </c>
      <c r="F75" s="5315"/>
      <c r="G75" s="5315"/>
      <c r="H75" s="5315"/>
      <c r="I75" s="5335"/>
      <c r="J75" s="5335"/>
      <c r="K75" s="5312" t="str">
        <f>J74&amp;".1"</f>
        <v>2.1.1.1.1.1.1</v>
      </c>
      <c r="L75" s="2212" t="s">
        <v>528</v>
      </c>
      <c r="M75" s="2174"/>
      <c r="N75" s="2174"/>
      <c r="O75" s="2174"/>
      <c r="P75" s="5313"/>
      <c r="Q75" s="5313"/>
      <c r="R75" s="2233">
        <v>1</v>
      </c>
      <c r="S75" s="2217" t="str">
        <f>$K75</f>
        <v>2.1.1.1.1.1.1</v>
      </c>
      <c r="T75" s="2236" t="s">
        <v>566</v>
      </c>
      <c r="U75" s="2219"/>
      <c r="V75" s="2139"/>
      <c r="W75" s="2140"/>
      <c r="X75" s="2139"/>
      <c r="Y75" s="2141"/>
      <c r="Z75" s="5317"/>
      <c r="AA75" s="5161" t="s">
        <v>62</v>
      </c>
      <c r="AB75" s="5317"/>
      <c r="AC75" s="5161" t="s">
        <v>62</v>
      </c>
      <c r="AD75" s="2139">
        <v>30.95</v>
      </c>
      <c r="AE75" s="2140"/>
      <c r="AF75" s="2139"/>
      <c r="AG75" s="2141"/>
      <c r="AH75" s="5317">
        <v>45658.645462962966</v>
      </c>
      <c r="AI75" s="5161" t="s">
        <v>62</v>
      </c>
      <c r="AJ75" s="5317">
        <v>45838.645729166667</v>
      </c>
      <c r="AK75" s="5161" t="s">
        <v>62</v>
      </c>
      <c r="AL75" s="2139">
        <v>38.69</v>
      </c>
      <c r="AM75" s="2140"/>
      <c r="AN75" s="2139"/>
      <c r="AO75" s="2141"/>
      <c r="AP75" s="5317">
        <v>45839.645995370367</v>
      </c>
      <c r="AQ75" s="5161" t="s">
        <v>62</v>
      </c>
      <c r="AR75" s="5317">
        <v>46022.646087962959</v>
      </c>
      <c r="AS75" s="5161" t="s">
        <v>62</v>
      </c>
      <c r="AT75" s="2140"/>
      <c r="AU75" s="5309" t="s">
        <v>529</v>
      </c>
      <c r="AV75" s="2182" t="e">
        <f ca="1">STRCHECKDATE(V76:AT76)</f>
        <v>#NAME?</v>
      </c>
      <c r="AW75" s="2221"/>
      <c r="AX75" s="2221" t="str">
        <f t="shared" ref="AX75:AX95" si="2">IF(T75="","",T75)</f>
        <v>вода</v>
      </c>
      <c r="AY75" s="2221"/>
      <c r="AZ75" s="2221"/>
    </row>
    <row r="76" spans="1:52" s="3864" customFormat="1" ht="0.75" customHeight="1">
      <c r="A76" s="2211"/>
      <c r="B76" s="2211"/>
      <c r="C76" s="2211"/>
      <c r="D76" s="2211"/>
      <c r="E76" s="5315">
        <v>1</v>
      </c>
      <c r="F76" s="5315"/>
      <c r="G76" s="5315"/>
      <c r="H76" s="5315"/>
      <c r="I76" s="5335"/>
      <c r="J76" s="5335"/>
      <c r="K76" s="5312"/>
      <c r="L76" s="2212"/>
      <c r="M76" s="2174"/>
      <c r="N76" s="2174"/>
      <c r="O76" s="2174"/>
      <c r="P76" s="5313"/>
      <c r="Q76" s="5313"/>
      <c r="R76" s="2233"/>
      <c r="S76" s="2238"/>
      <c r="T76" s="2219"/>
      <c r="U76" s="2219"/>
      <c r="V76" s="2140"/>
      <c r="W76" s="2140"/>
      <c r="X76" s="2140"/>
      <c r="Y76" s="2142" t="str">
        <f>Z75&amp;"-"&amp;AB75</f>
        <v>-</v>
      </c>
      <c r="Z76" s="5318"/>
      <c r="AA76" s="5161"/>
      <c r="AB76" s="5318"/>
      <c r="AC76" s="5161"/>
      <c r="AD76" s="2140"/>
      <c r="AE76" s="2140"/>
      <c r="AF76" s="2140"/>
      <c r="AG76" s="2142" t="str">
        <f>AH75&amp;"-"&amp;AJ75</f>
        <v>45658,645462963-45838,6457291667</v>
      </c>
      <c r="AH76" s="5318"/>
      <c r="AI76" s="5161"/>
      <c r="AJ76" s="5318"/>
      <c r="AK76" s="5161"/>
      <c r="AL76" s="2140"/>
      <c r="AM76" s="2140"/>
      <c r="AN76" s="2140"/>
      <c r="AO76" s="2142" t="str">
        <f>AP75&amp;"-"&amp;AR75</f>
        <v>45839,6459953704-46022,646087963</v>
      </c>
      <c r="AP76" s="5318"/>
      <c r="AQ76" s="5161"/>
      <c r="AR76" s="5318"/>
      <c r="AS76" s="5161"/>
      <c r="AT76" s="2140"/>
      <c r="AU76" s="5310"/>
      <c r="AV76" s="2182"/>
      <c r="AW76" s="2221"/>
      <c r="AX76" s="2221" t="str">
        <f t="shared" si="2"/>
        <v/>
      </c>
      <c r="AY76" s="2221"/>
      <c r="AZ76" s="2221"/>
    </row>
    <row r="77" spans="1:52" s="3865" customFormat="1" ht="15" customHeight="1">
      <c r="A77" s="2211"/>
      <c r="B77" s="2211"/>
      <c r="C77" s="2211"/>
      <c r="D77" s="2211"/>
      <c r="E77" s="5315">
        <v>1</v>
      </c>
      <c r="F77" s="5315"/>
      <c r="G77" s="5315"/>
      <c r="H77" s="5315"/>
      <c r="I77" s="5335"/>
      <c r="J77" s="5312"/>
      <c r="K77" s="2211"/>
      <c r="L77" s="2212"/>
      <c r="M77" s="2174"/>
      <c r="N77" s="2174"/>
      <c r="O77" s="2228"/>
      <c r="P77" s="5313"/>
      <c r="Q77" s="5313"/>
      <c r="R77" s="2230"/>
      <c r="S77" s="3866"/>
      <c r="T77" s="3867" t="s">
        <v>530</v>
      </c>
      <c r="U77" s="3868"/>
      <c r="V77" s="3869"/>
      <c r="W77" s="3870"/>
      <c r="X77" s="3871"/>
      <c r="Y77" s="3872"/>
      <c r="Z77" s="3873"/>
      <c r="AA77" s="3874"/>
      <c r="AB77" s="3875"/>
      <c r="AC77" s="3876"/>
      <c r="AD77" s="3877"/>
      <c r="AE77" s="3878"/>
      <c r="AF77" s="3879"/>
      <c r="AG77" s="3880"/>
      <c r="AH77" s="3881"/>
      <c r="AI77" s="3882"/>
      <c r="AJ77" s="3883"/>
      <c r="AK77" s="3884"/>
      <c r="AL77" s="3885"/>
      <c r="AM77" s="3886"/>
      <c r="AN77" s="3887"/>
      <c r="AO77" s="3888"/>
      <c r="AP77" s="3889"/>
      <c r="AQ77" s="3890"/>
      <c r="AR77" s="3891"/>
      <c r="AS77" s="3892"/>
      <c r="AT77" s="3893"/>
      <c r="AU77" s="5311"/>
      <c r="AV77" s="2182"/>
      <c r="AW77" s="2221"/>
      <c r="AX77" s="2221" t="str">
        <f t="shared" si="2"/>
        <v>Добавить вид теплоносителя (параметры теплоносителя)</v>
      </c>
      <c r="AY77" s="2221"/>
      <c r="AZ77" s="2221"/>
    </row>
    <row r="78" spans="1:52" s="3894" customFormat="1" ht="15" customHeight="1">
      <c r="A78" s="2211"/>
      <c r="B78" s="2211"/>
      <c r="C78" s="2211"/>
      <c r="D78" s="2211"/>
      <c r="E78" s="5315">
        <v>1</v>
      </c>
      <c r="F78" s="5315"/>
      <c r="G78" s="5315"/>
      <c r="H78" s="5315"/>
      <c r="I78" s="5312"/>
      <c r="J78" s="2211"/>
      <c r="K78" s="2211"/>
      <c r="L78" s="2212"/>
      <c r="M78" s="2174"/>
      <c r="N78" s="2228"/>
      <c r="O78" s="2228"/>
      <c r="P78" s="5313"/>
      <c r="Q78" s="2229"/>
      <c r="R78" s="2230"/>
      <c r="S78" s="3895"/>
      <c r="T78" s="3896" t="s">
        <v>531</v>
      </c>
      <c r="U78" s="3897"/>
      <c r="V78" s="3898"/>
      <c r="W78" s="3899"/>
      <c r="X78" s="3900"/>
      <c r="Y78" s="3901"/>
      <c r="Z78" s="3902"/>
      <c r="AA78" s="3903"/>
      <c r="AB78" s="3904"/>
      <c r="AC78" s="3905"/>
      <c r="AD78" s="3906"/>
      <c r="AE78" s="3907"/>
      <c r="AF78" s="3908"/>
      <c r="AG78" s="3909"/>
      <c r="AH78" s="3910"/>
      <c r="AI78" s="3911"/>
      <c r="AJ78" s="3912"/>
      <c r="AK78" s="3913"/>
      <c r="AL78" s="3914"/>
      <c r="AM78" s="3915"/>
      <c r="AN78" s="3916"/>
      <c r="AO78" s="3917"/>
      <c r="AP78" s="3918"/>
      <c r="AQ78" s="3919"/>
      <c r="AR78" s="3920"/>
      <c r="AS78" s="3921"/>
      <c r="AT78" s="3922"/>
      <c r="AU78" s="3923"/>
      <c r="AV78" s="2182"/>
      <c r="AW78" s="2221"/>
      <c r="AX78" s="2221" t="str">
        <f t="shared" si="2"/>
        <v>Добавить группу потребителей</v>
      </c>
      <c r="AY78" s="2221"/>
      <c r="AZ78" s="2221"/>
    </row>
    <row r="79" spans="1:52" s="3924" customFormat="1" ht="14.25" customHeight="1">
      <c r="A79" s="2211"/>
      <c r="B79" s="2211"/>
      <c r="C79" s="2211"/>
      <c r="D79" s="2211"/>
      <c r="E79" s="5315">
        <v>1</v>
      </c>
      <c r="F79" s="5315"/>
      <c r="G79" s="5315"/>
      <c r="H79" s="5314"/>
      <c r="I79" s="2211"/>
      <c r="J79" s="2211"/>
      <c r="K79" s="2211"/>
      <c r="L79" s="2212"/>
      <c r="M79" s="2213"/>
      <c r="N79" s="2213"/>
      <c r="O79" s="2174"/>
      <c r="P79" s="2299"/>
      <c r="Q79" s="2300"/>
      <c r="R79" s="2301"/>
      <c r="S79" s="3852"/>
      <c r="T79" s="3853"/>
      <c r="U79" s="3763"/>
      <c r="V79" s="3763"/>
      <c r="W79" s="3763"/>
      <c r="X79" s="3763"/>
      <c r="Y79" s="3763"/>
      <c r="Z79" s="3763"/>
      <c r="AA79" s="3763"/>
      <c r="AB79" s="3763"/>
      <c r="AC79" s="3763"/>
      <c r="AD79" s="3763"/>
      <c r="AE79" s="3763"/>
      <c r="AF79" s="3763"/>
      <c r="AG79" s="3763"/>
      <c r="AH79" s="3763"/>
      <c r="AI79" s="3763"/>
      <c r="AJ79" s="3763"/>
      <c r="AK79" s="3763"/>
      <c r="AL79" s="3763"/>
      <c r="AM79" s="3763"/>
      <c r="AN79" s="3763"/>
      <c r="AO79" s="3763"/>
      <c r="AP79" s="3763"/>
      <c r="AQ79" s="3763"/>
      <c r="AR79" s="3763"/>
      <c r="AS79" s="3763"/>
      <c r="AT79" s="3763"/>
      <c r="AU79" s="3854"/>
      <c r="AV79" s="2182"/>
      <c r="AW79" s="2221"/>
      <c r="AX79" s="2221" t="str">
        <f t="shared" si="2"/>
        <v/>
      </c>
      <c r="AY79" s="2221"/>
      <c r="AZ79" s="2221"/>
    </row>
    <row r="80" spans="1:52" s="3925" customFormat="1" ht="0.75" customHeight="1">
      <c r="A80" s="2332"/>
      <c r="B80" s="2332"/>
      <c r="C80" s="2332"/>
      <c r="D80" s="2332"/>
      <c r="E80" s="5315">
        <v>1</v>
      </c>
      <c r="F80" s="5315"/>
      <c r="G80" s="5314"/>
      <c r="H80" s="2332"/>
      <c r="I80" s="2332"/>
      <c r="J80" s="2332"/>
      <c r="K80" s="2332"/>
      <c r="L80" s="2333"/>
      <c r="M80" s="2334"/>
      <c r="N80" s="2334"/>
      <c r="O80" s="2182"/>
      <c r="P80" s="2335"/>
      <c r="Q80" s="2336"/>
      <c r="R80" s="2335"/>
      <c r="S80" s="2337"/>
      <c r="T80" s="2338" t="s">
        <v>168</v>
      </c>
      <c r="U80" s="2168"/>
      <c r="V80" s="2168"/>
      <c r="W80" s="2168"/>
      <c r="X80" s="2168"/>
      <c r="Y80" s="2168"/>
      <c r="Z80" s="2168"/>
      <c r="AA80" s="2168"/>
      <c r="AB80" s="2168"/>
      <c r="AC80" s="2168"/>
      <c r="AD80" s="2168"/>
      <c r="AE80" s="2168"/>
      <c r="AF80" s="2168"/>
      <c r="AG80" s="2168"/>
      <c r="AH80" s="2168"/>
      <c r="AI80" s="2168"/>
      <c r="AJ80" s="2168"/>
      <c r="AK80" s="2168"/>
      <c r="AL80" s="2168"/>
      <c r="AM80" s="2168"/>
      <c r="AN80" s="2168"/>
      <c r="AO80" s="2168"/>
      <c r="AP80" s="2168"/>
      <c r="AQ80" s="2168"/>
      <c r="AR80" s="2168"/>
      <c r="AS80" s="2168"/>
      <c r="AT80" s="2168"/>
      <c r="AU80" s="2168"/>
      <c r="AV80" s="2182"/>
      <c r="AW80" s="2221"/>
      <c r="AX80" s="2221" t="str">
        <f t="shared" si="2"/>
        <v>Добавить источник для дифференциации</v>
      </c>
      <c r="AY80" s="2221"/>
      <c r="AZ80" s="2221"/>
    </row>
    <row r="81" spans="1:52" s="3926" customFormat="1" ht="0.75" customHeight="1">
      <c r="A81" s="2332"/>
      <c r="B81" s="2332"/>
      <c r="C81" s="2332"/>
      <c r="D81" s="2332"/>
      <c r="E81" s="5315">
        <v>1</v>
      </c>
      <c r="F81" s="5314"/>
      <c r="G81" s="2332"/>
      <c r="H81" s="2332"/>
      <c r="I81" s="2332"/>
      <c r="J81" s="2332"/>
      <c r="K81" s="2332"/>
      <c r="L81" s="2333"/>
      <c r="M81" s="2340"/>
      <c r="N81" s="2340"/>
      <c r="O81" s="2182"/>
      <c r="P81" s="2335"/>
      <c r="Q81" s="2336"/>
      <c r="R81" s="2335"/>
      <c r="S81" s="2341"/>
      <c r="T81" s="2342" t="s">
        <v>169</v>
      </c>
      <c r="U81" s="2169"/>
      <c r="V81" s="2169"/>
      <c r="W81" s="2169"/>
      <c r="X81" s="2169"/>
      <c r="Y81" s="2169"/>
      <c r="Z81" s="2169"/>
      <c r="AA81" s="2169"/>
      <c r="AB81" s="2169"/>
      <c r="AC81" s="2169"/>
      <c r="AD81" s="2169"/>
      <c r="AE81" s="2169"/>
      <c r="AF81" s="2169"/>
      <c r="AG81" s="2169"/>
      <c r="AH81" s="2169"/>
      <c r="AI81" s="2169"/>
      <c r="AJ81" s="2169"/>
      <c r="AK81" s="2169"/>
      <c r="AL81" s="2169"/>
      <c r="AM81" s="2169"/>
      <c r="AN81" s="2169"/>
      <c r="AO81" s="2169"/>
      <c r="AP81" s="2169"/>
      <c r="AQ81" s="2169"/>
      <c r="AR81" s="2169"/>
      <c r="AS81" s="2169"/>
      <c r="AT81" s="2169"/>
      <c r="AU81" s="2169"/>
      <c r="AV81" s="2182"/>
      <c r="AW81" s="2221"/>
      <c r="AX81" s="2221" t="str">
        <f t="shared" si="2"/>
        <v>Добавить централизованную систему для дифференциации</v>
      </c>
      <c r="AY81" s="2221"/>
      <c r="AZ81" s="2221"/>
    </row>
    <row r="82" spans="1:52" s="3927" customFormat="1" ht="21" customHeight="1">
      <c r="A82" s="2211"/>
      <c r="B82" s="2211" t="s">
        <v>263</v>
      </c>
      <c r="C82" s="2211"/>
      <c r="D82" s="2211"/>
      <c r="E82" s="5315"/>
      <c r="F82" s="5314" t="s">
        <v>98</v>
      </c>
      <c r="G82" s="2211"/>
      <c r="H82" s="2211"/>
      <c r="I82" s="2211"/>
      <c r="J82" s="2211"/>
      <c r="K82" s="2211"/>
      <c r="L82" s="2212"/>
      <c r="M82" s="2213"/>
      <c r="N82" s="2213"/>
      <c r="O82" s="2213"/>
      <c r="P82" s="2214"/>
      <c r="Q82" s="2215"/>
      <c r="R82" s="2216"/>
      <c r="S82" s="2217" t="str">
        <f>INDEX(PT_DIFFERENTIATION_NUM_TER,MATCH(B82,PT_DIFFERENTIATION_TER_ID,0))</f>
        <v>2.2</v>
      </c>
      <c r="T82" s="2218" t="s">
        <v>516</v>
      </c>
      <c r="U82" s="2219"/>
      <c r="V82" s="5300"/>
      <c r="W82" s="5301"/>
      <c r="X82" s="5301"/>
      <c r="Y82" s="5301"/>
      <c r="Z82" s="5301"/>
      <c r="AA82" s="5301"/>
      <c r="AB82" s="5301"/>
      <c r="AC82" s="5302"/>
      <c r="AD82" s="5300" t="str">
        <f>INDEX(PT_DIFFERENTIATION_TER,MATCH(B82,PT_DIFFERENTIATION_TER_ID,0))</f>
        <v>Территория 2</v>
      </c>
      <c r="AE82" s="5301"/>
      <c r="AF82" s="5301"/>
      <c r="AG82" s="5301"/>
      <c r="AH82" s="5301"/>
      <c r="AI82" s="5301"/>
      <c r="AJ82" s="5301"/>
      <c r="AK82" s="5301"/>
      <c r="AL82" s="5300"/>
      <c r="AM82" s="5301"/>
      <c r="AN82" s="5301"/>
      <c r="AO82" s="5301"/>
      <c r="AP82" s="5301"/>
      <c r="AQ82" s="5301"/>
      <c r="AR82" s="5301"/>
      <c r="AS82" s="5302"/>
      <c r="AT82" s="5302"/>
      <c r="AU82" s="2220" t="s">
        <v>517</v>
      </c>
      <c r="AV82" s="2182"/>
      <c r="AW82" s="2221"/>
      <c r="AX82" s="2221" t="str">
        <f t="shared" si="2"/>
        <v>Территория действия тарифа</v>
      </c>
      <c r="AY82" s="2221"/>
      <c r="AZ82" s="2221"/>
    </row>
    <row r="83" spans="1:52" s="3928" customFormat="1" ht="23.25" customHeight="1">
      <c r="A83" s="2211"/>
      <c r="B83" s="2211"/>
      <c r="C83" s="2211" t="s">
        <v>264</v>
      </c>
      <c r="D83" s="2211"/>
      <c r="E83" s="5315"/>
      <c r="F83" s="5315">
        <v>1</v>
      </c>
      <c r="G83" s="5314">
        <v>1</v>
      </c>
      <c r="H83" s="2211"/>
      <c r="I83" s="2211"/>
      <c r="J83" s="2211"/>
      <c r="K83" s="2211"/>
      <c r="L83" s="2212"/>
      <c r="M83" s="2213"/>
      <c r="N83" s="2213"/>
      <c r="O83" s="2213"/>
      <c r="P83" s="2223"/>
      <c r="Q83" s="2215"/>
      <c r="R83" s="2216"/>
      <c r="S83" s="2217" t="str">
        <f>INDEX(PT_DIFFERENTIATION_NUM_CS,MATCH(C83,PT_DIFFERENTIATION_CS_ID,0))</f>
        <v>2.2.1</v>
      </c>
      <c r="T83" s="2224" t="s">
        <v>518</v>
      </c>
      <c r="U83" s="2219"/>
      <c r="V83" s="5300"/>
      <c r="W83" s="5301"/>
      <c r="X83" s="5301"/>
      <c r="Y83" s="5301"/>
      <c r="Z83" s="5301"/>
      <c r="AA83" s="5301"/>
      <c r="AB83" s="5301"/>
      <c r="AC83" s="5302"/>
      <c r="AD83" s="5300" t="str">
        <f>INDEX(PT_DIFFERENTIATION_CS,MATCH(C83,PT_DIFFERENTIATION_CS_ID,0))</f>
        <v>открытая система теплоснабжения г. Кировск</v>
      </c>
      <c r="AE83" s="5301"/>
      <c r="AF83" s="5301"/>
      <c r="AG83" s="5301"/>
      <c r="AH83" s="5301"/>
      <c r="AI83" s="5301"/>
      <c r="AJ83" s="5301"/>
      <c r="AK83" s="5301"/>
      <c r="AL83" s="5300"/>
      <c r="AM83" s="5301"/>
      <c r="AN83" s="5301"/>
      <c r="AO83" s="5301"/>
      <c r="AP83" s="5301"/>
      <c r="AQ83" s="5301"/>
      <c r="AR83" s="5301"/>
      <c r="AS83" s="5302"/>
      <c r="AT83" s="5302"/>
      <c r="AU83" s="2220" t="s">
        <v>519</v>
      </c>
      <c r="AV83" s="2182"/>
      <c r="AW83" s="2221"/>
      <c r="AX83" s="2221" t="str">
        <f t="shared" si="2"/>
        <v xml:space="preserve">Наименование системы теплоснабжения </v>
      </c>
      <c r="AY83" s="2221"/>
      <c r="AZ83" s="2221"/>
    </row>
    <row r="84" spans="1:52" s="3929" customFormat="1" ht="21" customHeight="1">
      <c r="A84" s="2211"/>
      <c r="B84" s="2211"/>
      <c r="C84" s="2211"/>
      <c r="D84" s="2211" t="s">
        <v>265</v>
      </c>
      <c r="E84" s="5315"/>
      <c r="F84" s="5315">
        <v>1</v>
      </c>
      <c r="G84" s="5315"/>
      <c r="H84" s="5314">
        <v>1</v>
      </c>
      <c r="I84" s="2211"/>
      <c r="J84" s="2211"/>
      <c r="K84" s="2211"/>
      <c r="L84" s="2212"/>
      <c r="M84" s="2213"/>
      <c r="N84" s="2213"/>
      <c r="O84" s="2213"/>
      <c r="P84" s="2223"/>
      <c r="Q84" s="2215"/>
      <c r="R84" s="2216"/>
      <c r="S84" s="2217" t="str">
        <f>INDEX(PT_DIFFERENTIATION_NUM_IST_TE,MATCH(D84,PT_DIFFERENTIATION_IST_TE_ID,0))</f>
        <v>2.2.1.1</v>
      </c>
      <c r="T84" s="2226" t="s">
        <v>520</v>
      </c>
      <c r="U84" s="2219"/>
      <c r="V84" s="5300"/>
      <c r="W84" s="5301"/>
      <c r="X84" s="5301"/>
      <c r="Y84" s="5301"/>
      <c r="Z84" s="5301"/>
      <c r="AA84" s="5301"/>
      <c r="AB84" s="5301"/>
      <c r="AC84" s="5302"/>
      <c r="AD84" s="5300" t="str">
        <f>INDEX(PT_DIFFERENTIATION_IST_TE,MATCH(D84,PT_DIFFERENTIATION_IST_TE_ID,0))</f>
        <v>Апатитская ТЭЦ</v>
      </c>
      <c r="AE84" s="5301"/>
      <c r="AF84" s="5301"/>
      <c r="AG84" s="5301"/>
      <c r="AH84" s="5301"/>
      <c r="AI84" s="5301"/>
      <c r="AJ84" s="5301"/>
      <c r="AK84" s="5301"/>
      <c r="AL84" s="5300"/>
      <c r="AM84" s="5301"/>
      <c r="AN84" s="5301"/>
      <c r="AO84" s="5301"/>
      <c r="AP84" s="5301"/>
      <c r="AQ84" s="5301"/>
      <c r="AR84" s="5301"/>
      <c r="AS84" s="5302"/>
      <c r="AT84" s="5302"/>
      <c r="AU84" s="2220" t="s">
        <v>521</v>
      </c>
      <c r="AV84" s="2182"/>
      <c r="AW84" s="2221"/>
      <c r="AX84" s="2221" t="str">
        <f t="shared" si="2"/>
        <v xml:space="preserve">Источник тепловой энергии  </v>
      </c>
      <c r="AY84" s="2221"/>
      <c r="AZ84" s="2221"/>
    </row>
    <row r="85" spans="1:52" s="3930" customFormat="1" ht="14.25" customHeight="1">
      <c r="A85" s="2211"/>
      <c r="B85" s="2211"/>
      <c r="C85" s="2211"/>
      <c r="D85" s="2211"/>
      <c r="E85" s="5315"/>
      <c r="F85" s="5315">
        <v>1</v>
      </c>
      <c r="G85" s="5315"/>
      <c r="H85" s="5315"/>
      <c r="I85" s="5312" t="str">
        <f>S84&amp;".1"</f>
        <v>2.2.1.1.1</v>
      </c>
      <c r="J85" s="2211"/>
      <c r="K85" s="2211"/>
      <c r="L85" s="2212" t="s">
        <v>522</v>
      </c>
      <c r="M85" s="2174"/>
      <c r="N85" s="2228"/>
      <c r="O85" s="2228"/>
      <c r="P85" s="5313">
        <v>1</v>
      </c>
      <c r="Q85" s="2229"/>
      <c r="R85" s="2230"/>
      <c r="S85" s="3785"/>
      <c r="T85" s="3786"/>
      <c r="U85" s="3787"/>
      <c r="V85" s="5341"/>
      <c r="W85" s="5342"/>
      <c r="X85" s="5342"/>
      <c r="Y85" s="5342"/>
      <c r="Z85" s="5342"/>
      <c r="AA85" s="5342"/>
      <c r="AB85" s="5342"/>
      <c r="AC85" s="5343"/>
      <c r="AD85" s="5341"/>
      <c r="AE85" s="5342"/>
      <c r="AF85" s="5342"/>
      <c r="AG85" s="5342"/>
      <c r="AH85" s="5342"/>
      <c r="AI85" s="5342"/>
      <c r="AJ85" s="5342"/>
      <c r="AK85" s="5342"/>
      <c r="AL85" s="5341"/>
      <c r="AM85" s="5342"/>
      <c r="AN85" s="5342"/>
      <c r="AO85" s="5342"/>
      <c r="AP85" s="5342"/>
      <c r="AQ85" s="5342"/>
      <c r="AR85" s="5342"/>
      <c r="AS85" s="5343"/>
      <c r="AT85" s="5343"/>
      <c r="AU85" s="3788"/>
      <c r="AV85" s="2182"/>
      <c r="AW85" s="2221"/>
      <c r="AX85" s="2221" t="str">
        <f t="shared" si="2"/>
        <v/>
      </c>
      <c r="AY85" s="2221"/>
      <c r="AZ85" s="2221"/>
    </row>
    <row r="86" spans="1:52" s="3931" customFormat="1" ht="21" customHeight="1">
      <c r="A86" s="2211"/>
      <c r="B86" s="2211"/>
      <c r="C86" s="2211"/>
      <c r="D86" s="2211"/>
      <c r="E86" s="5315"/>
      <c r="F86" s="5315">
        <v>1</v>
      </c>
      <c r="G86" s="5315"/>
      <c r="H86" s="5315"/>
      <c r="I86" s="5335"/>
      <c r="J86" s="5312" t="str">
        <f>I85&amp;".1"</f>
        <v>2.2.1.1.1.1</v>
      </c>
      <c r="K86" s="2211"/>
      <c r="L86" s="2212" t="s">
        <v>525</v>
      </c>
      <c r="M86" s="2174"/>
      <c r="N86" s="2174"/>
      <c r="O86" s="2228"/>
      <c r="P86" s="5313"/>
      <c r="Q86" s="5313">
        <v>1</v>
      </c>
      <c r="R86" s="2233"/>
      <c r="S86" s="2217" t="str">
        <f>$J86</f>
        <v>2.2.1.1.1.1</v>
      </c>
      <c r="T86" s="2234" t="s">
        <v>526</v>
      </c>
      <c r="U86" s="2219"/>
      <c r="V86" s="5303"/>
      <c r="W86" s="5304"/>
      <c r="X86" s="5304"/>
      <c r="Y86" s="5304"/>
      <c r="Z86" s="5304"/>
      <c r="AA86" s="5304"/>
      <c r="AB86" s="5304"/>
      <c r="AC86" s="5305"/>
      <c r="AD86" s="5303" t="s">
        <v>565</v>
      </c>
      <c r="AE86" s="5304"/>
      <c r="AF86" s="5304"/>
      <c r="AG86" s="5304"/>
      <c r="AH86" s="5304"/>
      <c r="AI86" s="5304"/>
      <c r="AJ86" s="5304"/>
      <c r="AK86" s="5304"/>
      <c r="AL86" s="5303"/>
      <c r="AM86" s="5304"/>
      <c r="AN86" s="5304"/>
      <c r="AO86" s="5304"/>
      <c r="AP86" s="5304"/>
      <c r="AQ86" s="5304"/>
      <c r="AR86" s="5304"/>
      <c r="AS86" s="5305"/>
      <c r="AT86" s="5305"/>
      <c r="AU86" s="2220" t="s">
        <v>527</v>
      </c>
      <c r="AV86" s="2182"/>
      <c r="AW86" s="2221"/>
      <c r="AX86" s="2221" t="str">
        <f t="shared" si="2"/>
        <v>Группа потребителей</v>
      </c>
      <c r="AY86" s="2221"/>
      <c r="AZ86" s="2221"/>
    </row>
    <row r="87" spans="1:52" s="3932" customFormat="1" ht="21" customHeight="1">
      <c r="A87" s="2211"/>
      <c r="B87" s="2211"/>
      <c r="C87" s="2211"/>
      <c r="D87" s="2211"/>
      <c r="E87" s="5315"/>
      <c r="F87" s="5315">
        <v>1</v>
      </c>
      <c r="G87" s="5315"/>
      <c r="H87" s="5315"/>
      <c r="I87" s="5335"/>
      <c r="J87" s="5335"/>
      <c r="K87" s="5312" t="str">
        <f>J86&amp;".1"</f>
        <v>2.2.1.1.1.1.1</v>
      </c>
      <c r="L87" s="2212" t="s">
        <v>528</v>
      </c>
      <c r="M87" s="2174"/>
      <c r="N87" s="2174"/>
      <c r="O87" s="2174"/>
      <c r="P87" s="5313"/>
      <c r="Q87" s="5313"/>
      <c r="R87" s="2233">
        <v>1</v>
      </c>
      <c r="S87" s="2217" t="str">
        <f>$K87</f>
        <v>2.2.1.1.1.1.1</v>
      </c>
      <c r="T87" s="2236" t="s">
        <v>566</v>
      </c>
      <c r="U87" s="2219"/>
      <c r="V87" s="2139"/>
      <c r="W87" s="2140"/>
      <c r="X87" s="2139"/>
      <c r="Y87" s="2141"/>
      <c r="Z87" s="5317"/>
      <c r="AA87" s="5161" t="s">
        <v>62</v>
      </c>
      <c r="AB87" s="5317"/>
      <c r="AC87" s="5161" t="s">
        <v>62</v>
      </c>
      <c r="AD87" s="2139">
        <v>30.95</v>
      </c>
      <c r="AE87" s="2140"/>
      <c r="AF87" s="2139"/>
      <c r="AG87" s="2141"/>
      <c r="AH87" s="5317">
        <v>45658.646643518521</v>
      </c>
      <c r="AI87" s="5161" t="s">
        <v>62</v>
      </c>
      <c r="AJ87" s="5317">
        <v>45838.64671296296</v>
      </c>
      <c r="AK87" s="5161" t="s">
        <v>62</v>
      </c>
      <c r="AL87" s="2139">
        <v>38.69</v>
      </c>
      <c r="AM87" s="2140"/>
      <c r="AN87" s="2139"/>
      <c r="AO87" s="2141"/>
      <c r="AP87" s="5317">
        <v>45839.646886574075</v>
      </c>
      <c r="AQ87" s="5161" t="s">
        <v>62</v>
      </c>
      <c r="AR87" s="5317">
        <v>46022.646979166668</v>
      </c>
      <c r="AS87" s="5161" t="s">
        <v>62</v>
      </c>
      <c r="AT87" s="2140"/>
      <c r="AU87" s="5309" t="s">
        <v>529</v>
      </c>
      <c r="AV87" s="2182" t="e">
        <f ca="1">STRCHECKDATE(V88:AT88)</f>
        <v>#NAME?</v>
      </c>
      <c r="AW87" s="2221"/>
      <c r="AX87" s="2221" t="str">
        <f t="shared" si="2"/>
        <v>вода</v>
      </c>
      <c r="AY87" s="2221"/>
      <c r="AZ87" s="2221"/>
    </row>
    <row r="88" spans="1:52" s="3933" customFormat="1" ht="0.75" customHeight="1">
      <c r="A88" s="2211"/>
      <c r="B88" s="2211"/>
      <c r="C88" s="2211"/>
      <c r="D88" s="2211"/>
      <c r="E88" s="5315"/>
      <c r="F88" s="5315">
        <v>1</v>
      </c>
      <c r="G88" s="5315"/>
      <c r="H88" s="5315"/>
      <c r="I88" s="5335"/>
      <c r="J88" s="5335"/>
      <c r="K88" s="5312"/>
      <c r="L88" s="2212"/>
      <c r="M88" s="2174"/>
      <c r="N88" s="2174"/>
      <c r="O88" s="2174"/>
      <c r="P88" s="5313"/>
      <c r="Q88" s="5313"/>
      <c r="R88" s="2233"/>
      <c r="S88" s="2238"/>
      <c r="T88" s="2219"/>
      <c r="U88" s="2219"/>
      <c r="V88" s="2140"/>
      <c r="W88" s="2140"/>
      <c r="X88" s="2140"/>
      <c r="Y88" s="2142" t="str">
        <f>Z87&amp;"-"&amp;AB87</f>
        <v>-</v>
      </c>
      <c r="Z88" s="5318"/>
      <c r="AA88" s="5161"/>
      <c r="AB88" s="5318"/>
      <c r="AC88" s="5161"/>
      <c r="AD88" s="2140"/>
      <c r="AE88" s="2140"/>
      <c r="AF88" s="2140"/>
      <c r="AG88" s="2142" t="str">
        <f>AH87&amp;"-"&amp;AJ87</f>
        <v>45658,6466435185-45838,646712963</v>
      </c>
      <c r="AH88" s="5318"/>
      <c r="AI88" s="5161"/>
      <c r="AJ88" s="5318"/>
      <c r="AK88" s="5161"/>
      <c r="AL88" s="2140"/>
      <c r="AM88" s="2140"/>
      <c r="AN88" s="2140"/>
      <c r="AO88" s="2142" t="str">
        <f>AP87&amp;"-"&amp;AR87</f>
        <v>45839,6468865741-46022,6469791667</v>
      </c>
      <c r="AP88" s="5318"/>
      <c r="AQ88" s="5161"/>
      <c r="AR88" s="5318"/>
      <c r="AS88" s="5161"/>
      <c r="AT88" s="2140"/>
      <c r="AU88" s="5310"/>
      <c r="AV88" s="2182"/>
      <c r="AW88" s="2221"/>
      <c r="AX88" s="2221" t="str">
        <f t="shared" si="2"/>
        <v/>
      </c>
      <c r="AY88" s="2221"/>
      <c r="AZ88" s="2221"/>
    </row>
    <row r="89" spans="1:52" s="3934" customFormat="1" ht="15" customHeight="1">
      <c r="A89" s="2211"/>
      <c r="B89" s="2211"/>
      <c r="C89" s="2211"/>
      <c r="D89" s="2211"/>
      <c r="E89" s="5315"/>
      <c r="F89" s="5315">
        <v>1</v>
      </c>
      <c r="G89" s="5315"/>
      <c r="H89" s="5315"/>
      <c r="I89" s="5335"/>
      <c r="J89" s="5312"/>
      <c r="K89" s="2211"/>
      <c r="L89" s="2212"/>
      <c r="M89" s="2174"/>
      <c r="N89" s="2174"/>
      <c r="O89" s="2228"/>
      <c r="P89" s="5313"/>
      <c r="Q89" s="5313"/>
      <c r="R89" s="2230"/>
      <c r="S89" s="3935"/>
      <c r="T89" s="3936" t="s">
        <v>530</v>
      </c>
      <c r="U89" s="3937"/>
      <c r="V89" s="3938"/>
      <c r="W89" s="3939"/>
      <c r="X89" s="3940"/>
      <c r="Y89" s="3941"/>
      <c r="Z89" s="3942"/>
      <c r="AA89" s="3943"/>
      <c r="AB89" s="3944"/>
      <c r="AC89" s="3945"/>
      <c r="AD89" s="3946"/>
      <c r="AE89" s="3947"/>
      <c r="AF89" s="3948"/>
      <c r="AG89" s="3949"/>
      <c r="AH89" s="3950"/>
      <c r="AI89" s="3951"/>
      <c r="AJ89" s="3952"/>
      <c r="AK89" s="3953"/>
      <c r="AL89" s="3954"/>
      <c r="AM89" s="3955"/>
      <c r="AN89" s="3956"/>
      <c r="AO89" s="3957"/>
      <c r="AP89" s="3958"/>
      <c r="AQ89" s="3959"/>
      <c r="AR89" s="3960"/>
      <c r="AS89" s="3961"/>
      <c r="AT89" s="3962"/>
      <c r="AU89" s="5311"/>
      <c r="AV89" s="2182"/>
      <c r="AW89" s="2221"/>
      <c r="AX89" s="2221" t="str">
        <f t="shared" si="2"/>
        <v>Добавить вид теплоносителя (параметры теплоносителя)</v>
      </c>
      <c r="AY89" s="2221"/>
      <c r="AZ89" s="2221"/>
    </row>
    <row r="90" spans="1:52" s="3963" customFormat="1" ht="15" customHeight="1">
      <c r="A90" s="2211"/>
      <c r="B90" s="2211"/>
      <c r="C90" s="2211"/>
      <c r="D90" s="2211"/>
      <c r="E90" s="5315"/>
      <c r="F90" s="5315">
        <v>1</v>
      </c>
      <c r="G90" s="5315"/>
      <c r="H90" s="5315"/>
      <c r="I90" s="5312"/>
      <c r="J90" s="2211"/>
      <c r="K90" s="2211"/>
      <c r="L90" s="2212"/>
      <c r="M90" s="2174"/>
      <c r="N90" s="2228"/>
      <c r="O90" s="2228"/>
      <c r="P90" s="5313"/>
      <c r="Q90" s="2229"/>
      <c r="R90" s="2230"/>
      <c r="S90" s="3964"/>
      <c r="T90" s="3965" t="s">
        <v>531</v>
      </c>
      <c r="U90" s="3966"/>
      <c r="V90" s="3967"/>
      <c r="W90" s="3968"/>
      <c r="X90" s="3969"/>
      <c r="Y90" s="3970"/>
      <c r="Z90" s="3971"/>
      <c r="AA90" s="3972"/>
      <c r="AB90" s="3973"/>
      <c r="AC90" s="3974"/>
      <c r="AD90" s="3975"/>
      <c r="AE90" s="3976"/>
      <c r="AF90" s="3977"/>
      <c r="AG90" s="3978"/>
      <c r="AH90" s="3979"/>
      <c r="AI90" s="3980"/>
      <c r="AJ90" s="3981"/>
      <c r="AK90" s="3982"/>
      <c r="AL90" s="3983"/>
      <c r="AM90" s="3984"/>
      <c r="AN90" s="3985"/>
      <c r="AO90" s="3986"/>
      <c r="AP90" s="3987"/>
      <c r="AQ90" s="3988"/>
      <c r="AR90" s="3989"/>
      <c r="AS90" s="3990"/>
      <c r="AT90" s="3991"/>
      <c r="AU90" s="3992"/>
      <c r="AV90" s="2182"/>
      <c r="AW90" s="2221"/>
      <c r="AX90" s="2221" t="str">
        <f t="shared" si="2"/>
        <v>Добавить группу потребителей</v>
      </c>
      <c r="AY90" s="2221"/>
      <c r="AZ90" s="2221"/>
    </row>
    <row r="91" spans="1:52" s="3993" customFormat="1" ht="14.25" customHeight="1">
      <c r="A91" s="2211"/>
      <c r="B91" s="2211"/>
      <c r="C91" s="2211"/>
      <c r="D91" s="2211"/>
      <c r="E91" s="5315"/>
      <c r="F91" s="5315">
        <v>1</v>
      </c>
      <c r="G91" s="5315"/>
      <c r="H91" s="5314"/>
      <c r="I91" s="2211"/>
      <c r="J91" s="2211"/>
      <c r="K91" s="2211"/>
      <c r="L91" s="2212"/>
      <c r="M91" s="2213"/>
      <c r="N91" s="2213"/>
      <c r="O91" s="2174"/>
      <c r="P91" s="2299"/>
      <c r="Q91" s="2300"/>
      <c r="R91" s="2301"/>
      <c r="S91" s="3852"/>
      <c r="T91" s="3853"/>
      <c r="U91" s="3763"/>
      <c r="V91" s="3763"/>
      <c r="W91" s="3763"/>
      <c r="X91" s="3763"/>
      <c r="Y91" s="3763"/>
      <c r="Z91" s="3763"/>
      <c r="AA91" s="3763"/>
      <c r="AB91" s="3763"/>
      <c r="AC91" s="3763"/>
      <c r="AD91" s="3763"/>
      <c r="AE91" s="3763"/>
      <c r="AF91" s="3763"/>
      <c r="AG91" s="3763"/>
      <c r="AH91" s="3763"/>
      <c r="AI91" s="3763"/>
      <c r="AJ91" s="3763"/>
      <c r="AK91" s="3763"/>
      <c r="AL91" s="3763"/>
      <c r="AM91" s="3763"/>
      <c r="AN91" s="3763"/>
      <c r="AO91" s="3763"/>
      <c r="AP91" s="3763"/>
      <c r="AQ91" s="3763"/>
      <c r="AR91" s="3763"/>
      <c r="AS91" s="3763"/>
      <c r="AT91" s="3763"/>
      <c r="AU91" s="3854"/>
      <c r="AV91" s="2182"/>
      <c r="AW91" s="2221"/>
      <c r="AX91" s="2221" t="str">
        <f t="shared" si="2"/>
        <v/>
      </c>
      <c r="AY91" s="2221"/>
      <c r="AZ91" s="2221"/>
    </row>
    <row r="92" spans="1:52" s="3994" customFormat="1" ht="0.75" customHeight="1">
      <c r="A92" s="2332"/>
      <c r="B92" s="2332"/>
      <c r="C92" s="2332"/>
      <c r="D92" s="2332"/>
      <c r="E92" s="5315"/>
      <c r="F92" s="5315">
        <v>1</v>
      </c>
      <c r="G92" s="5314"/>
      <c r="H92" s="2332"/>
      <c r="I92" s="2332"/>
      <c r="J92" s="2332"/>
      <c r="K92" s="2332"/>
      <c r="L92" s="2333"/>
      <c r="M92" s="2334"/>
      <c r="N92" s="2334"/>
      <c r="O92" s="2182"/>
      <c r="P92" s="2335"/>
      <c r="Q92" s="2336"/>
      <c r="R92" s="2335"/>
      <c r="S92" s="2337"/>
      <c r="T92" s="2338" t="s">
        <v>168</v>
      </c>
      <c r="U92" s="2168"/>
      <c r="V92" s="2168"/>
      <c r="W92" s="2168"/>
      <c r="X92" s="2168"/>
      <c r="Y92" s="2168"/>
      <c r="Z92" s="2168"/>
      <c r="AA92" s="2168"/>
      <c r="AB92" s="2168"/>
      <c r="AC92" s="2168"/>
      <c r="AD92" s="2168"/>
      <c r="AE92" s="2168"/>
      <c r="AF92" s="2168"/>
      <c r="AG92" s="2168"/>
      <c r="AH92" s="2168"/>
      <c r="AI92" s="2168"/>
      <c r="AJ92" s="2168"/>
      <c r="AK92" s="2168"/>
      <c r="AL92" s="2168"/>
      <c r="AM92" s="2168"/>
      <c r="AN92" s="2168"/>
      <c r="AO92" s="2168"/>
      <c r="AP92" s="2168"/>
      <c r="AQ92" s="2168"/>
      <c r="AR92" s="2168"/>
      <c r="AS92" s="2168"/>
      <c r="AT92" s="2168"/>
      <c r="AU92" s="2168"/>
      <c r="AV92" s="2182"/>
      <c r="AW92" s="2221"/>
      <c r="AX92" s="2221" t="str">
        <f t="shared" si="2"/>
        <v>Добавить источник для дифференциации</v>
      </c>
      <c r="AY92" s="2221"/>
      <c r="AZ92" s="2221"/>
    </row>
    <row r="93" spans="1:52" s="3995" customFormat="1" ht="0.75" customHeight="1">
      <c r="A93" s="2332"/>
      <c r="B93" s="2332"/>
      <c r="C93" s="2332"/>
      <c r="D93" s="2332"/>
      <c r="E93" s="5315"/>
      <c r="F93" s="5314">
        <v>1</v>
      </c>
      <c r="G93" s="2332"/>
      <c r="H93" s="2332"/>
      <c r="I93" s="2332"/>
      <c r="J93" s="2332"/>
      <c r="K93" s="2332"/>
      <c r="L93" s="2333"/>
      <c r="M93" s="2340"/>
      <c r="N93" s="2340"/>
      <c r="O93" s="2182"/>
      <c r="P93" s="2335"/>
      <c r="Q93" s="2336"/>
      <c r="R93" s="2335"/>
      <c r="S93" s="2341"/>
      <c r="T93" s="2342" t="s">
        <v>169</v>
      </c>
      <c r="U93" s="2169"/>
      <c r="V93" s="2169"/>
      <c r="W93" s="2169"/>
      <c r="X93" s="2169"/>
      <c r="Y93" s="2169"/>
      <c r="Z93" s="2169"/>
      <c r="AA93" s="2169"/>
      <c r="AB93" s="2169"/>
      <c r="AC93" s="2169"/>
      <c r="AD93" s="2169"/>
      <c r="AE93" s="2169"/>
      <c r="AF93" s="2169"/>
      <c r="AG93" s="2169"/>
      <c r="AH93" s="2169"/>
      <c r="AI93" s="2169"/>
      <c r="AJ93" s="2169"/>
      <c r="AK93" s="2169"/>
      <c r="AL93" s="2169"/>
      <c r="AM93" s="2169"/>
      <c r="AN93" s="2169"/>
      <c r="AO93" s="2169"/>
      <c r="AP93" s="2169"/>
      <c r="AQ93" s="2169"/>
      <c r="AR93" s="2169"/>
      <c r="AS93" s="2169"/>
      <c r="AT93" s="2169"/>
      <c r="AU93" s="2169"/>
      <c r="AV93" s="2182"/>
      <c r="AW93" s="2221"/>
      <c r="AX93" s="2221" t="str">
        <f t="shared" si="2"/>
        <v>Добавить централизованную систему для дифференциации</v>
      </c>
      <c r="AY93" s="2221"/>
      <c r="AZ93" s="2221"/>
    </row>
    <row r="94" spans="1:52" s="3996" customFormat="1" ht="0.75" customHeight="1">
      <c r="A94" s="2332"/>
      <c r="B94" s="2332"/>
      <c r="C94" s="2332"/>
      <c r="D94" s="2332"/>
      <c r="E94" s="5314">
        <v>1</v>
      </c>
      <c r="F94" s="2332"/>
      <c r="G94" s="2332"/>
      <c r="H94" s="2332"/>
      <c r="I94" s="2332"/>
      <c r="J94" s="2332"/>
      <c r="K94" s="2332"/>
      <c r="L94" s="2333"/>
      <c r="M94" s="2340"/>
      <c r="N94" s="2340"/>
      <c r="O94" s="2182"/>
      <c r="P94" s="2335"/>
      <c r="Q94" s="2336"/>
      <c r="R94" s="2335"/>
      <c r="S94" s="2341"/>
      <c r="T94" s="2445" t="s">
        <v>174</v>
      </c>
      <c r="U94" s="2169"/>
      <c r="V94" s="2169"/>
      <c r="W94" s="2169"/>
      <c r="X94" s="2169"/>
      <c r="Y94" s="2169"/>
      <c r="Z94" s="2169"/>
      <c r="AA94" s="2169"/>
      <c r="AB94" s="2169"/>
      <c r="AC94" s="2169"/>
      <c r="AD94" s="2169"/>
      <c r="AE94" s="2169"/>
      <c r="AF94" s="2169"/>
      <c r="AG94" s="2169"/>
      <c r="AH94" s="2169"/>
      <c r="AI94" s="2169"/>
      <c r="AJ94" s="2169"/>
      <c r="AK94" s="2169"/>
      <c r="AL94" s="2169"/>
      <c r="AM94" s="2169"/>
      <c r="AN94" s="2169"/>
      <c r="AO94" s="2169"/>
      <c r="AP94" s="2169"/>
      <c r="AQ94" s="2169"/>
      <c r="AR94" s="2169"/>
      <c r="AS94" s="2169"/>
      <c r="AT94" s="2169"/>
      <c r="AU94" s="2169"/>
      <c r="AV94" s="2182"/>
      <c r="AW94" s="2221"/>
      <c r="AX94" s="2221" t="str">
        <f t="shared" si="2"/>
        <v>Добавить территорию для дифференциации</v>
      </c>
      <c r="AY94" s="2221"/>
      <c r="AZ94" s="2221"/>
    </row>
    <row r="95" spans="1:52" s="2167" customFormat="1" ht="0.75" customHeight="1">
      <c r="A95" s="1231"/>
      <c r="B95" s="1231"/>
      <c r="C95" s="1231"/>
      <c r="D95" s="1231"/>
      <c r="E95" s="1259"/>
      <c r="F95" s="1231"/>
      <c r="G95" s="1231"/>
      <c r="H95" s="1231"/>
      <c r="I95" s="1231"/>
      <c r="J95" s="1231"/>
      <c r="K95" s="1231"/>
      <c r="L95" s="1255"/>
      <c r="M95" s="1238"/>
      <c r="N95" s="1238"/>
      <c r="P95" s="1233"/>
      <c r="Q95" s="1234"/>
      <c r="R95" s="1233"/>
      <c r="S95" s="1239"/>
      <c r="T95" s="1242" t="s">
        <v>215</v>
      </c>
      <c r="U95" s="1241"/>
      <c r="V95" s="1241"/>
      <c r="W95" s="1241"/>
      <c r="X95" s="1241"/>
      <c r="Y95" s="1241"/>
      <c r="Z95" s="1241"/>
      <c r="AA95" s="1241"/>
      <c r="AB95" s="1241"/>
      <c r="AC95" s="1241"/>
      <c r="AD95" s="1241"/>
      <c r="AE95" s="1241"/>
      <c r="AF95" s="1241"/>
      <c r="AG95" s="1241"/>
      <c r="AH95" s="1241"/>
      <c r="AI95" s="1241"/>
      <c r="AJ95" s="1241"/>
      <c r="AK95" s="1241"/>
      <c r="AL95" s="2169"/>
      <c r="AM95" s="2169"/>
      <c r="AN95" s="2169"/>
      <c r="AO95" s="2169"/>
      <c r="AP95" s="2169"/>
      <c r="AQ95" s="2169"/>
      <c r="AR95" s="2169"/>
      <c r="AS95" s="2169"/>
      <c r="AT95" s="1241"/>
      <c r="AU95" s="1241"/>
      <c r="AW95" s="705"/>
      <c r="AX95" s="705" t="str">
        <f t="shared" si="2"/>
        <v>Добавить наименование тарифа</v>
      </c>
      <c r="AY95" s="705"/>
      <c r="AZ95" s="705"/>
    </row>
    <row r="96" spans="1:52" ht="11.25" customHeight="1">
      <c r="M96" s="1059"/>
      <c r="N96" s="1059"/>
      <c r="O96" s="461"/>
      <c r="P96" s="1054"/>
      <c r="Q96" s="1054"/>
      <c r="R96" s="1054"/>
      <c r="S96" s="1054"/>
      <c r="AL96" s="2138"/>
      <c r="AM96" s="2138"/>
      <c r="AN96" s="2138"/>
      <c r="AO96" s="2138"/>
      <c r="AP96" s="2138"/>
      <c r="AQ96" s="2138"/>
      <c r="AR96" s="2138"/>
      <c r="AS96" s="2138"/>
      <c r="AV96" s="1054"/>
      <c r="AW96" s="1054"/>
      <c r="AX96" s="1054"/>
      <c r="AY96" s="1054"/>
      <c r="AZ96" s="1054"/>
    </row>
    <row r="97" spans="15:47" ht="18.75" customHeight="1">
      <c r="O97" s="461"/>
      <c r="S97" s="1163"/>
      <c r="T97" s="5334"/>
      <c r="U97" s="5334"/>
      <c r="V97" s="5334"/>
      <c r="W97" s="5334"/>
      <c r="X97" s="5334"/>
      <c r="Y97" s="5334"/>
      <c r="Z97" s="5334"/>
      <c r="AA97" s="5334"/>
      <c r="AB97" s="5334"/>
      <c r="AC97" s="5334"/>
      <c r="AD97" s="5334"/>
      <c r="AE97" s="5334"/>
      <c r="AF97" s="5334"/>
      <c r="AG97" s="5334"/>
      <c r="AH97" s="5334"/>
      <c r="AI97" s="5334"/>
      <c r="AJ97" s="5334"/>
      <c r="AK97" s="5334"/>
      <c r="AL97" s="5334"/>
      <c r="AM97" s="5334"/>
      <c r="AN97" s="5334"/>
      <c r="AO97" s="5334"/>
      <c r="AP97" s="5334"/>
      <c r="AQ97" s="5334"/>
      <c r="AR97" s="5334"/>
      <c r="AS97" s="5334"/>
      <c r="AT97" s="5334"/>
      <c r="AU97" s="5334"/>
    </row>
    <row r="98" spans="15:47" ht="27.75" customHeight="1">
      <c r="O98" s="461"/>
      <c r="T98" s="5334"/>
      <c r="U98" s="5334"/>
      <c r="V98" s="5334"/>
      <c r="W98" s="5334"/>
      <c r="X98" s="5334"/>
      <c r="Y98" s="5334"/>
      <c r="Z98" s="5334"/>
      <c r="AA98" s="5334"/>
      <c r="AB98" s="5334"/>
      <c r="AC98" s="5334"/>
      <c r="AD98" s="5334"/>
      <c r="AE98" s="5334"/>
      <c r="AF98" s="5334"/>
      <c r="AG98" s="5334"/>
      <c r="AH98" s="5334"/>
      <c r="AI98" s="5334"/>
      <c r="AJ98" s="5334"/>
      <c r="AK98" s="5334"/>
      <c r="AL98" s="5334"/>
      <c r="AM98" s="5334"/>
      <c r="AN98" s="5334"/>
      <c r="AO98" s="5334"/>
      <c r="AP98" s="5334"/>
      <c r="AQ98" s="5334"/>
      <c r="AR98" s="5334"/>
      <c r="AS98" s="5334"/>
      <c r="AT98" s="5334"/>
      <c r="AU98" s="5334"/>
    </row>
    <row r="99" spans="15:47" ht="39.75" customHeight="1">
      <c r="O99" s="461"/>
      <c r="T99" s="5334"/>
      <c r="U99" s="5334"/>
      <c r="V99" s="5334"/>
      <c r="W99" s="5334"/>
      <c r="X99" s="5334"/>
      <c r="Y99" s="5334"/>
      <c r="Z99" s="5334"/>
      <c r="AA99" s="5334"/>
      <c r="AB99" s="5334"/>
      <c r="AC99" s="5334"/>
      <c r="AD99" s="5334"/>
      <c r="AE99" s="5334"/>
      <c r="AF99" s="5334"/>
      <c r="AG99" s="5334"/>
      <c r="AH99" s="5334"/>
      <c r="AI99" s="5334"/>
      <c r="AJ99" s="5334"/>
      <c r="AK99" s="5334"/>
      <c r="AL99" s="5334"/>
      <c r="AM99" s="5334"/>
      <c r="AN99" s="5334"/>
      <c r="AO99" s="5334"/>
      <c r="AP99" s="5334"/>
      <c r="AQ99" s="5334"/>
      <c r="AR99" s="5334"/>
      <c r="AS99" s="5334"/>
      <c r="AT99" s="5334"/>
      <c r="AU99" s="5334"/>
    </row>
    <row r="100" spans="15:47" ht="14.25" customHeight="1">
      <c r="O100" s="461"/>
      <c r="AL100" s="2138"/>
      <c r="AM100" s="2138"/>
      <c r="AN100" s="2138"/>
      <c r="AO100" s="2138"/>
      <c r="AP100" s="2138"/>
      <c r="AQ100" s="2138"/>
      <c r="AR100" s="2138"/>
      <c r="AS100" s="2138"/>
    </row>
    <row r="101" spans="15:47" ht="19.5" customHeight="1">
      <c r="O101" s="461"/>
      <c r="S101" s="1163"/>
      <c r="T101" s="5233"/>
      <c r="U101" s="5334"/>
      <c r="V101" s="5334"/>
      <c r="W101" s="5334"/>
      <c r="X101" s="5334"/>
      <c r="Y101" s="5334"/>
      <c r="Z101" s="5334"/>
      <c r="AA101" s="5334"/>
      <c r="AB101" s="5334"/>
      <c r="AC101" s="5334"/>
      <c r="AD101" s="5334"/>
      <c r="AE101" s="5334"/>
      <c r="AF101" s="5334"/>
      <c r="AG101" s="5334"/>
      <c r="AH101" s="5334"/>
      <c r="AI101" s="5334"/>
      <c r="AJ101" s="5334"/>
      <c r="AK101" s="5334"/>
      <c r="AL101" s="5334"/>
      <c r="AM101" s="5334"/>
      <c r="AN101" s="5334"/>
      <c r="AO101" s="5334"/>
      <c r="AP101" s="5334"/>
      <c r="AQ101" s="5334"/>
      <c r="AR101" s="5334"/>
      <c r="AS101" s="5334"/>
      <c r="AT101" s="5334"/>
      <c r="AU101" s="5334"/>
    </row>
    <row r="102" spans="15:47" ht="27.75" customHeight="1">
      <c r="O102" s="461"/>
      <c r="T102" s="5334"/>
      <c r="U102" s="5334"/>
      <c r="V102" s="5334"/>
      <c r="W102" s="5334"/>
      <c r="X102" s="5334"/>
      <c r="Y102" s="5334"/>
      <c r="Z102" s="5334"/>
      <c r="AA102" s="5334"/>
      <c r="AB102" s="5334"/>
      <c r="AC102" s="5334"/>
      <c r="AD102" s="5334"/>
      <c r="AE102" s="5334"/>
      <c r="AF102" s="5334"/>
      <c r="AG102" s="5334"/>
      <c r="AH102" s="5334"/>
      <c r="AI102" s="5334"/>
      <c r="AJ102" s="5334"/>
      <c r="AK102" s="5334"/>
      <c r="AL102" s="5334"/>
      <c r="AM102" s="5334"/>
      <c r="AN102" s="5334"/>
      <c r="AO102" s="5334"/>
      <c r="AP102" s="5334"/>
      <c r="AQ102" s="5334"/>
      <c r="AR102" s="5334"/>
      <c r="AS102" s="5334"/>
      <c r="AT102" s="5334"/>
      <c r="AU102" s="5334"/>
    </row>
    <row r="103" spans="15:47" ht="33.75" customHeight="1">
      <c r="T103" s="5334"/>
      <c r="U103" s="5334"/>
      <c r="V103" s="5334"/>
      <c r="W103" s="5334"/>
      <c r="X103" s="5334"/>
      <c r="Y103" s="5334"/>
      <c r="Z103" s="5334"/>
      <c r="AA103" s="5334"/>
      <c r="AB103" s="5334"/>
      <c r="AC103" s="5334"/>
      <c r="AD103" s="5334"/>
      <c r="AE103" s="5334"/>
      <c r="AF103" s="5334"/>
      <c r="AG103" s="5334"/>
      <c r="AH103" s="5334"/>
      <c r="AI103" s="5334"/>
      <c r="AJ103" s="5334"/>
      <c r="AK103" s="5334"/>
      <c r="AL103" s="5334"/>
      <c r="AM103" s="5334"/>
      <c r="AN103" s="5334"/>
      <c r="AO103" s="5334"/>
      <c r="AP103" s="5334"/>
      <c r="AQ103" s="5334"/>
      <c r="AR103" s="5334"/>
      <c r="AS103" s="5334"/>
      <c r="AT103" s="5334"/>
      <c r="AU103" s="5334"/>
    </row>
  </sheetData>
  <sheetProtection formatColumns="0" formatRows="0" insertRows="0" deleteColumns="0" deleteRows="0" sort="0" autoFilter="0"/>
  <mergeCells count="232">
    <mergeCell ref="AD86:AT86"/>
    <mergeCell ref="AP87:AP88"/>
    <mergeCell ref="AQ87:AQ88"/>
    <mergeCell ref="AR87:AR88"/>
    <mergeCell ref="AS87:AS88"/>
    <mergeCell ref="AU87:AU89"/>
    <mergeCell ref="Z87:Z88"/>
    <mergeCell ref="AA87:AA88"/>
    <mergeCell ref="AH87:AH88"/>
    <mergeCell ref="AI87:AI88"/>
    <mergeCell ref="AJ87:AJ88"/>
    <mergeCell ref="AK87:AK88"/>
    <mergeCell ref="AB87:AB88"/>
    <mergeCell ref="AC87:AC88"/>
    <mergeCell ref="AD73:AT73"/>
    <mergeCell ref="V74:AC74"/>
    <mergeCell ref="AD74:AT74"/>
    <mergeCell ref="AP75:AP76"/>
    <mergeCell ref="AQ75:AQ76"/>
    <mergeCell ref="AR75:AR76"/>
    <mergeCell ref="AS75:AS76"/>
    <mergeCell ref="F82:F93"/>
    <mergeCell ref="G83:G92"/>
    <mergeCell ref="H84:H91"/>
    <mergeCell ref="I85:I90"/>
    <mergeCell ref="P85:P90"/>
    <mergeCell ref="J86:J89"/>
    <mergeCell ref="Q86:Q89"/>
    <mergeCell ref="K87:K88"/>
    <mergeCell ref="V82:AC82"/>
    <mergeCell ref="AD82:AT82"/>
    <mergeCell ref="V83:AC83"/>
    <mergeCell ref="AD83:AT83"/>
    <mergeCell ref="V84:AC84"/>
    <mergeCell ref="AD84:AT84"/>
    <mergeCell ref="V85:AC85"/>
    <mergeCell ref="AD85:AT85"/>
    <mergeCell ref="V86:AC86"/>
    <mergeCell ref="AU75:AU77"/>
    <mergeCell ref="Z75:Z76"/>
    <mergeCell ref="AA75:AA76"/>
    <mergeCell ref="AH75:AH76"/>
    <mergeCell ref="AI75:AI76"/>
    <mergeCell ref="AJ75:AJ76"/>
    <mergeCell ref="AK75:AK76"/>
    <mergeCell ref="AB75:AB76"/>
    <mergeCell ref="AC75:AC76"/>
    <mergeCell ref="AR49:AR50"/>
    <mergeCell ref="AS49:AS50"/>
    <mergeCell ref="AP61:AP62"/>
    <mergeCell ref="AQ61:AQ62"/>
    <mergeCell ref="AR61:AR62"/>
    <mergeCell ref="AS61:AS62"/>
    <mergeCell ref="E69:E94"/>
    <mergeCell ref="F70:F81"/>
    <mergeCell ref="G71:G80"/>
    <mergeCell ref="H72:H79"/>
    <mergeCell ref="I73:I78"/>
    <mergeCell ref="P73:P78"/>
    <mergeCell ref="J74:J77"/>
    <mergeCell ref="Q74:Q77"/>
    <mergeCell ref="K75:K76"/>
    <mergeCell ref="V69:AC69"/>
    <mergeCell ref="AD69:AT69"/>
    <mergeCell ref="V70:AC70"/>
    <mergeCell ref="AD70:AT70"/>
    <mergeCell ref="V71:AC71"/>
    <mergeCell ref="AD71:AT71"/>
    <mergeCell ref="V72:AC72"/>
    <mergeCell ref="AD72:AT72"/>
    <mergeCell ref="V73:AC73"/>
    <mergeCell ref="AD59:AT59"/>
    <mergeCell ref="V60:AC60"/>
    <mergeCell ref="AD60:AT6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F56:F67"/>
    <mergeCell ref="G57:G66"/>
    <mergeCell ref="H58:H65"/>
    <mergeCell ref="I59:I64"/>
    <mergeCell ref="P59:P64"/>
    <mergeCell ref="J60:J63"/>
    <mergeCell ref="Q60:Q63"/>
    <mergeCell ref="K61:K62"/>
    <mergeCell ref="AU61:AU63"/>
    <mergeCell ref="Z61:Z62"/>
    <mergeCell ref="AA61:AA62"/>
    <mergeCell ref="AH61:AH62"/>
    <mergeCell ref="AI61:AI62"/>
    <mergeCell ref="AJ61:AJ62"/>
    <mergeCell ref="AK61:AK62"/>
    <mergeCell ref="AB61:AB62"/>
    <mergeCell ref="AC61:AC62"/>
    <mergeCell ref="V56:AC56"/>
    <mergeCell ref="AD56:AT56"/>
    <mergeCell ref="V57:AC57"/>
    <mergeCell ref="AD57:AT57"/>
    <mergeCell ref="V58:AC58"/>
    <mergeCell ref="AD58:AT58"/>
    <mergeCell ref="V59:AC59"/>
    <mergeCell ref="T102:AU102"/>
    <mergeCell ref="T103:AU103"/>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101:AU101"/>
    <mergeCell ref="T99:AU99"/>
    <mergeCell ref="AJ49:AJ50"/>
    <mergeCell ref="AK49:AK50"/>
    <mergeCell ref="AU49:AU51"/>
    <mergeCell ref="T97:AU97"/>
    <mergeCell ref="T98:AU98"/>
    <mergeCell ref="AA42:AB42"/>
    <mergeCell ref="AI42:AJ42"/>
    <mergeCell ref="E43:E68"/>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s>
  <dataValidations count="8">
    <dataValidation allowBlank="1" sqref="S131161:AU131167 S196697:AU196703 S262233:AU262239 S327769:AU327775 S393305:AU393311 S458841:AU458847 S524377:AU524383 S589913:AU589919 S655449:AU655455 S720985:AU720991 S786521:AU786527 S852057:AU852063 S917593:AU917599 S983129:AU983135 S65625:AU65631"/>
    <dataValidation type="list" allowBlank="1" showInputMessage="1" errorTitle="Ошибка" error="Выберите значение из списка" prompt="Выберите значение из списка" sqref="V983126:AT983126 V65622:AT65622 V131158:AT131158 V196694:AT196694 V262230:AT262230 V327766:AT327766 V393302:AT393302 V458838:AT458838 V524374:AT524374 V589910:AT589910 V655446:AT655446 V720982:AT720982 V786518:AT786518 V852054:AT852054 V917590:AT917590">
      <formula1>kind_of_cons</formula1>
    </dataValidation>
    <dataValidation type="list" allowBlank="1" showInputMessage="1" showErrorMessage="1" errorTitle="Ошибка" error="Выберите значение из списка" sqref="V983125:W983125 V65621:W65621 V131157:W131157 V196693:W196693 V262229:W262229 V327765:W327765 V393301:W393301 V458837:W458837 V524373:W524373 V589909:W589909 V655445:W655445 V720981:W720981 V786517:W786517 V852053:W852053 V917589:W917589 AD983125:AE983125 AD65621:AE65621 AD131157:AE131157 AD196693:AE196693 AD262229:AE262229 AD327765:AE327765 AD393301:AE393301 AD458837:AE458837 AD524373:AE524373 AD589909:AE589909 AD655445:AE655445 AD720981:AE720981 AD786517:AE786517 AD852053:AE852053 AD917589:AE917589">
      <formula1>kind_of_scheme_in</formula1>
    </dataValidation>
    <dataValidation type="textLength" operator="lessThanOrEqual" allowBlank="1" showInputMessage="1" showErrorMessage="1" errorTitle="Ошибка" error="Допускается ввод не более 900 символов!" sqref="AU65617:AU65624 AU131153:AU131160 AU196689:AU196696 AU262225:AU262232 AU327761:AU327768 AU393297:AU393304 AU458833:AU458840 AU524369:AU524376 AU589905:AU589912 AU655441:AU655448 AU720977:AU720984 AU786513:AU786520 AU852049:AU852056 AU917585:AU917592 AU983121:AU983128">
      <formula1>900</formula1>
    </dataValidation>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H65623 AH131159 AH196695 AH262231 AH327767 AH393303 AH458839 AH524375 AH589911 AH655447 AH720983 AH786519 AH852055 AH917591 AH983127 AJ65623 AJ131159 AJ196695 AJ262231 AJ327767 AJ393303 AJ458839 AJ524375 AJ589911 AJ655447 AJ720983 AJ786519 AJ852055 AJ917591 AJ983127 AJ49 AH49 AH8 AJ8 AB8 AH17 AJ17 Z49 AB49 Z61 AB61 AH61 AJ61 AP8 AR8 AP49 AR49 AP61 AR61 Z75 AB75 AH75 AJ75 AP75 AR75 Z87 AB87 AH87 AJ87 AP87 AR87"/>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I65623 AI131159 AI196695 AI262231 AI327767 AI393303 AI458839 AI524375 AI589911 AI655447 AI720983 AI786519 AI852055 AI917591 AI983127 AK393303:AS393303 AK49 AQ49 AS49 AK524375:AS524375 AK8 AQ8 AS8 AK589911:AS589911 AK655447:AS655447 AK17 AK720983:AS720983 AK786519:AS786519 AK852055:AS852055 AK917591:AS917591 AK983127:AS983127 AK65623:AS65623 AK131159:AS131159 AK458839:AS458839 AI49 AK196695:AS196695 AI8 AC8 AA8 AI17 AK262231:AS262231 AA49 AC49 AK327767:AS327767 AA61 AC61 AI61 AK61 AQ61 AS61 AA75 AC75 AI75 AK75 AQ75 AS75 AA87 AC87 AI87 AK87 AQ87 AS87"/>
    <dataValidation allowBlank="1" promptTitle="checkPeriodRange" sqref="Y65624 Y131160 Y196696 Y262232 Y327768 Y393304 Y458840 Y524376 Y589912 Y655448 Y720984 Y786520 Y852056 Y917592 Y983128 Y9 AG65624 AG131160 AG196696 AG262232 AG327768 AG393304 AG458840 AG524376 AG589912 AG655448 AG720984 AG786520 AG852056 AG917592 AG983128 AG9 AG50 AG18 Y50 Y62 AG62 AO9 AO50 AO62 Y76 AG76 AO76 Y88 AG88 AO8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opLeftCell="Q25" zoomScale="90" workbookViewId="0">
      <selection activeCell="T60" sqref="T60:AU60"/>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81" hidden="1" customWidth="1"/>
    <col min="17" max="18" width="3.7109375" style="3147" customWidth="1"/>
    <col min="19" max="19" width="12.7109375" style="3148" customWidth="1"/>
    <col min="20" max="20" width="32" style="2112" customWidth="1"/>
    <col min="21" max="21" width="0.140625" style="2112" customWidth="1"/>
    <col min="22" max="22" width="24.7109375" style="2112" hidden="1" customWidth="1"/>
    <col min="23" max="23" width="0.140625" style="2112" hidden="1" customWidth="1"/>
    <col min="24" max="25" width="24.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24.7109375" style="2112" customWidth="1"/>
    <col min="31" max="31" width="0.140625" style="2112" customWidth="1"/>
    <col min="32" max="33" width="24.7109375" style="2112" customWidth="1"/>
    <col min="34" max="34" width="11.7109375" style="2112" customWidth="1"/>
    <col min="35" max="35" width="3.7109375" style="2112" customWidth="1"/>
    <col min="36" max="36" width="11.7109375" style="2112" customWidth="1"/>
    <col min="37" max="37" width="8.5703125" style="2112" customWidth="1"/>
    <col min="45" max="45" width="10.5703125" hidden="1"/>
    <col min="46" max="46" width="4.7109375" style="2112" customWidth="1"/>
    <col min="47" max="47" width="115.7109375" style="2112" customWidth="1"/>
    <col min="48" max="49" width="10.5703125" style="1819"/>
    <col min="50" max="50" width="11.140625" style="1819" customWidth="1"/>
    <col min="51" max="52" width="10.5703125" style="1819"/>
  </cols>
  <sheetData>
    <row r="1" spans="1:52" ht="14.25" hidden="1" customHeight="1">
      <c r="A1" s="1779"/>
      <c r="Y1" s="253"/>
      <c r="Z1" s="253"/>
      <c r="AG1" s="253"/>
      <c r="AH1" s="253"/>
      <c r="AL1" s="2138"/>
      <c r="AM1" s="2138"/>
      <c r="AN1" s="2138"/>
      <c r="AO1" s="2138"/>
      <c r="AP1" s="2138"/>
      <c r="AQ1" s="2138"/>
      <c r="AR1" s="2138"/>
      <c r="AS1" s="2138"/>
    </row>
    <row r="2" spans="1:52" ht="21" hidden="1" customHeight="1">
      <c r="A2" s="1278"/>
      <c r="B2" s="1278"/>
      <c r="C2" s="1278"/>
      <c r="D2" s="1278"/>
      <c r="E2" s="5314">
        <v>1</v>
      </c>
      <c r="F2" s="1278"/>
      <c r="G2" s="1278"/>
      <c r="H2" s="1278"/>
      <c r="I2" s="1278"/>
      <c r="J2" s="1278"/>
      <c r="K2" s="1278"/>
      <c r="L2" s="1279"/>
      <c r="M2" s="1280"/>
      <c r="N2" s="1280"/>
      <c r="O2" s="1280"/>
      <c r="P2" s="285"/>
      <c r="Q2" s="284"/>
      <c r="R2" s="279"/>
      <c r="S2" s="1252"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0"/>
      <c r="AM2" s="5301"/>
      <c r="AN2" s="5301"/>
      <c r="AO2" s="5301"/>
      <c r="AP2" s="5301"/>
      <c r="AQ2" s="5301"/>
      <c r="AR2" s="5301"/>
      <c r="AS2" s="5302"/>
      <c r="AT2" s="5302"/>
      <c r="AU2" s="1176" t="s">
        <v>515</v>
      </c>
      <c r="AW2" s="425"/>
      <c r="AX2" s="425" t="str">
        <f t="shared" ref="AX2:AX15" si="0">IF(T2="","",T2)</f>
        <v>Наименование тарифа</v>
      </c>
      <c r="AY2" s="425"/>
      <c r="AZ2" s="425"/>
    </row>
    <row r="3" spans="1:52" ht="21" hidden="1" customHeight="1">
      <c r="A3" s="1278"/>
      <c r="B3" s="1278"/>
      <c r="C3" s="1278"/>
      <c r="D3" s="1278"/>
      <c r="E3" s="5315"/>
      <c r="F3" s="5314">
        <v>1</v>
      </c>
      <c r="G3" s="1278"/>
      <c r="H3" s="1278"/>
      <c r="I3" s="1278"/>
      <c r="J3" s="1278"/>
      <c r="K3" s="1278"/>
      <c r="L3" s="1279"/>
      <c r="M3" s="1280"/>
      <c r="N3" s="1280"/>
      <c r="O3" s="1280"/>
      <c r="P3" s="1248"/>
      <c r="Q3" s="276"/>
      <c r="R3" s="277"/>
      <c r="S3" s="1252"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0"/>
      <c r="AM3" s="5301"/>
      <c r="AN3" s="5301"/>
      <c r="AO3" s="5301"/>
      <c r="AP3" s="5301"/>
      <c r="AQ3" s="5301"/>
      <c r="AR3" s="5301"/>
      <c r="AS3" s="5302"/>
      <c r="AT3" s="5302"/>
      <c r="AU3" s="1176" t="s">
        <v>517</v>
      </c>
      <c r="AW3" s="425"/>
      <c r="AX3" s="425" t="str">
        <f t="shared" si="0"/>
        <v>Территория действия тарифа</v>
      </c>
      <c r="AY3" s="425"/>
      <c r="AZ3" s="425"/>
    </row>
    <row r="4" spans="1:52" ht="23.25" hidden="1" customHeight="1">
      <c r="A4" s="1278"/>
      <c r="B4" s="1278"/>
      <c r="C4" s="1278"/>
      <c r="D4" s="1278"/>
      <c r="E4" s="5315"/>
      <c r="F4" s="5315"/>
      <c r="G4" s="5314">
        <v>1</v>
      </c>
      <c r="H4" s="1278"/>
      <c r="I4" s="1278"/>
      <c r="J4" s="1278"/>
      <c r="K4" s="1278"/>
      <c r="L4" s="1279"/>
      <c r="M4" s="1280"/>
      <c r="N4" s="1280"/>
      <c r="O4" s="1280"/>
      <c r="P4" s="278"/>
      <c r="Q4" s="276"/>
      <c r="R4" s="277"/>
      <c r="S4" s="1252"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0"/>
      <c r="AM4" s="5301"/>
      <c r="AN4" s="5301"/>
      <c r="AO4" s="5301"/>
      <c r="AP4" s="5301"/>
      <c r="AQ4" s="5301"/>
      <c r="AR4" s="5301"/>
      <c r="AS4" s="5302"/>
      <c r="AT4" s="5302"/>
      <c r="AU4" s="1176" t="s">
        <v>519</v>
      </c>
      <c r="AW4" s="425"/>
      <c r="AX4" s="425" t="str">
        <f t="shared" si="0"/>
        <v xml:space="preserve">Наименование системы теплоснабжения </v>
      </c>
      <c r="AY4" s="425"/>
      <c r="AZ4" s="425"/>
    </row>
    <row r="5" spans="1:52" ht="21" hidden="1" customHeight="1">
      <c r="A5" s="1278"/>
      <c r="B5" s="1278"/>
      <c r="C5" s="1278"/>
      <c r="D5" s="1278"/>
      <c r="E5" s="5315"/>
      <c r="F5" s="5315"/>
      <c r="G5" s="5315"/>
      <c r="H5" s="5314">
        <v>1</v>
      </c>
      <c r="I5" s="1278"/>
      <c r="J5" s="1278"/>
      <c r="K5" s="1278"/>
      <c r="L5" s="1279"/>
      <c r="M5" s="1280"/>
      <c r="N5" s="1280"/>
      <c r="O5" s="1280"/>
      <c r="P5" s="278"/>
      <c r="Q5" s="276"/>
      <c r="R5" s="277"/>
      <c r="S5" s="1252"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0"/>
      <c r="AM5" s="5301"/>
      <c r="AN5" s="5301"/>
      <c r="AO5" s="5301"/>
      <c r="AP5" s="5301"/>
      <c r="AQ5" s="5301"/>
      <c r="AR5" s="5301"/>
      <c r="AS5" s="5302"/>
      <c r="AT5" s="5302"/>
      <c r="AU5" s="1176" t="s">
        <v>521</v>
      </c>
      <c r="AW5" s="425"/>
      <c r="AX5" s="425" t="str">
        <f t="shared" si="0"/>
        <v xml:space="preserve">Источник тепловой энергии  </v>
      </c>
      <c r="AY5" s="425"/>
      <c r="AZ5" s="425"/>
    </row>
    <row r="6" spans="1:52" ht="14.25" hidden="1" customHeight="1">
      <c r="A6" s="1278"/>
      <c r="B6" s="1278"/>
      <c r="C6" s="1278"/>
      <c r="D6" s="1278"/>
      <c r="E6" s="5315"/>
      <c r="F6" s="5315"/>
      <c r="G6" s="5315"/>
      <c r="H6" s="5315"/>
      <c r="I6" s="5312" t="e">
        <f>S5&amp;".1"</f>
        <v>#N/A</v>
      </c>
      <c r="J6" s="1278"/>
      <c r="K6" s="1278"/>
      <c r="L6" s="1279" t="s">
        <v>522</v>
      </c>
      <c r="M6" s="461"/>
      <c r="P6" s="5313">
        <v>1</v>
      </c>
      <c r="Q6" s="1247"/>
      <c r="R6" s="280"/>
      <c r="S6" s="948"/>
      <c r="T6" s="1298"/>
      <c r="U6" s="1299"/>
      <c r="V6" s="5341"/>
      <c r="W6" s="5342"/>
      <c r="X6" s="5342"/>
      <c r="Y6" s="5342"/>
      <c r="Z6" s="5342"/>
      <c r="AA6" s="5342"/>
      <c r="AB6" s="5342"/>
      <c r="AC6" s="5343"/>
      <c r="AD6" s="5341"/>
      <c r="AE6" s="5342"/>
      <c r="AF6" s="5342"/>
      <c r="AG6" s="5342"/>
      <c r="AH6" s="5342"/>
      <c r="AI6" s="5342"/>
      <c r="AJ6" s="5342"/>
      <c r="AK6" s="5342"/>
      <c r="AL6" s="5341"/>
      <c r="AM6" s="5342"/>
      <c r="AN6" s="5342"/>
      <c r="AO6" s="5342"/>
      <c r="AP6" s="5342"/>
      <c r="AQ6" s="5342"/>
      <c r="AR6" s="5342"/>
      <c r="AS6" s="5343"/>
      <c r="AT6" s="5343"/>
      <c r="AU6" s="1300"/>
      <c r="AW6" s="425"/>
      <c r="AX6" s="425" t="str">
        <f t="shared" si="0"/>
        <v/>
      </c>
      <c r="AY6" s="425"/>
      <c r="AZ6" s="425"/>
    </row>
    <row r="7" spans="1:52" ht="21" hidden="1" customHeight="1">
      <c r="A7" s="1278"/>
      <c r="B7" s="1278"/>
      <c r="C7" s="1278"/>
      <c r="D7" s="1278"/>
      <c r="E7" s="5315"/>
      <c r="F7" s="5315"/>
      <c r="G7" s="5315"/>
      <c r="H7" s="5315"/>
      <c r="I7" s="5335"/>
      <c r="J7" s="5312" t="e">
        <f>I6&amp;".1"</f>
        <v>#N/A</v>
      </c>
      <c r="K7" s="1278"/>
      <c r="L7" s="1279" t="s">
        <v>525</v>
      </c>
      <c r="M7" s="461"/>
      <c r="N7" s="1281"/>
      <c r="P7" s="5313"/>
      <c r="Q7" s="5313">
        <v>1</v>
      </c>
      <c r="R7" s="281"/>
      <c r="S7" s="1252" t="e">
        <f>$J7</f>
        <v>#N/A</v>
      </c>
      <c r="T7" s="204" t="s">
        <v>526</v>
      </c>
      <c r="U7" s="218"/>
      <c r="V7" s="5303"/>
      <c r="W7" s="5304"/>
      <c r="X7" s="5304"/>
      <c r="Y7" s="5304"/>
      <c r="Z7" s="5304"/>
      <c r="AA7" s="5304"/>
      <c r="AB7" s="5304"/>
      <c r="AC7" s="5305"/>
      <c r="AD7" s="5303"/>
      <c r="AE7" s="5304"/>
      <c r="AF7" s="5304"/>
      <c r="AG7" s="5304"/>
      <c r="AH7" s="5304"/>
      <c r="AI7" s="5304"/>
      <c r="AJ7" s="5304"/>
      <c r="AK7" s="5304"/>
      <c r="AL7" s="5303"/>
      <c r="AM7" s="5304"/>
      <c r="AN7" s="5304"/>
      <c r="AO7" s="5304"/>
      <c r="AP7" s="5304"/>
      <c r="AQ7" s="5304"/>
      <c r="AR7" s="5304"/>
      <c r="AS7" s="5305"/>
      <c r="AT7" s="5305"/>
      <c r="AU7" s="1176" t="s">
        <v>527</v>
      </c>
      <c r="AW7" s="425"/>
      <c r="AX7" s="425" t="str">
        <f t="shared" si="0"/>
        <v>Группа потребителей</v>
      </c>
      <c r="AY7" s="425"/>
      <c r="AZ7" s="425"/>
    </row>
    <row r="8" spans="1:52"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52" t="e">
        <f>$K8</f>
        <v>#N/A</v>
      </c>
      <c r="T8" s="1263"/>
      <c r="U8" s="218"/>
      <c r="V8" s="667"/>
      <c r="W8" s="250"/>
      <c r="X8" s="667"/>
      <c r="Y8" s="1175"/>
      <c r="Z8" s="5317"/>
      <c r="AA8" s="5161" t="s">
        <v>62</v>
      </c>
      <c r="AB8" s="5317"/>
      <c r="AC8" s="5161" t="s">
        <v>62</v>
      </c>
      <c r="AD8" s="667"/>
      <c r="AE8" s="250"/>
      <c r="AF8" s="667"/>
      <c r="AG8" s="1175"/>
      <c r="AH8" s="5317"/>
      <c r="AI8" s="5161" t="s">
        <v>62</v>
      </c>
      <c r="AJ8" s="5317"/>
      <c r="AK8" s="5161" t="s">
        <v>62</v>
      </c>
      <c r="AL8" s="2139"/>
      <c r="AM8" s="2140"/>
      <c r="AN8" s="2139"/>
      <c r="AO8" s="2141"/>
      <c r="AP8" s="5317"/>
      <c r="AQ8" s="5161" t="s">
        <v>62</v>
      </c>
      <c r="AR8" s="5317"/>
      <c r="AS8" s="5161" t="s">
        <v>62</v>
      </c>
      <c r="AT8" s="250"/>
      <c r="AU8" s="5309" t="s">
        <v>529</v>
      </c>
      <c r="AV8" s="436" t="e">
        <f ca="1">STRCHECKDATE(V9:AT9)</f>
        <v>#NAME?</v>
      </c>
      <c r="AW8" s="425"/>
      <c r="AX8" s="425" t="str">
        <f t="shared" si="0"/>
        <v/>
      </c>
      <c r="AY8" s="425"/>
      <c r="AZ8" s="425"/>
    </row>
    <row r="9" spans="1:52" ht="14.25" hidden="1" customHeight="1">
      <c r="A9" s="1278"/>
      <c r="B9" s="1278"/>
      <c r="C9" s="1278"/>
      <c r="D9" s="1278"/>
      <c r="E9" s="5315"/>
      <c r="F9" s="5315"/>
      <c r="G9" s="5315"/>
      <c r="H9" s="5315"/>
      <c r="I9" s="5335"/>
      <c r="J9" s="5335"/>
      <c r="K9" s="5312"/>
      <c r="L9" s="1279"/>
      <c r="M9" s="461"/>
      <c r="N9" s="1281"/>
      <c r="O9" s="1281"/>
      <c r="P9" s="5313"/>
      <c r="Q9" s="5313"/>
      <c r="R9" s="281"/>
      <c r="S9" s="1258"/>
      <c r="T9" s="218"/>
      <c r="U9" s="218"/>
      <c r="V9" s="250"/>
      <c r="W9" s="250"/>
      <c r="X9" s="250"/>
      <c r="Y9" s="254" t="str">
        <f>Z8&amp;"-"&amp;AB8</f>
        <v>-</v>
      </c>
      <c r="Z9" s="5318"/>
      <c r="AA9" s="5161"/>
      <c r="AB9" s="5318"/>
      <c r="AC9" s="5161"/>
      <c r="AD9" s="250"/>
      <c r="AE9" s="250"/>
      <c r="AF9" s="250"/>
      <c r="AG9" s="254" t="str">
        <f>AH8&amp;"-"&amp;AJ8</f>
        <v>-</v>
      </c>
      <c r="AH9" s="5318"/>
      <c r="AI9" s="5161"/>
      <c r="AJ9" s="5318"/>
      <c r="AK9" s="5161"/>
      <c r="AL9" s="2140"/>
      <c r="AM9" s="2140"/>
      <c r="AN9" s="2140"/>
      <c r="AO9" s="2142" t="str">
        <f>AP8&amp;"-"&amp;AR8</f>
        <v>-</v>
      </c>
      <c r="AP9" s="5318"/>
      <c r="AQ9" s="5161"/>
      <c r="AR9" s="5318"/>
      <c r="AS9" s="5161"/>
      <c r="AT9" s="250"/>
      <c r="AU9" s="5310"/>
      <c r="AW9" s="425"/>
      <c r="AX9" s="425" t="str">
        <f t="shared" si="0"/>
        <v/>
      </c>
      <c r="AY9" s="425"/>
      <c r="AZ9" s="425"/>
    </row>
    <row r="10" spans="1:52" ht="15" hidden="1" customHeight="1">
      <c r="A10" s="1278"/>
      <c r="B10" s="1278"/>
      <c r="C10" s="1278"/>
      <c r="D10" s="1278"/>
      <c r="E10" s="5315"/>
      <c r="F10" s="5315"/>
      <c r="G10" s="5315"/>
      <c r="H10" s="5315"/>
      <c r="I10" s="5335"/>
      <c r="J10" s="5312"/>
      <c r="K10" s="1278"/>
      <c r="L10" s="1279"/>
      <c r="M10" s="461"/>
      <c r="N10" s="1281"/>
      <c r="P10" s="5313"/>
      <c r="Q10" s="5313"/>
      <c r="R10" s="280"/>
      <c r="S10" s="1197"/>
      <c r="T10" s="205" t="s">
        <v>530</v>
      </c>
      <c r="U10" s="294"/>
      <c r="V10" s="294"/>
      <c r="W10" s="294"/>
      <c r="X10" s="294"/>
      <c r="Y10" s="294"/>
      <c r="Z10" s="294"/>
      <c r="AA10" s="294"/>
      <c r="AB10" s="294"/>
      <c r="AC10" s="294"/>
      <c r="AD10" s="294"/>
      <c r="AE10" s="294"/>
      <c r="AF10" s="294"/>
      <c r="AG10" s="294"/>
      <c r="AH10" s="294"/>
      <c r="AI10" s="294"/>
      <c r="AJ10" s="294"/>
      <c r="AK10" s="294"/>
      <c r="AL10" s="3997"/>
      <c r="AM10" s="3998"/>
      <c r="AN10" s="3999"/>
      <c r="AO10" s="4000"/>
      <c r="AP10" s="4001"/>
      <c r="AQ10" s="4002"/>
      <c r="AR10" s="4003"/>
      <c r="AS10" s="4004"/>
      <c r="AT10" s="249"/>
      <c r="AU10" s="5311"/>
      <c r="AW10" s="425"/>
      <c r="AX10" s="425" t="str">
        <f t="shared" si="0"/>
        <v>Добавить вид теплоносителя (параметры теплоносителя)</v>
      </c>
      <c r="AY10" s="425"/>
      <c r="AZ10" s="425"/>
    </row>
    <row r="11" spans="1:52" ht="11.25" hidden="1" customHeight="1">
      <c r="A11" s="1278"/>
      <c r="B11" s="1278"/>
      <c r="C11" s="1278"/>
      <c r="D11" s="1278"/>
      <c r="E11" s="5315"/>
      <c r="F11" s="5315"/>
      <c r="G11" s="5315"/>
      <c r="H11" s="5315"/>
      <c r="I11" s="5312"/>
      <c r="J11" s="1278"/>
      <c r="K11" s="1278"/>
      <c r="L11" s="1279"/>
      <c r="M11" s="461"/>
      <c r="P11" s="5313"/>
      <c r="Q11" s="1247"/>
      <c r="R11" s="280"/>
      <c r="S11" s="1197"/>
      <c r="T11" s="291" t="s">
        <v>531</v>
      </c>
      <c r="U11" s="294"/>
      <c r="V11" s="294"/>
      <c r="W11" s="294"/>
      <c r="X11" s="294"/>
      <c r="Y11" s="294"/>
      <c r="Z11" s="294"/>
      <c r="AA11" s="294"/>
      <c r="AB11" s="294"/>
      <c r="AC11" s="293"/>
      <c r="AD11" s="294"/>
      <c r="AE11" s="294"/>
      <c r="AF11" s="294"/>
      <c r="AG11" s="294"/>
      <c r="AH11" s="294"/>
      <c r="AI11" s="294"/>
      <c r="AJ11" s="294"/>
      <c r="AK11" s="293"/>
      <c r="AL11" s="4005"/>
      <c r="AM11" s="4006"/>
      <c r="AN11" s="4007"/>
      <c r="AO11" s="4008"/>
      <c r="AP11" s="4009"/>
      <c r="AQ11" s="4010"/>
      <c r="AR11" s="4011"/>
      <c r="AS11" s="4012"/>
      <c r="AT11" s="294"/>
      <c r="AU11" s="221"/>
      <c r="AW11" s="425"/>
      <c r="AX11" s="425" t="str">
        <f t="shared" si="0"/>
        <v>Добавить группу потребителей</v>
      </c>
      <c r="AY11" s="425"/>
      <c r="AZ11" s="425"/>
    </row>
    <row r="12" spans="1:52" ht="14.25" hidden="1" customHeight="1">
      <c r="A12" s="1278"/>
      <c r="B12" s="1278"/>
      <c r="C12" s="1278"/>
      <c r="D12" s="1278"/>
      <c r="E12" s="5315"/>
      <c r="F12" s="5315"/>
      <c r="G12" s="5315"/>
      <c r="H12" s="5314"/>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3763"/>
      <c r="AM12" s="3763"/>
      <c r="AN12" s="3763"/>
      <c r="AO12" s="3763"/>
      <c r="AP12" s="3763"/>
      <c r="AQ12" s="3763"/>
      <c r="AR12" s="3763"/>
      <c r="AS12" s="3763"/>
      <c r="AT12" s="1303"/>
      <c r="AU12" s="1304"/>
      <c r="AW12" s="425"/>
      <c r="AX12" s="425" t="str">
        <f t="shared" si="0"/>
        <v/>
      </c>
      <c r="AY12" s="425"/>
      <c r="AZ12" s="425"/>
    </row>
    <row r="13" spans="1:52" s="2167" customFormat="1" ht="14.2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168"/>
      <c r="AM13" s="2168"/>
      <c r="AN13" s="2168"/>
      <c r="AO13" s="2168"/>
      <c r="AP13" s="2168"/>
      <c r="AQ13" s="2168"/>
      <c r="AR13" s="2168"/>
      <c r="AS13" s="2168"/>
      <c r="AT13" s="1237"/>
      <c r="AU13" s="1237"/>
      <c r="AW13" s="705"/>
      <c r="AX13" s="705" t="str">
        <f t="shared" si="0"/>
        <v>Добавить источник для дифференциации</v>
      </c>
      <c r="AY13" s="705"/>
      <c r="AZ13" s="705"/>
    </row>
    <row r="14" spans="1:52" s="2167" customFormat="1" ht="14.2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169"/>
      <c r="AM14" s="2169"/>
      <c r="AN14" s="2169"/>
      <c r="AO14" s="2169"/>
      <c r="AP14" s="2169"/>
      <c r="AQ14" s="2169"/>
      <c r="AR14" s="2169"/>
      <c r="AS14" s="2169"/>
      <c r="AT14" s="1241"/>
      <c r="AU14" s="1241"/>
      <c r="AW14" s="705"/>
      <c r="AX14" s="705" t="str">
        <f t="shared" si="0"/>
        <v>Добавить централизованную систему для дифференциации</v>
      </c>
      <c r="AY14" s="705"/>
      <c r="AZ14" s="705"/>
    </row>
    <row r="15" spans="1:52" s="2167" customFormat="1" ht="14.2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2169"/>
      <c r="AM15" s="2169"/>
      <c r="AN15" s="2169"/>
      <c r="AO15" s="2169"/>
      <c r="AP15" s="2169"/>
      <c r="AQ15" s="2169"/>
      <c r="AR15" s="2169"/>
      <c r="AS15" s="2169"/>
      <c r="AT15" s="1241"/>
      <c r="AU15" s="1241"/>
      <c r="AW15" s="705"/>
      <c r="AX15" s="705" t="str">
        <f t="shared" si="0"/>
        <v>Добавить территорию для дифференциации</v>
      </c>
      <c r="AY15" s="705"/>
      <c r="AZ15" s="705"/>
    </row>
    <row r="16" spans="1:52" ht="14.25" hidden="1" customHeight="1">
      <c r="AC16" s="253"/>
      <c r="AK16" s="253"/>
      <c r="AL16" s="2138"/>
      <c r="AM16" s="2138"/>
      <c r="AN16" s="2138"/>
      <c r="AO16" s="2138"/>
      <c r="AP16" s="2138"/>
      <c r="AQ16" s="2138"/>
      <c r="AR16" s="2138"/>
      <c r="AS16" s="2138"/>
    </row>
    <row r="17" spans="1:52" ht="14.25" hidden="1" customHeight="1">
      <c r="AD17" s="1275"/>
      <c r="AE17" s="1275"/>
      <c r="AF17" s="1275"/>
      <c r="AG17" s="1276"/>
      <c r="AH17" s="5319"/>
      <c r="AI17" s="5320" t="s">
        <v>62</v>
      </c>
      <c r="AJ17" s="5319"/>
      <c r="AK17" s="5320" t="s">
        <v>62</v>
      </c>
      <c r="AL17" s="2138"/>
      <c r="AM17" s="2138"/>
      <c r="AN17" s="2138"/>
      <c r="AO17" s="2138"/>
      <c r="AP17" s="2138"/>
      <c r="AQ17" s="2138"/>
      <c r="AR17" s="2138"/>
      <c r="AS17" s="2138"/>
    </row>
    <row r="18" spans="1:52" ht="14.25" hidden="1" customHeight="1">
      <c r="AD18" s="1275"/>
      <c r="AE18" s="1275"/>
      <c r="AF18" s="1275"/>
      <c r="AG18" s="254" t="str">
        <f>AH17&amp;"-"&amp;AJ17</f>
        <v>-</v>
      </c>
      <c r="AH18" s="5320"/>
      <c r="AI18" s="5320"/>
      <c r="AJ18" s="5320"/>
      <c r="AK18" s="5320"/>
      <c r="AL18" s="2138"/>
      <c r="AM18" s="2138"/>
      <c r="AN18" s="2138"/>
      <c r="AO18" s="2138"/>
      <c r="AP18" s="2138"/>
      <c r="AQ18" s="2138"/>
      <c r="AR18" s="2138"/>
      <c r="AS18" s="2138"/>
    </row>
    <row r="19" spans="1:52" ht="14.25" hidden="1" customHeight="1">
      <c r="AK19" s="253"/>
      <c r="AL19" s="2138"/>
      <c r="AM19" s="2138"/>
      <c r="AN19" s="2138"/>
      <c r="AO19" s="2138"/>
      <c r="AP19" s="2138"/>
      <c r="AQ19" s="2138"/>
      <c r="AR19" s="2138"/>
      <c r="AS19" s="2138"/>
    </row>
    <row r="20" spans="1:52" s="1832" customFormat="1" ht="22.5" hidden="1" customHeight="1">
      <c r="L20" s="1245"/>
      <c r="M20" s="1277"/>
      <c r="N20" s="1277"/>
      <c r="O20" s="1282" t="s">
        <v>533</v>
      </c>
      <c r="P20" s="1277"/>
      <c r="Q20" s="1286"/>
      <c r="R20" s="1286"/>
      <c r="S20" s="647"/>
      <c r="Z20" s="1282"/>
      <c r="AB20" s="1282"/>
      <c r="AC20" s="1281"/>
      <c r="AH20" s="1282"/>
      <c r="AJ20" s="1282"/>
      <c r="AK20" s="1281"/>
      <c r="AL20" s="2174"/>
      <c r="AM20" s="2174"/>
      <c r="AN20" s="2174"/>
      <c r="AO20" s="2174"/>
      <c r="AP20" s="2175"/>
      <c r="AQ20" s="2174"/>
      <c r="AR20" s="2175"/>
      <c r="AS20" s="2174"/>
      <c r="AV20" s="436"/>
      <c r="AW20" s="436"/>
      <c r="AX20" s="436"/>
      <c r="AY20" s="436"/>
      <c r="AZ20" s="436"/>
    </row>
    <row r="21" spans="1:52" s="1832" customFormat="1" ht="14.25" hidden="1" customHeight="1">
      <c r="L21" s="1245"/>
      <c r="M21" s="1277"/>
      <c r="N21" s="1277"/>
      <c r="O21" s="1277"/>
      <c r="P21" s="1277"/>
      <c r="Q21" s="1286"/>
      <c r="R21" s="1286"/>
      <c r="S21" s="647"/>
      <c r="AC21" s="1281"/>
      <c r="AK21" s="1281"/>
      <c r="AL21" s="2174"/>
      <c r="AM21" s="2174"/>
      <c r="AN21" s="2174"/>
      <c r="AO21" s="2174"/>
      <c r="AP21" s="2174"/>
      <c r="AQ21" s="2174"/>
      <c r="AR21" s="2174"/>
      <c r="AS21" s="2174"/>
      <c r="AV21" s="436"/>
      <c r="AW21" s="436"/>
      <c r="AX21" s="436"/>
      <c r="AY21" s="436"/>
      <c r="AZ21" s="436"/>
    </row>
    <row r="22" spans="1:52" s="1832" customFormat="1" ht="14.2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L22" s="2174"/>
      <c r="AM22" s="2174"/>
      <c r="AN22" s="2174"/>
      <c r="AO22" s="2174"/>
      <c r="AP22" s="2174"/>
      <c r="AQ22" s="2176" t="s">
        <v>536</v>
      </c>
      <c r="AR22" s="2174"/>
      <c r="AS22" s="2176" t="s">
        <v>537</v>
      </c>
      <c r="AV22" s="436"/>
      <c r="AW22" s="436"/>
      <c r="AX22" s="436"/>
      <c r="AY22" s="436"/>
      <c r="AZ22" s="436"/>
    </row>
    <row r="23" spans="1:52" ht="14.25" hidden="1" customHeight="1">
      <c r="O23" s="1279"/>
      <c r="AL23" s="2138"/>
      <c r="AM23" s="2138"/>
      <c r="AN23" s="2138"/>
      <c r="AO23" s="2138"/>
      <c r="AP23" s="2138"/>
      <c r="AQ23" s="2138"/>
      <c r="AR23" s="2138"/>
      <c r="AS23" s="2138"/>
    </row>
    <row r="24" spans="1:52" ht="14.25" hidden="1" customHeight="1">
      <c r="O24" s="1279"/>
      <c r="AL24" s="2138"/>
      <c r="AM24" s="2138"/>
      <c r="AN24" s="2138"/>
      <c r="AO24" s="2138"/>
      <c r="AP24" s="2138"/>
      <c r="AQ24" s="2138"/>
      <c r="AR24" s="2138"/>
      <c r="AS24" s="2138"/>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138"/>
      <c r="AM25" s="2138"/>
      <c r="AN25" s="2138"/>
      <c r="AO25" s="2138"/>
      <c r="AP25" s="2138"/>
      <c r="AQ25" s="2138"/>
      <c r="AR25" s="2138"/>
      <c r="AS25" s="2138"/>
    </row>
    <row r="26" spans="1:52" ht="51.75" customHeight="1">
      <c r="Q26" s="304"/>
      <c r="R26" s="304"/>
      <c r="S26" s="525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258"/>
      <c r="U26" s="5258"/>
      <c r="V26" s="5258"/>
      <c r="W26" s="5258"/>
      <c r="X26" s="5258"/>
      <c r="Y26" s="5258"/>
      <c r="Z26" s="5258"/>
      <c r="AA26" s="5258"/>
      <c r="AB26" s="5258"/>
      <c r="AC26" s="5258"/>
      <c r="AD26" s="5258"/>
      <c r="AE26" s="5258"/>
      <c r="AF26" s="5258"/>
      <c r="AG26" s="5258"/>
      <c r="AH26" s="5258"/>
      <c r="AI26" s="5258"/>
      <c r="AJ26" s="5258"/>
      <c r="AK26" s="1151"/>
      <c r="AL26" s="4013"/>
      <c r="AM26" s="4013"/>
      <c r="AN26" s="4013"/>
      <c r="AO26" s="4013"/>
      <c r="AP26" s="4013"/>
      <c r="AQ26" s="4013"/>
      <c r="AR26" s="4013"/>
      <c r="AS26" s="4013"/>
    </row>
    <row r="27" spans="1:52"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c r="AL27" s="2178"/>
      <c r="AM27" s="2178"/>
      <c r="AN27" s="2178"/>
      <c r="AO27" s="2178"/>
      <c r="AP27" s="2178"/>
      <c r="AQ27" s="2178"/>
      <c r="AR27" s="2178"/>
      <c r="AS27" s="2178"/>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179"/>
      <c r="AM28" s="2179"/>
      <c r="AN28" s="2179"/>
      <c r="AO28" s="2179"/>
      <c r="AP28" s="2179"/>
      <c r="AQ28" s="2179"/>
      <c r="AR28" s="2179"/>
      <c r="AS28" s="2179"/>
      <c r="AT28" s="434"/>
    </row>
    <row r="29" spans="1:52"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5307" t="str">
        <f>IF(TITLE_NAME_OR_PR_CHANGE="",IF(TITLE_NAME_OR_PR="","",TITLE_NAME_OR_PR),TITLE_NAME_OR_PR_CHANGE)</f>
        <v>Комитет по тарифному регулированию Мурманской области</v>
      </c>
      <c r="AM29" s="5307"/>
      <c r="AN29" s="5307"/>
      <c r="AO29" s="5307"/>
      <c r="AP29" s="5307"/>
      <c r="AQ29" s="5307"/>
      <c r="AR29" s="5307"/>
      <c r="AS29" s="2138"/>
      <c r="AT29" s="252"/>
      <c r="AU29" s="199"/>
      <c r="AV29" s="295"/>
      <c r="AW29" s="295"/>
      <c r="AX29" s="295"/>
      <c r="AY29" s="295"/>
      <c r="AZ29" s="295"/>
    </row>
    <row r="30" spans="1:52"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5316">
        <f>IF(TITLE_DATE_PR_CHANGE="",IF(TITLE_DATE_PR="","",TITLE_DATE_PR),TITLE_DATE_PR_CHANGE)</f>
        <v>45646.340555555558</v>
      </c>
      <c r="AM30" s="5316"/>
      <c r="AN30" s="5316"/>
      <c r="AO30" s="5316"/>
      <c r="AP30" s="5316"/>
      <c r="AQ30" s="5316"/>
      <c r="AR30" s="5316"/>
      <c r="AS30" s="2138"/>
      <c r="AT30" s="252"/>
      <c r="AU30" s="199"/>
      <c r="AV30" s="295"/>
      <c r="AW30" s="295"/>
      <c r="AX30" s="295"/>
      <c r="AY30" s="295"/>
      <c r="AZ30" s="295"/>
    </row>
    <row r="31" spans="1:52"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5307" t="str">
        <f>IF(TITLE_NUMBER_PR_CHANGE="",IF(TITLE_NUMBER_PR="","",TITLE_NUMBER_PR),TITLE_NUMBER_PR_CHANGE)</f>
        <v>51/6; 51/7</v>
      </c>
      <c r="AM31" s="5307"/>
      <c r="AN31" s="5307"/>
      <c r="AO31" s="5307"/>
      <c r="AP31" s="5307"/>
      <c r="AQ31" s="5307"/>
      <c r="AR31" s="5307"/>
      <c r="AS31" s="2138"/>
      <c r="AT31" s="252"/>
      <c r="AU31" s="199"/>
      <c r="AV31" s="295"/>
      <c r="AW31" s="295"/>
      <c r="AX31" s="295"/>
      <c r="AY31" s="295"/>
      <c r="AZ31" s="295"/>
    </row>
    <row r="32" spans="1:52"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5307" t="str">
        <f>IF(TITLE_IST_PUB_CHANGE="",IF(TITLE_IST_PUB="","",TITLE_IST_PUB),TITLE_IST_PUB_CHANGE)</f>
        <v>Официальный электронный бюллетень Правительства Мурманской области</v>
      </c>
      <c r="AM32" s="5307"/>
      <c r="AN32" s="5307"/>
      <c r="AO32" s="5307"/>
      <c r="AP32" s="5307"/>
      <c r="AQ32" s="5307"/>
      <c r="AR32" s="5307"/>
      <c r="AS32" s="2138"/>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179"/>
      <c r="AM33" s="2179"/>
      <c r="AN33" s="2179"/>
      <c r="AO33" s="2179"/>
      <c r="AP33" s="2179"/>
      <c r="AQ33" s="2179"/>
      <c r="AR33" s="2179"/>
      <c r="AS33" s="2179"/>
      <c r="AT33" s="434"/>
    </row>
    <row r="34" spans="1:52"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5316">
        <f>IF(TITLE_DATE_PR_CHANGE="",IF(TITLE_DATE_PR="","",TITLE_DATE_PR),TITLE_DATE_PR_CHANGE)</f>
        <v>45646.340555555558</v>
      </c>
      <c r="AM34" s="5316"/>
      <c r="AN34" s="5316"/>
      <c r="AO34" s="5316"/>
      <c r="AP34" s="5316"/>
      <c r="AQ34" s="5316"/>
      <c r="AR34" s="5316"/>
      <c r="AS34" s="2138"/>
      <c r="AT34" s="252"/>
      <c r="AU34" s="199"/>
      <c r="AV34" s="295"/>
      <c r="AW34" s="295"/>
      <c r="AX34" s="295"/>
      <c r="AY34" s="295"/>
      <c r="AZ34" s="295"/>
    </row>
    <row r="35" spans="1:52" s="2180" customFormat="1" ht="18.7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5307" t="str">
        <f>IF(TITLE_NUMBER_PR_CHANGE="",IF(TITLE_NUMBER_PR="","",TITLE_NUMBER_PR),TITLE_NUMBER_PR_CHANGE)</f>
        <v>51/6; 51/7</v>
      </c>
      <c r="AM35" s="5307"/>
      <c r="AN35" s="5307"/>
      <c r="AO35" s="5307"/>
      <c r="AP35" s="5307"/>
      <c r="AQ35" s="5307"/>
      <c r="AR35" s="5307"/>
      <c r="AS35" s="2138"/>
      <c r="AT35" s="252"/>
      <c r="AU35" s="199"/>
      <c r="AV35" s="295"/>
      <c r="AW35" s="295"/>
      <c r="AX35" s="295"/>
      <c r="AY35" s="295"/>
      <c r="AZ35" s="295"/>
    </row>
    <row r="36" spans="1:52" s="218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543</v>
      </c>
      <c r="AD36" s="252"/>
      <c r="AE36" s="252"/>
      <c r="AF36" s="252"/>
      <c r="AG36" s="252"/>
      <c r="AH36" s="252"/>
      <c r="AI36" s="252"/>
      <c r="AJ36" s="252"/>
      <c r="AK36" s="197" t="s">
        <v>543</v>
      </c>
      <c r="AL36" s="2138"/>
      <c r="AM36" s="2138"/>
      <c r="AN36" s="2138"/>
      <c r="AO36" s="2138"/>
      <c r="AP36" s="2138"/>
      <c r="AQ36" s="2138"/>
      <c r="AR36" s="2138"/>
      <c r="AS36" s="2182" t="s">
        <v>543</v>
      </c>
      <c r="AV36" s="295"/>
      <c r="AW36" s="295"/>
      <c r="AX36" s="295"/>
      <c r="AY36" s="295"/>
      <c r="AZ36" s="295"/>
    </row>
    <row r="37" spans="1:52"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c r="AL37" s="5308" t="s">
        <v>99</v>
      </c>
      <c r="AM37" s="5308"/>
      <c r="AN37" s="5308"/>
      <c r="AO37" s="5308"/>
      <c r="AP37" s="5308"/>
      <c r="AQ37" s="5308"/>
      <c r="AR37" s="5308"/>
      <c r="AS37" s="5308"/>
    </row>
    <row r="38" spans="1:52"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t="s">
        <v>417</v>
      </c>
      <c r="AM38" s="5180"/>
      <c r="AN38" s="5180"/>
      <c r="AO38" s="5180"/>
      <c r="AP38" s="5180"/>
      <c r="AQ38" s="5180"/>
      <c r="AR38" s="5180"/>
      <c r="AS38" s="5180"/>
      <c r="AT38" s="5180"/>
      <c r="AU38" s="5180"/>
    </row>
    <row r="39" spans="1:52" ht="14.25" customHeight="1">
      <c r="Q39" s="304"/>
      <c r="R39" s="304"/>
      <c r="S39" s="5322" t="s">
        <v>83</v>
      </c>
      <c r="T39" s="5274" t="s">
        <v>544</v>
      </c>
      <c r="U39" s="219"/>
      <c r="V39" s="5323" t="s">
        <v>545</v>
      </c>
      <c r="W39" s="5324"/>
      <c r="X39" s="5324"/>
      <c r="Y39" s="5324"/>
      <c r="Z39" s="5324"/>
      <c r="AA39" s="5324"/>
      <c r="AB39" s="5325"/>
      <c r="AC39" s="5326" t="s">
        <v>546</v>
      </c>
      <c r="AD39" s="5323" t="s">
        <v>545</v>
      </c>
      <c r="AE39" s="5324"/>
      <c r="AF39" s="5324"/>
      <c r="AG39" s="5324"/>
      <c r="AH39" s="5324"/>
      <c r="AI39" s="5324"/>
      <c r="AJ39" s="5325"/>
      <c r="AK39" s="5326" t="s">
        <v>547</v>
      </c>
      <c r="AL39" s="5323" t="s">
        <v>545</v>
      </c>
      <c r="AM39" s="5324"/>
      <c r="AN39" s="5324"/>
      <c r="AO39" s="5324"/>
      <c r="AP39" s="5324"/>
      <c r="AQ39" s="5324"/>
      <c r="AR39" s="5325"/>
      <c r="AS39" s="5326" t="s">
        <v>546</v>
      </c>
      <c r="AT39" s="5329" t="s">
        <v>548</v>
      </c>
      <c r="AU39" s="5180"/>
    </row>
    <row r="40" spans="1:52" ht="33.75" customHeight="1">
      <c r="Q40" s="304"/>
      <c r="R40" s="304"/>
      <c r="S40" s="5322"/>
      <c r="T40" s="5274"/>
      <c r="U40" s="937"/>
      <c r="V40" s="5244" t="s">
        <v>549</v>
      </c>
      <c r="W40" s="5332"/>
      <c r="X40" s="5151" t="s">
        <v>551</v>
      </c>
      <c r="Y40" s="5150"/>
      <c r="Z40" s="5151" t="s">
        <v>552</v>
      </c>
      <c r="AA40" s="5156"/>
      <c r="AB40" s="5150"/>
      <c r="AC40" s="5327"/>
      <c r="AD40" s="5244" t="s">
        <v>549</v>
      </c>
      <c r="AE40" s="5332"/>
      <c r="AF40" s="5151" t="s">
        <v>551</v>
      </c>
      <c r="AG40" s="5150"/>
      <c r="AH40" s="5151" t="s">
        <v>552</v>
      </c>
      <c r="AI40" s="5156"/>
      <c r="AJ40" s="5150"/>
      <c r="AK40" s="5327"/>
      <c r="AL40" s="5244" t="s">
        <v>549</v>
      </c>
      <c r="AM40" s="5332"/>
      <c r="AN40" s="5151" t="s">
        <v>551</v>
      </c>
      <c r="AO40" s="5150"/>
      <c r="AP40" s="5151" t="s">
        <v>552</v>
      </c>
      <c r="AQ40" s="5156"/>
      <c r="AR40" s="5150"/>
      <c r="AS40" s="5327"/>
      <c r="AT40" s="5330"/>
      <c r="AU40" s="5180"/>
    </row>
    <row r="41" spans="1:52" ht="33.7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Q41" s="304"/>
      <c r="R41" s="304"/>
      <c r="S41" s="5322"/>
      <c r="T41" s="5274"/>
      <c r="U41" s="220"/>
      <c r="V41" s="5293"/>
      <c r="W41" s="5333"/>
      <c r="X41" s="1127" t="s">
        <v>560</v>
      </c>
      <c r="Y41" s="1127" t="s">
        <v>561</v>
      </c>
      <c r="Z41" s="1254" t="s">
        <v>562</v>
      </c>
      <c r="AA41" s="5282" t="s">
        <v>563</v>
      </c>
      <c r="AB41" s="5284"/>
      <c r="AC41" s="5328"/>
      <c r="AD41" s="5293"/>
      <c r="AE41" s="5333"/>
      <c r="AF41" s="1127" t="s">
        <v>560</v>
      </c>
      <c r="AG41" s="1127" t="s">
        <v>561</v>
      </c>
      <c r="AH41" s="1254" t="s">
        <v>562</v>
      </c>
      <c r="AI41" s="5282" t="s">
        <v>563</v>
      </c>
      <c r="AJ41" s="5284"/>
      <c r="AK41" s="5328"/>
      <c r="AL41" s="5293"/>
      <c r="AM41" s="5333"/>
      <c r="AN41" s="2183" t="s">
        <v>560</v>
      </c>
      <c r="AO41" s="2183" t="s">
        <v>561</v>
      </c>
      <c r="AP41" s="2183" t="s">
        <v>562</v>
      </c>
      <c r="AQ41" s="5282" t="s">
        <v>563</v>
      </c>
      <c r="AR41" s="5284"/>
      <c r="AS41" s="5328"/>
      <c r="AT41" s="5331"/>
      <c r="AU41" s="5180"/>
    </row>
    <row r="42" spans="1:52"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251">
        <f ca="1">OFFSET(V42,0,-1)+1</f>
        <v>3</v>
      </c>
      <c r="W42" s="1251"/>
      <c r="X42" s="1251">
        <f ca="1">OFFSET(X42,0,-1)+1</f>
        <v>1</v>
      </c>
      <c r="Y42" s="1251">
        <f ca="1">OFFSET(Y42,0,-1)+1</f>
        <v>2</v>
      </c>
      <c r="Z42" s="1251">
        <f ca="1">OFFSET(Z42,0,-1)+1</f>
        <v>3</v>
      </c>
      <c r="AA42" s="5321">
        <f ca="1">OFFSET(AA42,0,-1)+1</f>
        <v>4</v>
      </c>
      <c r="AB42" s="5321"/>
      <c r="AC42" s="1251">
        <f ca="1">OFFSET(AC42,0,-2)+1</f>
        <v>5</v>
      </c>
      <c r="AD42" s="1251">
        <f ca="1">OFFSET(AD42,0,-1)+1</f>
        <v>6</v>
      </c>
      <c r="AE42" s="1251"/>
      <c r="AF42" s="1251">
        <f ca="1">OFFSET(AF42,0,-1)+1</f>
        <v>1</v>
      </c>
      <c r="AG42" s="1251">
        <f ca="1">OFFSET(AG42,0,-1)+1</f>
        <v>2</v>
      </c>
      <c r="AH42" s="1251">
        <f ca="1">OFFSET(AH42,0,-1)+1</f>
        <v>3</v>
      </c>
      <c r="AI42" s="5321">
        <f ca="1">OFFSET(AI42,0,-1)+1</f>
        <v>4</v>
      </c>
      <c r="AJ42" s="5321"/>
      <c r="AK42" s="1251">
        <f ca="1">OFFSET(AK42,0,-2)+1</f>
        <v>5</v>
      </c>
      <c r="AL42" s="2185">
        <f ca="1">OFFSET(AL42,0,-1)+1</f>
        <v>6</v>
      </c>
      <c r="AM42" s="2185"/>
      <c r="AN42" s="2185">
        <f ca="1">OFFSET(AN42,0,-1)+1</f>
        <v>1</v>
      </c>
      <c r="AO42" s="2185">
        <f ca="1">OFFSET(AO42,0,-1)+1</f>
        <v>2</v>
      </c>
      <c r="AP42" s="2185">
        <f ca="1">OFFSET(AP42,0,-1)+1</f>
        <v>3</v>
      </c>
      <c r="AQ42" s="5321">
        <f ca="1">OFFSET(AQ42,0,-1)+1</f>
        <v>4</v>
      </c>
      <c r="AR42" s="5321"/>
      <c r="AS42" s="2185">
        <f ca="1">OFFSET(AS42,0,-2)+1</f>
        <v>5</v>
      </c>
      <c r="AT42" s="1153">
        <f ca="1">OFFSET(AT42,0,-1)</f>
        <v>5</v>
      </c>
      <c r="AU42" s="1251">
        <f ca="1">OFFSET(AU42,0,-1)+1</f>
        <v>6</v>
      </c>
      <c r="AV42" s="436"/>
      <c r="AW42" s="436"/>
      <c r="AX42" s="436"/>
      <c r="AY42" s="436"/>
      <c r="AZ42" s="436"/>
    </row>
    <row r="43" spans="1:52" ht="41.65" customHeight="1">
      <c r="A43" s="1278" t="s">
        <v>303</v>
      </c>
      <c r="B43" s="1278"/>
      <c r="C43" s="1278"/>
      <c r="D43" s="1278"/>
      <c r="E43" s="5314">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127</v>
      </c>
      <c r="U43" s="218"/>
      <c r="V43" s="5300"/>
      <c r="W43" s="5301"/>
      <c r="X43" s="5301"/>
      <c r="Y43" s="5301"/>
      <c r="Z43" s="5301"/>
      <c r="AA43" s="5301"/>
      <c r="AB43" s="5301"/>
      <c r="AC43" s="5302"/>
      <c r="AD43" s="5300" t="str">
        <f>INDEX(PT_DIFFERENTIATION_NTAR,MATCH(A43,PT_DIFFERENTIATION_NTAR_ID,0))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AE43" s="5301"/>
      <c r="AF43" s="5301"/>
      <c r="AG43" s="5301"/>
      <c r="AH43" s="5301"/>
      <c r="AI43" s="5301"/>
      <c r="AJ43" s="5301"/>
      <c r="AK43" s="5301"/>
      <c r="AL43" s="5300"/>
      <c r="AM43" s="5301"/>
      <c r="AN43" s="5301"/>
      <c r="AO43" s="5301"/>
      <c r="AP43" s="5301"/>
      <c r="AQ43" s="5301"/>
      <c r="AR43" s="5301"/>
      <c r="AS43" s="5302"/>
      <c r="AT43" s="5302"/>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57" si="1">IF(T43="","",T43)</f>
        <v>Наименование тарифа</v>
      </c>
      <c r="AY43" s="425"/>
      <c r="AZ43" s="425"/>
    </row>
    <row r="44" spans="1:52" ht="21" customHeight="1">
      <c r="A44" s="1278" t="s">
        <v>303</v>
      </c>
      <c r="B44" s="1278" t="s">
        <v>304</v>
      </c>
      <c r="C44" s="1278"/>
      <c r="D44" s="1278"/>
      <c r="E44" s="5315"/>
      <c r="F44" s="5314">
        <v>1</v>
      </c>
      <c r="G44" s="1278"/>
      <c r="H44" s="1278"/>
      <c r="I44" s="1278"/>
      <c r="J44" s="1278"/>
      <c r="K44" s="1278"/>
      <c r="L44" s="1279"/>
      <c r="M44" s="1280"/>
      <c r="N44" s="1280"/>
      <c r="O44" s="1280"/>
      <c r="P44" s="1248"/>
      <c r="Q44" s="276"/>
      <c r="R44" s="277"/>
      <c r="S44" s="1252" t="str">
        <f>INDEX(PT_DIFFERENTIATION_NUM_TER,MATCH(B44,PT_DIFFERENTIATION_TER_ID,0))</f>
        <v>1.1</v>
      </c>
      <c r="T44" s="228" t="s">
        <v>516</v>
      </c>
      <c r="U44" s="218"/>
      <c r="V44" s="5300"/>
      <c r="W44" s="5301"/>
      <c r="X44" s="5301"/>
      <c r="Y44" s="5301"/>
      <c r="Z44" s="5301"/>
      <c r="AA44" s="5301"/>
      <c r="AB44" s="5301"/>
      <c r="AC44" s="5302"/>
      <c r="AD44" s="5300" t="str">
        <f>INDEX(PT_DIFFERENTIATION_TER,MATCH(B44,PT_DIFFERENTIATION_TER_ID,0))</f>
        <v>Территория 1</v>
      </c>
      <c r="AE44" s="5301"/>
      <c r="AF44" s="5301"/>
      <c r="AG44" s="5301"/>
      <c r="AH44" s="5301"/>
      <c r="AI44" s="5301"/>
      <c r="AJ44" s="5301"/>
      <c r="AK44" s="5301"/>
      <c r="AL44" s="5300"/>
      <c r="AM44" s="5301"/>
      <c r="AN44" s="5301"/>
      <c r="AO44" s="5301"/>
      <c r="AP44" s="5301"/>
      <c r="AQ44" s="5301"/>
      <c r="AR44" s="5301"/>
      <c r="AS44" s="5302"/>
      <c r="AT44" s="5302"/>
      <c r="AU44" s="1176" t="s">
        <v>517</v>
      </c>
      <c r="AW44" s="425"/>
      <c r="AX44" s="425" t="str">
        <f t="shared" si="1"/>
        <v>Территория действия тарифа</v>
      </c>
      <c r="AY44" s="425"/>
      <c r="AZ44" s="425"/>
    </row>
    <row r="45" spans="1:52" ht="23.25" customHeight="1">
      <c r="A45" s="1278" t="s">
        <v>303</v>
      </c>
      <c r="B45" s="1278" t="s">
        <v>304</v>
      </c>
      <c r="C45" s="1278" t="s">
        <v>305</v>
      </c>
      <c r="D45" s="1278"/>
      <c r="E45" s="5315"/>
      <c r="F45" s="5315"/>
      <c r="G45" s="5314">
        <v>1</v>
      </c>
      <c r="H45" s="1278"/>
      <c r="I45" s="1278"/>
      <c r="J45" s="1278"/>
      <c r="K45" s="1278"/>
      <c r="L45" s="1279"/>
      <c r="M45" s="1280"/>
      <c r="N45" s="1280"/>
      <c r="O45" s="1280"/>
      <c r="P45" s="278"/>
      <c r="Q45" s="276"/>
      <c r="R45" s="277"/>
      <c r="S45" s="1252" t="str">
        <f>INDEX(PT_DIFFERENTIATION_NUM_CS,MATCH(C45,PT_DIFFERENTIATION_CS_ID,0))</f>
        <v>1.1.1</v>
      </c>
      <c r="T45" s="229" t="s">
        <v>518</v>
      </c>
      <c r="U45" s="218"/>
      <c r="V45" s="5300"/>
      <c r="W45" s="5301"/>
      <c r="X45" s="5301"/>
      <c r="Y45" s="5301"/>
      <c r="Z45" s="5301"/>
      <c r="AA45" s="5301"/>
      <c r="AB45" s="5301"/>
      <c r="AC45" s="5302"/>
      <c r="AD45" s="5300" t="str">
        <f>INDEX(PT_DIFFERENTIATION_CS,MATCH(C45,PT_DIFFERENTIATION_CS_ID,0))</f>
        <v xml:space="preserve">открытая система теплоснабжения г. Апатиты
</v>
      </c>
      <c r="AE45" s="5301"/>
      <c r="AF45" s="5301"/>
      <c r="AG45" s="5301"/>
      <c r="AH45" s="5301"/>
      <c r="AI45" s="5301"/>
      <c r="AJ45" s="5301"/>
      <c r="AK45" s="5301"/>
      <c r="AL45" s="5300"/>
      <c r="AM45" s="5301"/>
      <c r="AN45" s="5301"/>
      <c r="AO45" s="5301"/>
      <c r="AP45" s="5301"/>
      <c r="AQ45" s="5301"/>
      <c r="AR45" s="5301"/>
      <c r="AS45" s="5302"/>
      <c r="AT45" s="5302"/>
      <c r="AU45" s="1176" t="s">
        <v>519</v>
      </c>
      <c r="AW45" s="425"/>
      <c r="AX45" s="425" t="str">
        <f t="shared" si="1"/>
        <v xml:space="preserve">Наименование системы теплоснабжения </v>
      </c>
      <c r="AY45" s="425"/>
      <c r="AZ45" s="425"/>
    </row>
    <row r="46" spans="1:52" ht="21" customHeight="1">
      <c r="A46" s="1278" t="s">
        <v>303</v>
      </c>
      <c r="B46" s="1278" t="s">
        <v>304</v>
      </c>
      <c r="C46" s="1278" t="s">
        <v>305</v>
      </c>
      <c r="D46" s="1278" t="s">
        <v>306</v>
      </c>
      <c r="E46" s="5315"/>
      <c r="F46" s="5315"/>
      <c r="G46" s="5315"/>
      <c r="H46" s="5314">
        <v>1</v>
      </c>
      <c r="I46" s="1278"/>
      <c r="J46" s="1278"/>
      <c r="K46" s="1278"/>
      <c r="L46" s="1279"/>
      <c r="M46" s="1280"/>
      <c r="N46" s="1280"/>
      <c r="O46" s="1280"/>
      <c r="P46" s="278"/>
      <c r="Q46" s="276"/>
      <c r="R46" s="277"/>
      <c r="S46" s="1252" t="str">
        <f>INDEX(PT_DIFFERENTIATION_NUM_IST_TE,MATCH(D46,PT_DIFFERENTIATION_IST_TE_ID,0))</f>
        <v>1.1.1.1</v>
      </c>
      <c r="T46" s="230" t="s">
        <v>520</v>
      </c>
      <c r="U46" s="218"/>
      <c r="V46" s="5300"/>
      <c r="W46" s="5301"/>
      <c r="X46" s="5301"/>
      <c r="Y46" s="5301"/>
      <c r="Z46" s="5301"/>
      <c r="AA46" s="5301"/>
      <c r="AB46" s="5301"/>
      <c r="AC46" s="5302"/>
      <c r="AD46" s="5300" t="str">
        <f>INDEX(PT_DIFFERENTIATION_IST_TE,MATCH(D46,PT_DIFFERENTIATION_IST_TE_ID,0))</f>
        <v>Апатитская ТЭЦ</v>
      </c>
      <c r="AE46" s="5301"/>
      <c r="AF46" s="5301"/>
      <c r="AG46" s="5301"/>
      <c r="AH46" s="5301"/>
      <c r="AI46" s="5301"/>
      <c r="AJ46" s="5301"/>
      <c r="AK46" s="5301"/>
      <c r="AL46" s="5300"/>
      <c r="AM46" s="5301"/>
      <c r="AN46" s="5301"/>
      <c r="AO46" s="5301"/>
      <c r="AP46" s="5301"/>
      <c r="AQ46" s="5301"/>
      <c r="AR46" s="5301"/>
      <c r="AS46" s="5302"/>
      <c r="AT46" s="5302"/>
      <c r="AU46" s="1176" t="s">
        <v>521</v>
      </c>
      <c r="AW46" s="425"/>
      <c r="AX46" s="425" t="str">
        <f t="shared" si="1"/>
        <v xml:space="preserve">Источник тепловой энергии  </v>
      </c>
      <c r="AY46" s="425"/>
      <c r="AZ46" s="425"/>
    </row>
    <row r="47" spans="1:52" s="1819" customFormat="1" ht="0" hidden="1" customHeight="1">
      <c r="A47" s="1259" t="s">
        <v>303</v>
      </c>
      <c r="B47" s="1259" t="s">
        <v>304</v>
      </c>
      <c r="C47" s="1259" t="s">
        <v>305</v>
      </c>
      <c r="D47" s="1259" t="s">
        <v>306</v>
      </c>
      <c r="E47" s="5315"/>
      <c r="F47" s="5315"/>
      <c r="G47" s="5315"/>
      <c r="H47" s="5315"/>
      <c r="I47" s="5312" t="str">
        <f>S46&amp;".1"</f>
        <v>1.1.1.1.1</v>
      </c>
      <c r="J47" s="1259"/>
      <c r="K47" s="1259"/>
      <c r="L47" s="1262" t="s">
        <v>522</v>
      </c>
      <c r="M47" s="435"/>
      <c r="N47" s="435"/>
      <c r="O47" s="435"/>
      <c r="P47" s="5313">
        <v>1</v>
      </c>
      <c r="Q47" s="1247"/>
      <c r="R47" s="280"/>
      <c r="S47" s="948"/>
      <c r="T47" s="1298"/>
      <c r="U47" s="1299"/>
      <c r="V47" s="5341"/>
      <c r="W47" s="5342"/>
      <c r="X47" s="5342"/>
      <c r="Y47" s="5342"/>
      <c r="Z47" s="5342"/>
      <c r="AA47" s="5342"/>
      <c r="AB47" s="5342"/>
      <c r="AC47" s="5343"/>
      <c r="AD47" s="5341"/>
      <c r="AE47" s="5342"/>
      <c r="AF47" s="5342"/>
      <c r="AG47" s="5342"/>
      <c r="AH47" s="5342"/>
      <c r="AI47" s="5342"/>
      <c r="AJ47" s="5342"/>
      <c r="AK47" s="5342"/>
      <c r="AL47" s="5341"/>
      <c r="AM47" s="5342"/>
      <c r="AN47" s="5342"/>
      <c r="AO47" s="5342"/>
      <c r="AP47" s="5342"/>
      <c r="AQ47" s="5342"/>
      <c r="AR47" s="5342"/>
      <c r="AS47" s="5343"/>
      <c r="AT47" s="5343"/>
      <c r="AU47" s="1300"/>
      <c r="AW47" s="425"/>
      <c r="AX47" s="425" t="str">
        <f t="shared" si="1"/>
        <v/>
      </c>
      <c r="AY47" s="425"/>
      <c r="AZ47" s="425"/>
    </row>
    <row r="48" spans="1:52" ht="21" customHeight="1">
      <c r="A48" s="1278" t="s">
        <v>303</v>
      </c>
      <c r="B48" s="1278" t="s">
        <v>304</v>
      </c>
      <c r="C48" s="1278" t="s">
        <v>305</v>
      </c>
      <c r="D48" s="1278" t="s">
        <v>306</v>
      </c>
      <c r="E48" s="5315"/>
      <c r="F48" s="5315"/>
      <c r="G48" s="5315"/>
      <c r="H48" s="5315"/>
      <c r="I48" s="5335"/>
      <c r="J48" s="5312" t="str">
        <f>S46&amp;".1"</f>
        <v>1.1.1.1.1</v>
      </c>
      <c r="K48" s="1278"/>
      <c r="L48" s="1279" t="s">
        <v>525</v>
      </c>
      <c r="P48" s="5313"/>
      <c r="Q48" s="5313">
        <v>1</v>
      </c>
      <c r="R48" s="281"/>
      <c r="S48" s="1252" t="str">
        <f>$J48</f>
        <v>1.1.1.1.1</v>
      </c>
      <c r="T48" s="204" t="s">
        <v>526</v>
      </c>
      <c r="U48" s="218"/>
      <c r="V48" s="5303"/>
      <c r="W48" s="5304"/>
      <c r="X48" s="5304"/>
      <c r="Y48" s="5304"/>
      <c r="Z48" s="5304"/>
      <c r="AA48" s="5304"/>
      <c r="AB48" s="5304"/>
      <c r="AC48" s="5305"/>
      <c r="AD48" s="5303" t="s">
        <v>565</v>
      </c>
      <c r="AE48" s="5304"/>
      <c r="AF48" s="5304"/>
      <c r="AG48" s="5304"/>
      <c r="AH48" s="5304"/>
      <c r="AI48" s="5304"/>
      <c r="AJ48" s="5304"/>
      <c r="AK48" s="5304"/>
      <c r="AL48" s="5303"/>
      <c r="AM48" s="5304"/>
      <c r="AN48" s="5304"/>
      <c r="AO48" s="5304"/>
      <c r="AP48" s="5304"/>
      <c r="AQ48" s="5304"/>
      <c r="AR48" s="5304"/>
      <c r="AS48" s="5305"/>
      <c r="AT48" s="5305"/>
      <c r="AU48" s="1176" t="s">
        <v>527</v>
      </c>
      <c r="AW48" s="425"/>
      <c r="AX48" s="425" t="str">
        <f t="shared" si="1"/>
        <v>Группа потребителей</v>
      </c>
      <c r="AY48" s="425"/>
      <c r="AZ48" s="425"/>
    </row>
    <row r="49" spans="1:52" ht="21" customHeight="1">
      <c r="A49" s="1278" t="s">
        <v>303</v>
      </c>
      <c r="B49" s="1278" t="s">
        <v>304</v>
      </c>
      <c r="C49" s="1278" t="s">
        <v>305</v>
      </c>
      <c r="D49" s="1278" t="s">
        <v>306</v>
      </c>
      <c r="E49" s="5315"/>
      <c r="F49" s="5315"/>
      <c r="G49" s="5315"/>
      <c r="H49" s="5315"/>
      <c r="I49" s="5335"/>
      <c r="J49" s="5335"/>
      <c r="K49" s="5312" t="str">
        <f>J48&amp;".1"</f>
        <v>1.1.1.1.1.1</v>
      </c>
      <c r="L49" s="1279" t="s">
        <v>528</v>
      </c>
      <c r="P49" s="5313"/>
      <c r="Q49" s="5313"/>
      <c r="R49" s="281">
        <v>1</v>
      </c>
      <c r="S49" s="1252" t="str">
        <f>$K49</f>
        <v>1.1.1.1.1.1</v>
      </c>
      <c r="T49" s="1263" t="s">
        <v>566</v>
      </c>
      <c r="U49" s="218"/>
      <c r="V49" s="667"/>
      <c r="W49" s="250"/>
      <c r="X49" s="667"/>
      <c r="Y49" s="1175"/>
      <c r="Z49" s="5317"/>
      <c r="AA49" s="5161" t="s">
        <v>62</v>
      </c>
      <c r="AB49" s="5317"/>
      <c r="AC49" s="5161" t="s">
        <v>62</v>
      </c>
      <c r="AD49" s="667">
        <v>161.84</v>
      </c>
      <c r="AE49" s="250"/>
      <c r="AF49" s="667"/>
      <c r="AG49" s="1175"/>
      <c r="AH49" s="5317">
        <v>45658.468645833331</v>
      </c>
      <c r="AI49" s="5161" t="s">
        <v>62</v>
      </c>
      <c r="AJ49" s="5336">
        <v>45838.469247685185</v>
      </c>
      <c r="AK49" s="5161" t="s">
        <v>62</v>
      </c>
      <c r="AL49" s="2139">
        <v>179.81</v>
      </c>
      <c r="AM49" s="2140"/>
      <c r="AN49" s="2139"/>
      <c r="AO49" s="2141"/>
      <c r="AP49" s="5317">
        <v>45658.469490740739</v>
      </c>
      <c r="AQ49" s="5161" t="s">
        <v>62</v>
      </c>
      <c r="AR49" s="5317">
        <v>46022.469548611109</v>
      </c>
      <c r="AS49" s="5161" t="s">
        <v>62</v>
      </c>
      <c r="AT49" s="1264"/>
      <c r="AU49" s="5309" t="s">
        <v>571</v>
      </c>
      <c r="AV49" s="436" t="e">
        <f ca="1">STRCHECKDATE(V50:AT50)</f>
        <v>#NAME?</v>
      </c>
      <c r="AW49" s="425"/>
      <c r="AX49" s="425" t="str">
        <f t="shared" si="1"/>
        <v>вода</v>
      </c>
      <c r="AY49" s="425"/>
      <c r="AZ49" s="425"/>
    </row>
    <row r="50" spans="1:52" ht="0.75" customHeight="1">
      <c r="A50" s="1278" t="s">
        <v>303</v>
      </c>
      <c r="B50" s="1278" t="s">
        <v>304</v>
      </c>
      <c r="C50" s="1278" t="s">
        <v>305</v>
      </c>
      <c r="D50" s="1278" t="s">
        <v>306</v>
      </c>
      <c r="E50" s="5315"/>
      <c r="F50" s="5315"/>
      <c r="G50" s="5315"/>
      <c r="H50" s="5315"/>
      <c r="I50" s="5335"/>
      <c r="J50" s="5335"/>
      <c r="K50" s="5312"/>
      <c r="L50" s="1279"/>
      <c r="P50" s="5313"/>
      <c r="Q50" s="5313"/>
      <c r="R50" s="281"/>
      <c r="S50" s="1258"/>
      <c r="T50" s="218"/>
      <c r="U50" s="218"/>
      <c r="V50" s="250"/>
      <c r="W50" s="250"/>
      <c r="X50" s="250"/>
      <c r="Y50" s="254" t="str">
        <f>Z49&amp;"-"&amp;AB49</f>
        <v>-</v>
      </c>
      <c r="Z50" s="5318"/>
      <c r="AA50" s="5161"/>
      <c r="AB50" s="5318"/>
      <c r="AC50" s="5161"/>
      <c r="AD50" s="250"/>
      <c r="AE50" s="250"/>
      <c r="AF50" s="250"/>
      <c r="AG50" s="254" t="str">
        <f>AH49&amp;"-"&amp;AJ49</f>
        <v>45658,4686458333-45838,4692476852</v>
      </c>
      <c r="AH50" s="5318"/>
      <c r="AI50" s="5161"/>
      <c r="AJ50" s="5337"/>
      <c r="AK50" s="5161"/>
      <c r="AL50" s="2140"/>
      <c r="AM50" s="2140"/>
      <c r="AN50" s="2140"/>
      <c r="AO50" s="2142" t="str">
        <f>AP49&amp;"-"&amp;AR49</f>
        <v>45658,4694907407-46022,4695486111</v>
      </c>
      <c r="AP50" s="5318"/>
      <c r="AQ50" s="5161"/>
      <c r="AR50" s="5318"/>
      <c r="AS50" s="5161"/>
      <c r="AT50" s="1265"/>
      <c r="AU50" s="5310"/>
      <c r="AW50" s="425"/>
      <c r="AX50" s="425" t="str">
        <f t="shared" si="1"/>
        <v/>
      </c>
      <c r="AY50" s="425"/>
      <c r="AZ50" s="425"/>
    </row>
    <row r="51" spans="1:52" ht="11.25" customHeight="1">
      <c r="A51" s="1278" t="s">
        <v>303</v>
      </c>
      <c r="B51" s="1278" t="s">
        <v>304</v>
      </c>
      <c r="C51" s="1278" t="s">
        <v>305</v>
      </c>
      <c r="D51" s="1278" t="s">
        <v>306</v>
      </c>
      <c r="E51" s="5315"/>
      <c r="F51" s="5315"/>
      <c r="G51" s="5315"/>
      <c r="H51" s="5315"/>
      <c r="I51" s="5335"/>
      <c r="J51" s="5312"/>
      <c r="K51" s="1278"/>
      <c r="L51" s="1279"/>
      <c r="P51" s="5313"/>
      <c r="Q51" s="5313"/>
      <c r="R51" s="280"/>
      <c r="S51" s="1197"/>
      <c r="T51" s="205" t="s">
        <v>530</v>
      </c>
      <c r="U51" s="294"/>
      <c r="V51" s="294"/>
      <c r="W51" s="294"/>
      <c r="X51" s="294"/>
      <c r="Y51" s="294"/>
      <c r="Z51" s="294"/>
      <c r="AA51" s="294"/>
      <c r="AB51" s="294"/>
      <c r="AC51" s="294"/>
      <c r="AD51" s="294"/>
      <c r="AE51" s="294"/>
      <c r="AF51" s="294"/>
      <c r="AG51" s="294"/>
      <c r="AH51" s="294"/>
      <c r="AI51" s="294"/>
      <c r="AJ51" s="294"/>
      <c r="AK51" s="294"/>
      <c r="AL51" s="4014"/>
      <c r="AM51" s="4015"/>
      <c r="AN51" s="4016"/>
      <c r="AO51" s="4017"/>
      <c r="AP51" s="4018"/>
      <c r="AQ51" s="4019"/>
      <c r="AR51" s="4020"/>
      <c r="AS51" s="4021"/>
      <c r="AT51" s="249"/>
      <c r="AU51" s="5311"/>
      <c r="AW51" s="425"/>
      <c r="AX51" s="425" t="str">
        <f t="shared" si="1"/>
        <v>Добавить вид теплоносителя (параметры теплоносителя)</v>
      </c>
      <c r="AY51" s="425"/>
      <c r="AZ51" s="425"/>
    </row>
    <row r="52" spans="1:52" ht="11.25" customHeight="1">
      <c r="A52" s="1278" t="s">
        <v>303</v>
      </c>
      <c r="B52" s="1278" t="s">
        <v>304</v>
      </c>
      <c r="C52" s="1278" t="s">
        <v>305</v>
      </c>
      <c r="D52" s="1278" t="s">
        <v>306</v>
      </c>
      <c r="E52" s="5315"/>
      <c r="F52" s="5315"/>
      <c r="G52" s="5315"/>
      <c r="H52" s="5315"/>
      <c r="I52" s="5312"/>
      <c r="J52" s="1278"/>
      <c r="K52" s="1278"/>
      <c r="L52" s="1279"/>
      <c r="P52" s="5313"/>
      <c r="Q52" s="1247"/>
      <c r="R52" s="280"/>
      <c r="S52" s="1197"/>
      <c r="T52" s="291" t="s">
        <v>531</v>
      </c>
      <c r="U52" s="294"/>
      <c r="V52" s="294"/>
      <c r="W52" s="294"/>
      <c r="X52" s="294"/>
      <c r="Y52" s="294"/>
      <c r="Z52" s="294"/>
      <c r="AA52" s="294"/>
      <c r="AB52" s="294"/>
      <c r="AC52" s="293"/>
      <c r="AD52" s="294"/>
      <c r="AE52" s="294"/>
      <c r="AF52" s="294"/>
      <c r="AG52" s="294"/>
      <c r="AH52" s="294"/>
      <c r="AI52" s="294"/>
      <c r="AJ52" s="294"/>
      <c r="AK52" s="293"/>
      <c r="AL52" s="4022"/>
      <c r="AM52" s="4023"/>
      <c r="AN52" s="4024"/>
      <c r="AO52" s="4025"/>
      <c r="AP52" s="4026"/>
      <c r="AQ52" s="4027"/>
      <c r="AR52" s="4028"/>
      <c r="AS52" s="4029"/>
      <c r="AT52" s="294"/>
      <c r="AU52" s="221"/>
      <c r="AW52" s="425"/>
      <c r="AX52" s="425" t="str">
        <f t="shared" si="1"/>
        <v>Добавить группу потребителей</v>
      </c>
      <c r="AY52" s="425"/>
      <c r="AZ52" s="425"/>
    </row>
    <row r="53" spans="1:52" ht="0" hidden="1" customHeight="1">
      <c r="A53" s="1278" t="s">
        <v>303</v>
      </c>
      <c r="B53" s="1278" t="s">
        <v>304</v>
      </c>
      <c r="C53" s="1278" t="s">
        <v>305</v>
      </c>
      <c r="D53" s="1278" t="s">
        <v>306</v>
      </c>
      <c r="E53" s="5315"/>
      <c r="F53" s="5315"/>
      <c r="G53" s="5315"/>
      <c r="H53" s="5314"/>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3763"/>
      <c r="AM53" s="3763"/>
      <c r="AN53" s="3763"/>
      <c r="AO53" s="3763"/>
      <c r="AP53" s="3763"/>
      <c r="AQ53" s="3763"/>
      <c r="AR53" s="3763"/>
      <c r="AS53" s="3763"/>
      <c r="AT53" s="1303"/>
      <c r="AU53" s="1304"/>
      <c r="AW53" s="425"/>
      <c r="AX53" s="425" t="str">
        <f t="shared" si="1"/>
        <v/>
      </c>
      <c r="AY53" s="425"/>
      <c r="AZ53" s="425"/>
    </row>
    <row r="54" spans="1:52" s="2167" customFormat="1" ht="0.75" customHeight="1">
      <c r="A54" s="1259" t="s">
        <v>303</v>
      </c>
      <c r="B54" s="1259" t="s">
        <v>304</v>
      </c>
      <c r="C54" s="1259" t="s">
        <v>305</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169"/>
      <c r="AM54" s="2169"/>
      <c r="AN54" s="2169"/>
      <c r="AO54" s="2169"/>
      <c r="AP54" s="2169"/>
      <c r="AQ54" s="2169"/>
      <c r="AR54" s="2169"/>
      <c r="AS54" s="2169"/>
      <c r="AT54" s="1241"/>
      <c r="AU54" s="1241"/>
      <c r="AW54" s="705"/>
      <c r="AX54" s="705" t="str">
        <f t="shared" si="1"/>
        <v>Добавить источник для дифференциации</v>
      </c>
      <c r="AY54" s="705"/>
      <c r="AZ54" s="705"/>
    </row>
    <row r="55" spans="1:52" s="2167" customFormat="1" ht="0.75" customHeight="1">
      <c r="A55" s="1259" t="s">
        <v>303</v>
      </c>
      <c r="B55" s="1259" t="s">
        <v>304</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169"/>
      <c r="AM55" s="2169"/>
      <c r="AN55" s="2169"/>
      <c r="AO55" s="2169"/>
      <c r="AP55" s="2169"/>
      <c r="AQ55" s="2169"/>
      <c r="AR55" s="2169"/>
      <c r="AS55" s="2169"/>
      <c r="AT55" s="1241"/>
      <c r="AU55" s="1241"/>
      <c r="AW55" s="705"/>
      <c r="AX55" s="705" t="str">
        <f t="shared" si="1"/>
        <v>Добавить централизованную систему для дифференциации</v>
      </c>
      <c r="AY55" s="705"/>
      <c r="AZ55" s="705"/>
    </row>
    <row r="56" spans="1:52" s="1819" customFormat="1" ht="0.75" customHeight="1">
      <c r="A56" s="1259" t="s">
        <v>303</v>
      </c>
      <c r="B56" s="1259"/>
      <c r="C56" s="1259"/>
      <c r="D56" s="1259"/>
      <c r="E56" s="5314"/>
      <c r="F56" s="1259"/>
      <c r="G56" s="1259"/>
      <c r="H56" s="1259"/>
      <c r="I56" s="1259"/>
      <c r="J56" s="1259"/>
      <c r="K56" s="1259"/>
      <c r="L56" s="1262"/>
      <c r="M56" s="1238"/>
      <c r="N56" s="1238"/>
      <c r="O56" s="443"/>
      <c r="P56" s="312"/>
      <c r="Q56" s="1260"/>
      <c r="R56" s="312"/>
      <c r="S56" s="1239"/>
      <c r="T56" s="1242" t="s">
        <v>174</v>
      </c>
      <c r="U56" s="1241"/>
      <c r="V56" s="1241"/>
      <c r="W56" s="1241"/>
      <c r="X56" s="1241"/>
      <c r="Y56" s="1241"/>
      <c r="Z56" s="1241"/>
      <c r="AA56" s="1241"/>
      <c r="AB56" s="1241"/>
      <c r="AC56" s="1241"/>
      <c r="AD56" s="1241"/>
      <c r="AE56" s="1241"/>
      <c r="AF56" s="1241"/>
      <c r="AG56" s="1241"/>
      <c r="AH56" s="1241"/>
      <c r="AI56" s="1241"/>
      <c r="AJ56" s="1241"/>
      <c r="AK56" s="1241"/>
      <c r="AL56" s="2169"/>
      <c r="AM56" s="2169"/>
      <c r="AN56" s="2169"/>
      <c r="AO56" s="2169"/>
      <c r="AP56" s="2169"/>
      <c r="AQ56" s="2169"/>
      <c r="AR56" s="2169"/>
      <c r="AS56" s="2169"/>
      <c r="AT56" s="1241"/>
      <c r="AU56" s="1241"/>
      <c r="AW56" s="425"/>
      <c r="AX56" s="425" t="str">
        <f t="shared" si="1"/>
        <v>Добавить территорию для дифференциации</v>
      </c>
      <c r="AY56" s="425"/>
      <c r="AZ56" s="425"/>
    </row>
    <row r="57" spans="1:52" s="2167"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215</v>
      </c>
      <c r="U57" s="1241"/>
      <c r="V57" s="1241"/>
      <c r="W57" s="1241"/>
      <c r="X57" s="1241"/>
      <c r="Y57" s="1241"/>
      <c r="Z57" s="1241"/>
      <c r="AA57" s="1241"/>
      <c r="AB57" s="1241"/>
      <c r="AC57" s="1241"/>
      <c r="AD57" s="1241"/>
      <c r="AE57" s="1241"/>
      <c r="AF57" s="1241"/>
      <c r="AG57" s="1241"/>
      <c r="AH57" s="1241"/>
      <c r="AI57" s="1241"/>
      <c r="AJ57" s="1241"/>
      <c r="AK57" s="1241"/>
      <c r="AL57" s="2169"/>
      <c r="AM57" s="2169"/>
      <c r="AN57" s="2169"/>
      <c r="AO57" s="2169"/>
      <c r="AP57" s="2169"/>
      <c r="AQ57" s="2169"/>
      <c r="AR57" s="2169"/>
      <c r="AS57" s="2169"/>
      <c r="AT57" s="1241"/>
      <c r="AU57" s="1241"/>
      <c r="AW57" s="705"/>
      <c r="AX57" s="705" t="str">
        <f t="shared" si="1"/>
        <v>Добавить наименование тарифа</v>
      </c>
      <c r="AY57" s="705"/>
      <c r="AZ57" s="705"/>
    </row>
    <row r="58" spans="1:52" ht="11.25" customHeight="1">
      <c r="M58" s="1059"/>
      <c r="N58" s="1059"/>
      <c r="O58" s="461"/>
      <c r="P58" s="1054"/>
      <c r="Q58" s="1054"/>
      <c r="R58" s="1054"/>
      <c r="S58" s="1054"/>
      <c r="AL58" s="2138"/>
      <c r="AM58" s="2138"/>
      <c r="AN58" s="2138"/>
      <c r="AO58" s="2138"/>
      <c r="AP58" s="2138"/>
      <c r="AQ58" s="2138"/>
      <c r="AR58" s="2138"/>
      <c r="AS58" s="2138"/>
      <c r="AV58" s="1054"/>
      <c r="AW58" s="1054"/>
      <c r="AX58" s="1054"/>
      <c r="AY58" s="1054"/>
      <c r="AZ58" s="1054"/>
    </row>
    <row r="59" spans="1:52" ht="21.75" customHeight="1">
      <c r="O59" s="461"/>
      <c r="S59" s="1163"/>
      <c r="T59" s="5334"/>
      <c r="U59" s="5334"/>
      <c r="V59" s="5334"/>
      <c r="W59" s="5334"/>
      <c r="X59" s="5334"/>
      <c r="Y59" s="5334"/>
      <c r="Z59" s="5334"/>
      <c r="AA59" s="5334"/>
      <c r="AB59" s="5334"/>
      <c r="AC59" s="5334"/>
      <c r="AD59" s="5334"/>
      <c r="AE59" s="5334"/>
      <c r="AF59" s="5334"/>
      <c r="AG59" s="5334"/>
      <c r="AH59" s="5334"/>
      <c r="AI59" s="5334"/>
      <c r="AJ59" s="5334"/>
      <c r="AK59" s="5334"/>
      <c r="AL59" s="5334"/>
      <c r="AM59" s="5334"/>
      <c r="AN59" s="5334"/>
      <c r="AO59" s="5334"/>
      <c r="AP59" s="5334"/>
      <c r="AQ59" s="5334"/>
      <c r="AR59" s="5334"/>
      <c r="AS59" s="5334"/>
      <c r="AT59" s="5334"/>
      <c r="AU59" s="5334"/>
    </row>
    <row r="60" spans="1:52" ht="29.25" customHeight="1">
      <c r="O60" s="461"/>
      <c r="T60" s="5334"/>
      <c r="U60" s="5334"/>
      <c r="V60" s="5334"/>
      <c r="W60" s="5334"/>
      <c r="X60" s="5334"/>
      <c r="Y60" s="5334"/>
      <c r="Z60" s="5334"/>
      <c r="AA60" s="5334"/>
      <c r="AB60" s="5334"/>
      <c r="AC60" s="5334"/>
      <c r="AD60" s="5334"/>
      <c r="AE60" s="5334"/>
      <c r="AF60" s="5334"/>
      <c r="AG60" s="5334"/>
      <c r="AH60" s="5334"/>
      <c r="AI60" s="5334"/>
      <c r="AJ60" s="5334"/>
      <c r="AK60" s="5334"/>
      <c r="AL60" s="5334"/>
      <c r="AM60" s="5334"/>
      <c r="AN60" s="5334"/>
      <c r="AO60" s="5334"/>
      <c r="AP60" s="5334"/>
      <c r="AQ60" s="5334"/>
      <c r="AR60" s="5334"/>
      <c r="AS60" s="5334"/>
      <c r="AT60" s="5334"/>
      <c r="AU60" s="5334"/>
    </row>
    <row r="61" spans="1:52" ht="39.75" customHeight="1">
      <c r="O61" s="461"/>
      <c r="T61" s="5334"/>
      <c r="U61" s="5334"/>
      <c r="V61" s="5334"/>
      <c r="W61" s="5334"/>
      <c r="X61" s="5334"/>
      <c r="Y61" s="5334"/>
      <c r="Z61" s="5334"/>
      <c r="AA61" s="5334"/>
      <c r="AB61" s="5334"/>
      <c r="AC61" s="5334"/>
      <c r="AD61" s="5334"/>
      <c r="AE61" s="5334"/>
      <c r="AF61" s="5334"/>
      <c r="AG61" s="5334"/>
      <c r="AH61" s="5334"/>
      <c r="AI61" s="5334"/>
      <c r="AJ61" s="5334"/>
      <c r="AK61" s="5334"/>
      <c r="AL61" s="5334"/>
      <c r="AM61" s="5334"/>
      <c r="AN61" s="5334"/>
      <c r="AO61" s="5334"/>
      <c r="AP61" s="5334"/>
      <c r="AQ61" s="5334"/>
      <c r="AR61" s="5334"/>
      <c r="AS61" s="5334"/>
      <c r="AT61" s="5334"/>
      <c r="AU61" s="5334"/>
    </row>
    <row r="62" spans="1:52" ht="14.25" customHeight="1">
      <c r="O62" s="461"/>
      <c r="AL62" s="2138"/>
      <c r="AM62" s="2138"/>
      <c r="AN62" s="2138"/>
      <c r="AO62" s="2138"/>
      <c r="AP62" s="2138"/>
      <c r="AQ62" s="2138"/>
      <c r="AR62" s="2138"/>
      <c r="AS62" s="2138"/>
    </row>
    <row r="63" spans="1:52" ht="19.5" customHeight="1">
      <c r="O63" s="461"/>
      <c r="S63" s="1163"/>
      <c r="T63" s="5233"/>
      <c r="U63" s="5334"/>
      <c r="V63" s="5334"/>
      <c r="W63" s="5334"/>
      <c r="X63" s="5334"/>
      <c r="Y63" s="5334"/>
      <c r="Z63" s="5334"/>
      <c r="AA63" s="5334"/>
      <c r="AB63" s="5334"/>
      <c r="AC63" s="5334"/>
      <c r="AD63" s="5334"/>
      <c r="AE63" s="5334"/>
      <c r="AF63" s="5334"/>
      <c r="AG63" s="5334"/>
      <c r="AH63" s="5334"/>
      <c r="AI63" s="5334"/>
      <c r="AJ63" s="5334"/>
      <c r="AK63" s="5334"/>
      <c r="AL63" s="5334"/>
      <c r="AM63" s="5334"/>
      <c r="AN63" s="5334"/>
      <c r="AO63" s="5334"/>
      <c r="AP63" s="5334"/>
      <c r="AQ63" s="5334"/>
      <c r="AR63" s="5334"/>
      <c r="AS63" s="5334"/>
      <c r="AT63" s="5334"/>
      <c r="AU63" s="5334"/>
    </row>
    <row r="64" spans="1:52" ht="27.75" customHeight="1">
      <c r="O64" s="461"/>
      <c r="T64" s="5334"/>
      <c r="U64" s="5334"/>
      <c r="V64" s="5334"/>
      <c r="W64" s="5334"/>
      <c r="X64" s="5334"/>
      <c r="Y64" s="5334"/>
      <c r="Z64" s="5334"/>
      <c r="AA64" s="5334"/>
      <c r="AB64" s="5334"/>
      <c r="AC64" s="5334"/>
      <c r="AD64" s="5334"/>
      <c r="AE64" s="5334"/>
      <c r="AF64" s="5334"/>
      <c r="AG64" s="5334"/>
      <c r="AH64" s="5334"/>
      <c r="AI64" s="5334"/>
      <c r="AJ64" s="5334"/>
      <c r="AK64" s="5334"/>
      <c r="AL64" s="5334"/>
      <c r="AM64" s="5334"/>
      <c r="AN64" s="5334"/>
      <c r="AO64" s="5334"/>
      <c r="AP64" s="5334"/>
      <c r="AQ64" s="5334"/>
      <c r="AR64" s="5334"/>
      <c r="AS64" s="5334"/>
      <c r="AT64" s="5334"/>
      <c r="AU64" s="5334"/>
    </row>
    <row r="65" spans="20:47" ht="33.75" customHeight="1">
      <c r="T65" s="5334"/>
      <c r="U65" s="5334"/>
      <c r="V65" s="5334"/>
      <c r="W65" s="5334"/>
      <c r="X65" s="5334"/>
      <c r="Y65" s="5334"/>
      <c r="Z65" s="5334"/>
      <c r="AA65" s="5334"/>
      <c r="AB65" s="5334"/>
      <c r="AC65" s="5334"/>
      <c r="AD65" s="5334"/>
      <c r="AE65" s="5334"/>
      <c r="AF65" s="5334"/>
      <c r="AG65" s="5334"/>
      <c r="AH65" s="5334"/>
      <c r="AI65" s="5334"/>
      <c r="AJ65" s="5334"/>
      <c r="AK65" s="5334"/>
      <c r="AL65" s="5334"/>
      <c r="AM65" s="5334"/>
      <c r="AN65" s="5334"/>
      <c r="AO65" s="5334"/>
      <c r="AP65" s="5334"/>
      <c r="AQ65" s="5334"/>
      <c r="AR65" s="5334"/>
      <c r="AS65" s="5334"/>
      <c r="AT65" s="5334"/>
      <c r="AU65" s="5334"/>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81" hidden="1" customWidth="1"/>
    <col min="17" max="18" width="3.7109375" style="3147" customWidth="1"/>
    <col min="19" max="19" width="12.7109375" style="3148" customWidth="1"/>
    <col min="20" max="20" width="32" style="2112" customWidth="1"/>
    <col min="21" max="21" width="0.140625" style="2112" customWidth="1"/>
    <col min="22" max="22" width="24.7109375" style="2112" hidden="1" customWidth="1"/>
    <col min="23" max="23" width="0.140625" style="2112" hidden="1" customWidth="1"/>
    <col min="24" max="25" width="24.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0" width="24.7109375" style="2112" customWidth="1"/>
    <col min="31" max="31" width="0.140625" style="2112" customWidth="1"/>
    <col min="32" max="33" width="24.7109375" style="2112" customWidth="1"/>
    <col min="34" max="34" width="11.7109375" style="2112" customWidth="1"/>
    <col min="35" max="35" width="3.7109375" style="2112" customWidth="1"/>
    <col min="36" max="36" width="11.7109375" style="2112" customWidth="1"/>
    <col min="37" max="37" width="8.5703125" style="2112" hidden="1" customWidth="1"/>
    <col min="38" max="38" width="4.7109375" style="2112" customWidth="1"/>
    <col min="39" max="39" width="115.7109375" style="2112" customWidth="1"/>
    <col min="40" max="41" width="10.5703125" style="1819"/>
    <col min="42" max="42" width="11.140625" style="1819" customWidth="1"/>
    <col min="43" max="44" width="10.5703125" style="1819"/>
  </cols>
  <sheetData>
    <row r="1" spans="1:44" ht="14.25" hidden="1" customHeight="1">
      <c r="Y1" s="253"/>
      <c r="Z1" s="253"/>
      <c r="AG1" s="253"/>
      <c r="AH1" s="253"/>
    </row>
    <row r="2" spans="1:44" ht="21" hidden="1" customHeight="1">
      <c r="A2" s="1278"/>
      <c r="B2" s="1278"/>
      <c r="C2" s="1278"/>
      <c r="D2" s="1278"/>
      <c r="E2" s="5314">
        <v>1</v>
      </c>
      <c r="F2" s="1278"/>
      <c r="G2" s="1278"/>
      <c r="H2" s="1278"/>
      <c r="I2" s="1278"/>
      <c r="J2" s="1278"/>
      <c r="K2" s="1278"/>
      <c r="L2" s="1279"/>
      <c r="M2" s="1280"/>
      <c r="N2" s="1280"/>
      <c r="O2" s="1280"/>
      <c r="P2" s="285"/>
      <c r="Q2" s="284"/>
      <c r="R2" s="279"/>
      <c r="S2" s="1252" t="e">
        <f>INDEX(PT_DIFFERENTIATION_NUM_NTAR,MATCH(A2,PT_DIFFERENTIATION_NTAR_ID,0))</f>
        <v>#N/A</v>
      </c>
      <c r="T2" s="216" t="s">
        <v>127</v>
      </c>
      <c r="U2" s="218"/>
      <c r="V2" s="5300"/>
      <c r="W2" s="5301"/>
      <c r="X2" s="5301"/>
      <c r="Y2" s="5301"/>
      <c r="Z2" s="5301"/>
      <c r="AA2" s="5301"/>
      <c r="AB2" s="5301"/>
      <c r="AC2" s="5302"/>
      <c r="AD2" s="5300" t="e">
        <f>INDEX(PT_DIFFERENTIATION_NTAR,MATCH(A2,PT_DIFFERENTIATION_NTAR_ID,0))</f>
        <v>#N/A</v>
      </c>
      <c r="AE2" s="5301"/>
      <c r="AF2" s="5301"/>
      <c r="AG2" s="5301"/>
      <c r="AH2" s="5301"/>
      <c r="AI2" s="5301"/>
      <c r="AJ2" s="5301"/>
      <c r="AK2" s="5301"/>
      <c r="AL2" s="5302"/>
      <c r="AM2" s="1176" t="s">
        <v>515</v>
      </c>
      <c r="AO2" s="425"/>
      <c r="AP2" s="425" t="str">
        <f t="shared" ref="AP2:AP15" si="0">IF(T2="","",T2)</f>
        <v>Наименование тарифа</v>
      </c>
      <c r="AQ2" s="425"/>
      <c r="AR2" s="425"/>
    </row>
    <row r="3" spans="1:44" ht="21" hidden="1" customHeight="1">
      <c r="A3" s="1278"/>
      <c r="B3" s="1278"/>
      <c r="C3" s="1278"/>
      <c r="D3" s="1278"/>
      <c r="E3" s="5315"/>
      <c r="F3" s="5314">
        <v>1</v>
      </c>
      <c r="G3" s="1278"/>
      <c r="H3" s="1278"/>
      <c r="I3" s="1278"/>
      <c r="J3" s="1278"/>
      <c r="K3" s="1278"/>
      <c r="L3" s="1279"/>
      <c r="M3" s="1280"/>
      <c r="N3" s="1280"/>
      <c r="O3" s="1280"/>
      <c r="P3" s="1248"/>
      <c r="Q3" s="276"/>
      <c r="R3" s="277"/>
      <c r="S3" s="1252" t="e">
        <f>INDEX(PT_DIFFERENTIATION_NUM_TER,MATCH(B3,PT_DIFFERENTIATION_TER_ID,0))</f>
        <v>#N/A</v>
      </c>
      <c r="T3" s="228" t="s">
        <v>516</v>
      </c>
      <c r="U3" s="218"/>
      <c r="V3" s="5300"/>
      <c r="W3" s="5301"/>
      <c r="X3" s="5301"/>
      <c r="Y3" s="5301"/>
      <c r="Z3" s="5301"/>
      <c r="AA3" s="5301"/>
      <c r="AB3" s="5301"/>
      <c r="AC3" s="5302"/>
      <c r="AD3" s="5300" t="e">
        <f>INDEX(PT_DIFFERENTIATION_TER,MATCH(B3,PT_DIFFERENTIATION_TER_ID,0))</f>
        <v>#N/A</v>
      </c>
      <c r="AE3" s="5301"/>
      <c r="AF3" s="5301"/>
      <c r="AG3" s="5301"/>
      <c r="AH3" s="5301"/>
      <c r="AI3" s="5301"/>
      <c r="AJ3" s="5301"/>
      <c r="AK3" s="5301"/>
      <c r="AL3" s="5302"/>
      <c r="AM3" s="1176" t="s">
        <v>517</v>
      </c>
      <c r="AO3" s="425"/>
      <c r="AP3" s="425" t="str">
        <f t="shared" si="0"/>
        <v>Территория действия тарифа</v>
      </c>
      <c r="AQ3" s="425"/>
      <c r="AR3" s="425"/>
    </row>
    <row r="4" spans="1:44" ht="23.25" hidden="1" customHeight="1">
      <c r="A4" s="1278"/>
      <c r="B4" s="1278"/>
      <c r="C4" s="1278"/>
      <c r="D4" s="1278"/>
      <c r="E4" s="5315"/>
      <c r="F4" s="5315"/>
      <c r="G4" s="5314">
        <v>1</v>
      </c>
      <c r="H4" s="1278"/>
      <c r="I4" s="1278"/>
      <c r="J4" s="1278"/>
      <c r="K4" s="1278"/>
      <c r="L4" s="1279"/>
      <c r="M4" s="1280"/>
      <c r="N4" s="1280"/>
      <c r="O4" s="1280"/>
      <c r="P4" s="278"/>
      <c r="Q4" s="276"/>
      <c r="R4" s="277"/>
      <c r="S4" s="1252" t="e">
        <f>INDEX(PT_DIFFERENTIATION_NUM_CS,MATCH(C4,PT_DIFFERENTIATION_CS_ID,0))</f>
        <v>#N/A</v>
      </c>
      <c r="T4" s="229" t="s">
        <v>518</v>
      </c>
      <c r="U4" s="218"/>
      <c r="V4" s="5300"/>
      <c r="W4" s="5301"/>
      <c r="X4" s="5301"/>
      <c r="Y4" s="5301"/>
      <c r="Z4" s="5301"/>
      <c r="AA4" s="5301"/>
      <c r="AB4" s="5301"/>
      <c r="AC4" s="5302"/>
      <c r="AD4" s="5300" t="e">
        <f>INDEX(PT_DIFFERENTIATION_CS,MATCH(C4,PT_DIFFERENTIATION_CS_ID,0))</f>
        <v>#N/A</v>
      </c>
      <c r="AE4" s="5301"/>
      <c r="AF4" s="5301"/>
      <c r="AG4" s="5301"/>
      <c r="AH4" s="5301"/>
      <c r="AI4" s="5301"/>
      <c r="AJ4" s="5301"/>
      <c r="AK4" s="5301"/>
      <c r="AL4" s="5302"/>
      <c r="AM4" s="1176" t="s">
        <v>519</v>
      </c>
      <c r="AO4" s="425"/>
      <c r="AP4" s="425" t="str">
        <f t="shared" si="0"/>
        <v xml:space="preserve">Наименование системы теплоснабжения </v>
      </c>
      <c r="AQ4" s="425"/>
      <c r="AR4" s="425"/>
    </row>
    <row r="5" spans="1:44" ht="21" hidden="1" customHeight="1">
      <c r="A5" s="1278"/>
      <c r="B5" s="1278"/>
      <c r="C5" s="1278"/>
      <c r="D5" s="1278"/>
      <c r="E5" s="5315"/>
      <c r="F5" s="5315"/>
      <c r="G5" s="5315"/>
      <c r="H5" s="5314">
        <v>1</v>
      </c>
      <c r="I5" s="1278"/>
      <c r="J5" s="1278"/>
      <c r="K5" s="1278"/>
      <c r="L5" s="1279"/>
      <c r="M5" s="1280"/>
      <c r="N5" s="1280"/>
      <c r="O5" s="1280"/>
      <c r="P5" s="278"/>
      <c r="Q5" s="276"/>
      <c r="R5" s="277"/>
      <c r="S5" s="1252" t="e">
        <f>INDEX(PT_DIFFERENTIATION_NUM_IST_TE,MATCH(D5,PT_DIFFERENTIATION_IST_TE_ID,0))</f>
        <v>#N/A</v>
      </c>
      <c r="T5" s="230" t="s">
        <v>520</v>
      </c>
      <c r="U5" s="218"/>
      <c r="V5" s="5300"/>
      <c r="W5" s="5301"/>
      <c r="X5" s="5301"/>
      <c r="Y5" s="5301"/>
      <c r="Z5" s="5301"/>
      <c r="AA5" s="5301"/>
      <c r="AB5" s="5301"/>
      <c r="AC5" s="5302"/>
      <c r="AD5" s="5300" t="e">
        <f>INDEX(PT_DIFFERENTIATION_IST_TE,MATCH(D5,PT_DIFFERENTIATION_IST_TE_ID,0))</f>
        <v>#N/A</v>
      </c>
      <c r="AE5" s="5301"/>
      <c r="AF5" s="5301"/>
      <c r="AG5" s="5301"/>
      <c r="AH5" s="5301"/>
      <c r="AI5" s="5301"/>
      <c r="AJ5" s="5301"/>
      <c r="AK5" s="5301"/>
      <c r="AL5" s="5302"/>
      <c r="AM5" s="1176" t="s">
        <v>521</v>
      </c>
      <c r="AO5" s="425"/>
      <c r="AP5" s="425" t="str">
        <f t="shared" si="0"/>
        <v xml:space="preserve">Источник тепловой энергии  </v>
      </c>
      <c r="AQ5" s="425"/>
      <c r="AR5" s="425"/>
    </row>
    <row r="6" spans="1:44" ht="14.25" hidden="1" customHeight="1">
      <c r="A6" s="1278"/>
      <c r="B6" s="1278"/>
      <c r="C6" s="1278"/>
      <c r="D6" s="1278"/>
      <c r="E6" s="5315"/>
      <c r="F6" s="5315"/>
      <c r="G6" s="5315"/>
      <c r="H6" s="5315"/>
      <c r="I6" s="5312" t="e">
        <f>S5&amp;".1"</f>
        <v>#N/A</v>
      </c>
      <c r="J6" s="1278"/>
      <c r="K6" s="1278"/>
      <c r="L6" s="1279" t="s">
        <v>522</v>
      </c>
      <c r="M6" s="461"/>
      <c r="P6" s="5313">
        <v>1</v>
      </c>
      <c r="Q6" s="1247"/>
      <c r="R6" s="280"/>
      <c r="S6" s="948"/>
      <c r="T6" s="1298"/>
      <c r="U6" s="1299"/>
      <c r="V6" s="5341"/>
      <c r="W6" s="5342"/>
      <c r="X6" s="5342"/>
      <c r="Y6" s="5342"/>
      <c r="Z6" s="5342"/>
      <c r="AA6" s="5342"/>
      <c r="AB6" s="5342"/>
      <c r="AC6" s="5343"/>
      <c r="AD6" s="5341"/>
      <c r="AE6" s="5342"/>
      <c r="AF6" s="5342"/>
      <c r="AG6" s="5342"/>
      <c r="AH6" s="5342"/>
      <c r="AI6" s="5342"/>
      <c r="AJ6" s="5342"/>
      <c r="AK6" s="5342"/>
      <c r="AL6" s="5343"/>
      <c r="AM6" s="1300"/>
      <c r="AO6" s="425"/>
      <c r="AP6" s="425" t="str">
        <f t="shared" si="0"/>
        <v/>
      </c>
      <c r="AQ6" s="425"/>
      <c r="AR6" s="425"/>
    </row>
    <row r="7" spans="1:44" ht="21" hidden="1" customHeight="1">
      <c r="A7" s="1278"/>
      <c r="B7" s="1278"/>
      <c r="C7" s="1278"/>
      <c r="D7" s="1278"/>
      <c r="E7" s="5315"/>
      <c r="F7" s="5315"/>
      <c r="G7" s="5315"/>
      <c r="H7" s="5315"/>
      <c r="I7" s="5335"/>
      <c r="J7" s="5312" t="e">
        <f>I6&amp;".1"</f>
        <v>#N/A</v>
      </c>
      <c r="K7" s="1278"/>
      <c r="L7" s="1279" t="s">
        <v>525</v>
      </c>
      <c r="M7" s="461"/>
      <c r="N7" s="1281"/>
      <c r="P7" s="5313"/>
      <c r="Q7" s="5313">
        <v>1</v>
      </c>
      <c r="R7" s="281"/>
      <c r="S7" s="1252" t="e">
        <f>$J7</f>
        <v>#N/A</v>
      </c>
      <c r="T7" s="204" t="s">
        <v>526</v>
      </c>
      <c r="U7" s="218"/>
      <c r="V7" s="5303"/>
      <c r="W7" s="5304"/>
      <c r="X7" s="5304"/>
      <c r="Y7" s="5304"/>
      <c r="Z7" s="5304"/>
      <c r="AA7" s="5304"/>
      <c r="AB7" s="5304"/>
      <c r="AC7" s="5305"/>
      <c r="AD7" s="5303"/>
      <c r="AE7" s="5304"/>
      <c r="AF7" s="5304"/>
      <c r="AG7" s="5304"/>
      <c r="AH7" s="5304"/>
      <c r="AI7" s="5304"/>
      <c r="AJ7" s="5304"/>
      <c r="AK7" s="5304"/>
      <c r="AL7" s="5305"/>
      <c r="AM7" s="1176" t="s">
        <v>527</v>
      </c>
      <c r="AO7" s="425"/>
      <c r="AP7" s="425" t="str">
        <f t="shared" si="0"/>
        <v>Группа потребителей</v>
      </c>
      <c r="AQ7" s="425"/>
      <c r="AR7" s="425"/>
    </row>
    <row r="8" spans="1:44" ht="21" hidden="1" customHeight="1">
      <c r="A8" s="1278"/>
      <c r="B8" s="1278"/>
      <c r="C8" s="1278"/>
      <c r="D8" s="1278"/>
      <c r="E8" s="5315"/>
      <c r="F8" s="5315"/>
      <c r="G8" s="5315"/>
      <c r="H8" s="5315"/>
      <c r="I8" s="5335"/>
      <c r="J8" s="5335"/>
      <c r="K8" s="5312" t="e">
        <f>J7&amp;".1"</f>
        <v>#N/A</v>
      </c>
      <c r="L8" s="1279" t="s">
        <v>528</v>
      </c>
      <c r="M8" s="461"/>
      <c r="N8" s="1281"/>
      <c r="O8" s="1281"/>
      <c r="P8" s="5313"/>
      <c r="Q8" s="5313"/>
      <c r="R8" s="281">
        <v>1</v>
      </c>
      <c r="S8" s="1252" t="e">
        <f>$K8</f>
        <v>#N/A</v>
      </c>
      <c r="T8" s="1263"/>
      <c r="U8" s="218"/>
      <c r="V8" s="667"/>
      <c r="W8" s="250"/>
      <c r="X8" s="667"/>
      <c r="Y8" s="1175"/>
      <c r="Z8" s="5317"/>
      <c r="AA8" s="5161" t="s">
        <v>62</v>
      </c>
      <c r="AB8" s="5317"/>
      <c r="AC8" s="5161" t="s">
        <v>62</v>
      </c>
      <c r="AD8" s="667"/>
      <c r="AE8" s="250"/>
      <c r="AF8" s="667"/>
      <c r="AG8" s="1175"/>
      <c r="AH8" s="5317"/>
      <c r="AI8" s="5161" t="s">
        <v>62</v>
      </c>
      <c r="AJ8" s="5317"/>
      <c r="AK8" s="5161" t="s">
        <v>62</v>
      </c>
      <c r="AL8" s="250"/>
      <c r="AM8" s="5309" t="s">
        <v>529</v>
      </c>
      <c r="AN8" s="436" t="e">
        <f ca="1">STRCHECKDATE(V9:AL9)</f>
        <v>#NAME?</v>
      </c>
      <c r="AO8" s="425"/>
      <c r="AP8" s="425" t="str">
        <f t="shared" si="0"/>
        <v/>
      </c>
      <c r="AQ8" s="425"/>
      <c r="AR8" s="425"/>
    </row>
    <row r="9" spans="1:44" ht="14.25" hidden="1" customHeight="1">
      <c r="A9" s="1278"/>
      <c r="B9" s="1278"/>
      <c r="C9" s="1278"/>
      <c r="D9" s="1278"/>
      <c r="E9" s="5315"/>
      <c r="F9" s="5315"/>
      <c r="G9" s="5315"/>
      <c r="H9" s="5315"/>
      <c r="I9" s="5335"/>
      <c r="J9" s="5335"/>
      <c r="K9" s="5312"/>
      <c r="L9" s="1279"/>
      <c r="M9" s="461"/>
      <c r="N9" s="1281"/>
      <c r="O9" s="1281"/>
      <c r="P9" s="5313"/>
      <c r="Q9" s="5313"/>
      <c r="R9" s="281"/>
      <c r="S9" s="1258"/>
      <c r="T9" s="218"/>
      <c r="U9" s="218"/>
      <c r="V9" s="250"/>
      <c r="W9" s="250"/>
      <c r="X9" s="250"/>
      <c r="Y9" s="254" t="str">
        <f>Z8&amp;"-"&amp;AB8</f>
        <v>-</v>
      </c>
      <c r="Z9" s="5318"/>
      <c r="AA9" s="5161"/>
      <c r="AB9" s="5318"/>
      <c r="AC9" s="5161"/>
      <c r="AD9" s="250"/>
      <c r="AE9" s="250"/>
      <c r="AF9" s="250"/>
      <c r="AG9" s="254" t="str">
        <f>AH8&amp;"-"&amp;AJ8</f>
        <v>-</v>
      </c>
      <c r="AH9" s="5318"/>
      <c r="AI9" s="5161"/>
      <c r="AJ9" s="5318"/>
      <c r="AK9" s="5161"/>
      <c r="AL9" s="250"/>
      <c r="AM9" s="5310"/>
      <c r="AO9" s="425"/>
      <c r="AP9" s="425" t="str">
        <f t="shared" si="0"/>
        <v/>
      </c>
      <c r="AQ9" s="425"/>
      <c r="AR9" s="425"/>
    </row>
    <row r="10" spans="1:44" ht="15" hidden="1" customHeight="1">
      <c r="A10" s="1278"/>
      <c r="B10" s="1278"/>
      <c r="C10" s="1278"/>
      <c r="D10" s="1278"/>
      <c r="E10" s="5315"/>
      <c r="F10" s="5315"/>
      <c r="G10" s="5315"/>
      <c r="H10" s="5315"/>
      <c r="I10" s="5335"/>
      <c r="J10" s="5312"/>
      <c r="K10" s="1278"/>
      <c r="L10" s="1279"/>
      <c r="M10" s="461"/>
      <c r="N10" s="1281"/>
      <c r="P10" s="5313"/>
      <c r="Q10" s="5313"/>
      <c r="R10" s="280"/>
      <c r="S10" s="1197"/>
      <c r="T10" s="205" t="s">
        <v>530</v>
      </c>
      <c r="U10" s="294"/>
      <c r="V10" s="294"/>
      <c r="W10" s="294"/>
      <c r="X10" s="294"/>
      <c r="Y10" s="294"/>
      <c r="Z10" s="294"/>
      <c r="AA10" s="294"/>
      <c r="AB10" s="294"/>
      <c r="AC10" s="294"/>
      <c r="AD10" s="294"/>
      <c r="AE10" s="294"/>
      <c r="AF10" s="294"/>
      <c r="AG10" s="294"/>
      <c r="AH10" s="294"/>
      <c r="AI10" s="294"/>
      <c r="AJ10" s="294"/>
      <c r="AK10" s="294"/>
      <c r="AL10" s="249"/>
      <c r="AM10" s="5311"/>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5315"/>
      <c r="F11" s="5315"/>
      <c r="G11" s="5315"/>
      <c r="H11" s="5315"/>
      <c r="I11" s="5312"/>
      <c r="J11" s="1278"/>
      <c r="K11" s="1278"/>
      <c r="L11" s="1279"/>
      <c r="M11" s="461"/>
      <c r="P11" s="5313"/>
      <c r="Q11" s="1247"/>
      <c r="R11" s="280"/>
      <c r="S11" s="1197"/>
      <c r="T11" s="291" t="s">
        <v>531</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5315"/>
      <c r="F12" s="5315"/>
      <c r="G12" s="5315"/>
      <c r="H12" s="5314"/>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2167" customFormat="1" ht="14.25" hidden="1" customHeight="1">
      <c r="A13" s="1231"/>
      <c r="B13" s="1231"/>
      <c r="C13" s="1231"/>
      <c r="D13" s="1231"/>
      <c r="E13" s="5315"/>
      <c r="F13" s="5315"/>
      <c r="G13" s="5314"/>
      <c r="H13" s="1231"/>
      <c r="I13" s="1231"/>
      <c r="J13" s="1231"/>
      <c r="K13" s="1231"/>
      <c r="L13" s="1255"/>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167" customFormat="1" ht="14.25" hidden="1" customHeight="1">
      <c r="A14" s="1231"/>
      <c r="B14" s="1231"/>
      <c r="C14" s="1231"/>
      <c r="D14" s="1231"/>
      <c r="E14" s="5315"/>
      <c r="F14" s="5314"/>
      <c r="G14" s="1231"/>
      <c r="H14" s="1231"/>
      <c r="I14" s="1231"/>
      <c r="J14" s="1231"/>
      <c r="K14" s="1231"/>
      <c r="L14" s="1255"/>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167" customFormat="1" ht="14.25" hidden="1" customHeight="1">
      <c r="A15" s="1231"/>
      <c r="B15" s="1231"/>
      <c r="C15" s="1231"/>
      <c r="D15" s="1231"/>
      <c r="E15" s="5314"/>
      <c r="F15" s="1231"/>
      <c r="G15" s="1231"/>
      <c r="H15" s="1231"/>
      <c r="I15" s="1231"/>
      <c r="J15" s="1231"/>
      <c r="K15" s="1231"/>
      <c r="L15" s="1255"/>
      <c r="M15" s="1238"/>
      <c r="N15" s="1238"/>
      <c r="P15" s="1233"/>
      <c r="Q15" s="1234"/>
      <c r="R15" s="1233"/>
      <c r="S15" s="1239"/>
      <c r="T15" s="1242" t="s">
        <v>174</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5319"/>
      <c r="AI17" s="5320" t="s">
        <v>62</v>
      </c>
      <c r="AJ17" s="5319"/>
      <c r="AK17" s="5320" t="s">
        <v>62</v>
      </c>
    </row>
    <row r="18" spans="1:44" ht="14.25" hidden="1" customHeight="1">
      <c r="AD18" s="1275"/>
      <c r="AE18" s="1275"/>
      <c r="AF18" s="1275"/>
      <c r="AG18" s="254" t="str">
        <f>AH17&amp;"-"&amp;AJ17</f>
        <v>-</v>
      </c>
      <c r="AH18" s="5320"/>
      <c r="AI18" s="5320"/>
      <c r="AJ18" s="5320"/>
      <c r="AK18" s="5320"/>
    </row>
    <row r="19" spans="1:44" ht="14.25" hidden="1" customHeight="1">
      <c r="AK19" s="253"/>
    </row>
    <row r="20" spans="1:44" s="1832" customFormat="1" ht="22.5" hidden="1" customHeight="1">
      <c r="L20" s="1245"/>
      <c r="M20" s="1277"/>
      <c r="N20" s="1277"/>
      <c r="O20" s="1282" t="s">
        <v>533</v>
      </c>
      <c r="P20" s="1277"/>
      <c r="Q20" s="1286"/>
      <c r="R20" s="1286"/>
      <c r="S20" s="647"/>
      <c r="Z20" s="1282"/>
      <c r="AB20" s="1282"/>
      <c r="AC20" s="1281"/>
      <c r="AH20" s="1282"/>
      <c r="AJ20" s="1282"/>
      <c r="AK20" s="1281"/>
      <c r="AN20" s="436"/>
      <c r="AO20" s="436"/>
      <c r="AP20" s="436"/>
      <c r="AQ20" s="436"/>
      <c r="AR20" s="436"/>
    </row>
    <row r="21" spans="1:44" s="1832" customFormat="1" ht="14.25" hidden="1" customHeight="1">
      <c r="L21" s="1245"/>
      <c r="M21" s="1277"/>
      <c r="N21" s="1277"/>
      <c r="O21" s="1277"/>
      <c r="P21" s="1277"/>
      <c r="Q21" s="1286"/>
      <c r="R21" s="1286"/>
      <c r="S21" s="647"/>
      <c r="AC21" s="1281"/>
      <c r="AK21" s="1281"/>
      <c r="AN21" s="436"/>
      <c r="AO21" s="436"/>
      <c r="AP21" s="436"/>
      <c r="AQ21" s="436"/>
      <c r="AR21" s="436"/>
    </row>
    <row r="22" spans="1:44" s="1832" customFormat="1" ht="14.25" hidden="1" customHeight="1">
      <c r="L22" s="1245"/>
      <c r="M22" s="1277"/>
      <c r="N22" s="1277"/>
      <c r="O22" s="1279" t="s">
        <v>534</v>
      </c>
      <c r="P22" s="1277"/>
      <c r="Q22" s="1286"/>
      <c r="R22" s="1286"/>
      <c r="S22" s="647"/>
      <c r="T22" s="1059" t="s">
        <v>535</v>
      </c>
      <c r="AA22" s="107" t="s">
        <v>536</v>
      </c>
      <c r="AC22" s="107" t="s">
        <v>537</v>
      </c>
      <c r="AD22" s="1059" t="s">
        <v>535</v>
      </c>
      <c r="AI22" s="107" t="s">
        <v>538</v>
      </c>
      <c r="AK22" s="107" t="s">
        <v>537</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5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298"/>
      <c r="U26" s="5298"/>
      <c r="V26" s="5298"/>
      <c r="W26" s="5298"/>
      <c r="X26" s="5298"/>
      <c r="Y26" s="5298"/>
      <c r="Z26" s="5298"/>
      <c r="AA26" s="5298"/>
      <c r="AB26" s="5298"/>
      <c r="AC26" s="5298"/>
      <c r="AD26" s="5298"/>
      <c r="AE26" s="5298"/>
      <c r="AF26" s="5298"/>
      <c r="AG26" s="5298"/>
      <c r="AH26" s="5298"/>
      <c r="AI26" s="5298"/>
      <c r="AJ26" s="5298"/>
      <c r="AK26" s="1151"/>
    </row>
    <row r="27" spans="1:44" ht="14.25" customHeight="1">
      <c r="Q27" s="304"/>
      <c r="R27" s="304"/>
      <c r="S27" s="5245" t="str">
        <f>IF(org=0,"Не определено",org)</f>
        <v>ПАО "ТГК-1" (филиал "Кольский")</v>
      </c>
      <c r="T27" s="5245"/>
      <c r="U27" s="5245"/>
      <c r="V27" s="5245"/>
      <c r="W27" s="5245"/>
      <c r="X27" s="5245"/>
      <c r="Y27" s="5245"/>
      <c r="Z27" s="5245"/>
      <c r="AA27" s="5245"/>
      <c r="AB27" s="5245"/>
      <c r="AC27" s="5245"/>
      <c r="AD27" s="5245"/>
      <c r="AE27" s="5245"/>
      <c r="AF27" s="5245"/>
      <c r="AG27" s="5245"/>
      <c r="AH27" s="5245"/>
      <c r="AI27" s="5245"/>
      <c r="AJ27" s="524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180" customFormat="1" ht="25.5" customHeight="1">
      <c r="A29" s="1283"/>
      <c r="B29" s="1283"/>
      <c r="C29" s="1283"/>
      <c r="D29" s="1283"/>
      <c r="E29" s="1283"/>
      <c r="F29" s="1283"/>
      <c r="G29" s="1283"/>
      <c r="H29" s="1283"/>
      <c r="I29" s="1283"/>
      <c r="J29" s="1283"/>
      <c r="K29" s="1283"/>
      <c r="L29" s="1284"/>
      <c r="M29" s="1283"/>
      <c r="N29" s="1283"/>
      <c r="O29" s="1283"/>
      <c r="S29" s="5306" t="s">
        <v>38</v>
      </c>
      <c r="T29" s="5306"/>
      <c r="U29" s="1287"/>
      <c r="V29" s="5307" t="str">
        <f>IF(TITLE_NAME_OR_PR_CHANGE="",IF(TITLE_NAME_OR_PR="","",TITLE_NAME_OR_PR),TITLE_NAME_OR_PR_CHANGE)</f>
        <v>Комитет по тарифному регулированию Мурманской области</v>
      </c>
      <c r="W29" s="5307"/>
      <c r="X29" s="5307"/>
      <c r="Y29" s="5307"/>
      <c r="Z29" s="5307"/>
      <c r="AA29" s="5307"/>
      <c r="AB29" s="5307"/>
      <c r="AC29" s="252"/>
      <c r="AD29" s="5307" t="str">
        <f>IF(TITLE_NAME_OR_PR_CHANGE="",IF(TITLE_NAME_OR_PR="","",TITLE_NAME_OR_PR),TITLE_NAME_OR_PR_CHANGE)</f>
        <v>Комитет по тарифному регулированию Мурманской области</v>
      </c>
      <c r="AE29" s="5307"/>
      <c r="AF29" s="5307"/>
      <c r="AG29" s="5307"/>
      <c r="AH29" s="5307"/>
      <c r="AI29" s="5307"/>
      <c r="AJ29" s="5307"/>
      <c r="AK29" s="252"/>
      <c r="AL29" s="252"/>
      <c r="AM29" s="199"/>
      <c r="AN29" s="295"/>
      <c r="AO29" s="295"/>
      <c r="AP29" s="295"/>
      <c r="AQ29" s="295"/>
      <c r="AR29" s="295"/>
    </row>
    <row r="30" spans="1:44" s="2180" customFormat="1" ht="18.75" customHeight="1">
      <c r="A30" s="1283"/>
      <c r="B30" s="1283"/>
      <c r="C30" s="1283"/>
      <c r="D30" s="1283"/>
      <c r="E30" s="1283"/>
      <c r="F30" s="1283"/>
      <c r="G30" s="1283"/>
      <c r="H30" s="1283"/>
      <c r="I30" s="1283"/>
      <c r="J30" s="1283"/>
      <c r="K30" s="1283"/>
      <c r="L30" s="1284"/>
      <c r="M30" s="1283"/>
      <c r="N30" s="1283"/>
      <c r="O30" s="1283"/>
      <c r="S30" s="5306" t="s">
        <v>539</v>
      </c>
      <c r="T30" s="5306"/>
      <c r="U30" s="1287"/>
      <c r="V30" s="5316">
        <f>IF(TITLE_DATE_PR_CHANGE="",IF(TITLE_DATE_PR="","",TITLE_DATE_PR),TITLE_DATE_PR_CHANGE)</f>
        <v>45646.340555555558</v>
      </c>
      <c r="W30" s="5316"/>
      <c r="X30" s="5316"/>
      <c r="Y30" s="5316"/>
      <c r="Z30" s="5316"/>
      <c r="AA30" s="5316"/>
      <c r="AB30" s="5316"/>
      <c r="AC30" s="252"/>
      <c r="AD30" s="5316">
        <f>IF(TITLE_DATE_PR_CHANGE="",IF(TITLE_DATE_PR="","",TITLE_DATE_PR),TITLE_DATE_PR_CHANGE)</f>
        <v>45646.340555555558</v>
      </c>
      <c r="AE30" s="5316"/>
      <c r="AF30" s="5316"/>
      <c r="AG30" s="5316"/>
      <c r="AH30" s="5316"/>
      <c r="AI30" s="5316"/>
      <c r="AJ30" s="5316"/>
      <c r="AK30" s="252"/>
      <c r="AL30" s="252"/>
      <c r="AM30" s="199"/>
      <c r="AN30" s="295"/>
      <c r="AO30" s="295"/>
      <c r="AP30" s="295"/>
      <c r="AQ30" s="295"/>
      <c r="AR30" s="295"/>
    </row>
    <row r="31" spans="1:44" s="2180" customFormat="1" ht="18.75" customHeight="1">
      <c r="A31" s="1283"/>
      <c r="B31" s="1283"/>
      <c r="C31" s="1283"/>
      <c r="D31" s="1283"/>
      <c r="E31" s="1283"/>
      <c r="F31" s="1283"/>
      <c r="G31" s="1283"/>
      <c r="H31" s="1283"/>
      <c r="I31" s="1283"/>
      <c r="J31" s="1283"/>
      <c r="K31" s="1283"/>
      <c r="L31" s="1284"/>
      <c r="M31" s="1283"/>
      <c r="N31" s="1283"/>
      <c r="O31" s="1283"/>
      <c r="S31" s="5306" t="s">
        <v>540</v>
      </c>
      <c r="T31" s="5306"/>
      <c r="U31" s="1287"/>
      <c r="V31" s="5307" t="str">
        <f>IF(TITLE_NUMBER_PR_CHANGE="",IF(TITLE_NUMBER_PR="","",TITLE_NUMBER_PR),TITLE_NUMBER_PR_CHANGE)</f>
        <v>51/6; 51/7</v>
      </c>
      <c r="W31" s="5307"/>
      <c r="X31" s="5307"/>
      <c r="Y31" s="5307"/>
      <c r="Z31" s="5307"/>
      <c r="AA31" s="5307"/>
      <c r="AB31" s="5307"/>
      <c r="AC31" s="252"/>
      <c r="AD31" s="5307" t="str">
        <f>IF(TITLE_NUMBER_PR_CHANGE="",IF(TITLE_NUMBER_PR="","",TITLE_NUMBER_PR),TITLE_NUMBER_PR_CHANGE)</f>
        <v>51/6; 51/7</v>
      </c>
      <c r="AE31" s="5307"/>
      <c r="AF31" s="5307"/>
      <c r="AG31" s="5307"/>
      <c r="AH31" s="5307"/>
      <c r="AI31" s="5307"/>
      <c r="AJ31" s="5307"/>
      <c r="AK31" s="252"/>
      <c r="AL31" s="252"/>
      <c r="AM31" s="199"/>
      <c r="AN31" s="295"/>
      <c r="AO31" s="295"/>
      <c r="AP31" s="295"/>
      <c r="AQ31" s="295"/>
      <c r="AR31" s="295"/>
    </row>
    <row r="32" spans="1:44" s="2180" customFormat="1" ht="18.75" customHeight="1">
      <c r="A32" s="1283"/>
      <c r="B32" s="1283"/>
      <c r="C32" s="1283"/>
      <c r="D32" s="1283"/>
      <c r="E32" s="1283"/>
      <c r="F32" s="1283"/>
      <c r="G32" s="1283"/>
      <c r="H32" s="1283"/>
      <c r="I32" s="1283"/>
      <c r="J32" s="1283"/>
      <c r="K32" s="1283"/>
      <c r="L32" s="1284"/>
      <c r="M32" s="1283"/>
      <c r="N32" s="1283"/>
      <c r="O32" s="1283"/>
      <c r="S32" s="5306" t="s">
        <v>40</v>
      </c>
      <c r="T32" s="5306"/>
      <c r="U32" s="1287"/>
      <c r="V32" s="5307" t="str">
        <f>IF(TITLE_IST_PUB_CHANGE="",IF(TITLE_IST_PUB="","",TITLE_IST_PUB),TITLE_IST_PUB_CHANGE)</f>
        <v>Официальный электронный бюллетень Правительства Мурманской области</v>
      </c>
      <c r="W32" s="5307"/>
      <c r="X32" s="5307"/>
      <c r="Y32" s="5307"/>
      <c r="Z32" s="5307"/>
      <c r="AA32" s="5307"/>
      <c r="AB32" s="5307"/>
      <c r="AC32" s="252"/>
      <c r="AD32" s="5307" t="str">
        <f>IF(TITLE_IST_PUB_CHANGE="",IF(TITLE_IST_PUB="","",TITLE_IST_PUB),TITLE_IST_PUB_CHANGE)</f>
        <v>Официальный электронный бюллетень Правительства Мурманской области</v>
      </c>
      <c r="AE32" s="5307"/>
      <c r="AF32" s="5307"/>
      <c r="AG32" s="5307"/>
      <c r="AH32" s="5307"/>
      <c r="AI32" s="5307"/>
      <c r="AJ32" s="5307"/>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180" customFormat="1" ht="18.75" hidden="1" customHeight="1">
      <c r="A34" s="1283"/>
      <c r="B34" s="1283"/>
      <c r="C34" s="1283"/>
      <c r="D34" s="1283"/>
      <c r="E34" s="1283"/>
      <c r="F34" s="1283"/>
      <c r="G34" s="1283"/>
      <c r="H34" s="1283"/>
      <c r="I34" s="1283"/>
      <c r="J34" s="1283"/>
      <c r="K34" s="1283"/>
      <c r="L34" s="1284"/>
      <c r="M34" s="1283"/>
      <c r="N34" s="1283"/>
      <c r="O34" s="1283"/>
      <c r="S34" s="5306" t="s">
        <v>541</v>
      </c>
      <c r="T34" s="5306"/>
      <c r="U34" s="1287"/>
      <c r="V34" s="5316">
        <f>IF(TITLE_DATE_PR_CHANGE="",IF(TITLE_DATE_PR="","",TITLE_DATE_PR),TITLE_DATE_PR_CHANGE)</f>
        <v>45646.340555555558</v>
      </c>
      <c r="W34" s="5316"/>
      <c r="X34" s="5316"/>
      <c r="Y34" s="5316"/>
      <c r="Z34" s="5316"/>
      <c r="AA34" s="5316"/>
      <c r="AB34" s="5316"/>
      <c r="AC34" s="252"/>
      <c r="AD34" s="5316">
        <f>IF(TITLE_DATE_PR_CHANGE="",IF(TITLE_DATE_PR="","",TITLE_DATE_PR),TITLE_DATE_PR_CHANGE)</f>
        <v>45646.340555555558</v>
      </c>
      <c r="AE34" s="5316"/>
      <c r="AF34" s="5316"/>
      <c r="AG34" s="5316"/>
      <c r="AH34" s="5316"/>
      <c r="AI34" s="5316"/>
      <c r="AJ34" s="5316"/>
      <c r="AK34" s="252"/>
      <c r="AL34" s="252"/>
      <c r="AM34" s="199"/>
      <c r="AN34" s="295"/>
      <c r="AO34" s="295"/>
      <c r="AP34" s="295"/>
      <c r="AQ34" s="295"/>
      <c r="AR34" s="295"/>
    </row>
    <row r="35" spans="1:44" s="2180" customFormat="1" ht="25.5" hidden="1" customHeight="1">
      <c r="A35" s="1283"/>
      <c r="B35" s="1283"/>
      <c r="C35" s="1283"/>
      <c r="D35" s="1283"/>
      <c r="E35" s="1283"/>
      <c r="F35" s="1283"/>
      <c r="G35" s="1283"/>
      <c r="H35" s="1283"/>
      <c r="I35" s="1283"/>
      <c r="J35" s="1283"/>
      <c r="K35" s="1283"/>
      <c r="L35" s="1284"/>
      <c r="M35" s="1283"/>
      <c r="N35" s="1283"/>
      <c r="O35" s="1283"/>
      <c r="S35" s="5306" t="s">
        <v>542</v>
      </c>
      <c r="T35" s="5306"/>
      <c r="U35" s="1287"/>
      <c r="V35" s="5307" t="str">
        <f>IF(TITLE_NUMBER_PR_CHANGE="",IF(TITLE_NUMBER_PR="","",TITLE_NUMBER_PR),TITLE_NUMBER_PR_CHANGE)</f>
        <v>51/6; 51/7</v>
      </c>
      <c r="W35" s="5307"/>
      <c r="X35" s="5307"/>
      <c r="Y35" s="5307"/>
      <c r="Z35" s="5307"/>
      <c r="AA35" s="5307"/>
      <c r="AB35" s="5307"/>
      <c r="AC35" s="252"/>
      <c r="AD35" s="5307" t="str">
        <f>IF(TITLE_NUMBER_PR_CHANGE="",IF(TITLE_NUMBER_PR="","",TITLE_NUMBER_PR),TITLE_NUMBER_PR_CHANGE)</f>
        <v>51/6; 51/7</v>
      </c>
      <c r="AE35" s="5307"/>
      <c r="AF35" s="5307"/>
      <c r="AG35" s="5307"/>
      <c r="AH35" s="5307"/>
      <c r="AI35" s="5307"/>
      <c r="AJ35" s="5307"/>
      <c r="AK35" s="252"/>
      <c r="AL35" s="252"/>
      <c r="AM35" s="199"/>
      <c r="AN35" s="295"/>
      <c r="AO35" s="295"/>
      <c r="AP35" s="295"/>
      <c r="AQ35" s="295"/>
      <c r="AR35" s="295"/>
    </row>
    <row r="36" spans="1:44" s="218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543</v>
      </c>
      <c r="AD36" s="252"/>
      <c r="AE36" s="252"/>
      <c r="AF36" s="252"/>
      <c r="AG36" s="252"/>
      <c r="AH36" s="252"/>
      <c r="AI36" s="252"/>
      <c r="AJ36" s="252"/>
      <c r="AK36" s="197" t="s">
        <v>543</v>
      </c>
      <c r="AN36" s="295"/>
      <c r="AO36" s="295"/>
      <c r="AP36" s="295"/>
      <c r="AQ36" s="295"/>
      <c r="AR36" s="295"/>
    </row>
    <row r="37" spans="1:44" ht="14.25" customHeight="1">
      <c r="Q37" s="304"/>
      <c r="R37" s="304"/>
      <c r="S37" s="1194"/>
      <c r="T37" s="289"/>
      <c r="U37" s="1152"/>
      <c r="V37" s="5308"/>
      <c r="W37" s="5308"/>
      <c r="X37" s="5308"/>
      <c r="Y37" s="5308"/>
      <c r="Z37" s="5308"/>
      <c r="AA37" s="5308"/>
      <c r="AB37" s="5308"/>
      <c r="AC37" s="5308"/>
      <c r="AD37" s="5308"/>
      <c r="AE37" s="5308"/>
      <c r="AF37" s="5308"/>
      <c r="AG37" s="5308"/>
      <c r="AH37" s="5308"/>
      <c r="AI37" s="5308"/>
      <c r="AJ37" s="5308"/>
      <c r="AK37" s="5308"/>
    </row>
    <row r="38" spans="1:44" ht="14.25" customHeight="1">
      <c r="Q38" s="304"/>
      <c r="R38" s="304"/>
      <c r="S38" s="5180" t="s">
        <v>417</v>
      </c>
      <c r="T38" s="5180"/>
      <c r="U38" s="5180"/>
      <c r="V38" s="5180"/>
      <c r="W38" s="5180"/>
      <c r="X38" s="5180"/>
      <c r="Y38" s="5180"/>
      <c r="Z38" s="5180"/>
      <c r="AA38" s="5180"/>
      <c r="AB38" s="5180"/>
      <c r="AC38" s="5180"/>
      <c r="AD38" s="5180"/>
      <c r="AE38" s="5180"/>
      <c r="AF38" s="5180"/>
      <c r="AG38" s="5180"/>
      <c r="AH38" s="5180"/>
      <c r="AI38" s="5180"/>
      <c r="AJ38" s="5180"/>
      <c r="AK38" s="5180"/>
      <c r="AL38" s="5180"/>
      <c r="AM38" s="5180" t="s">
        <v>418</v>
      </c>
    </row>
    <row r="39" spans="1:44" ht="14.25" customHeight="1">
      <c r="Q39" s="304"/>
      <c r="R39" s="304"/>
      <c r="S39" s="5322" t="s">
        <v>83</v>
      </c>
      <c r="T39" s="5274" t="s">
        <v>544</v>
      </c>
      <c r="U39" s="219"/>
      <c r="V39" s="5323" t="s">
        <v>545</v>
      </c>
      <c r="W39" s="5324"/>
      <c r="X39" s="5324"/>
      <c r="Y39" s="5324"/>
      <c r="Z39" s="5324"/>
      <c r="AA39" s="5324"/>
      <c r="AB39" s="5325"/>
      <c r="AC39" s="5326" t="s">
        <v>546</v>
      </c>
      <c r="AD39" s="5323" t="s">
        <v>545</v>
      </c>
      <c r="AE39" s="5324"/>
      <c r="AF39" s="5324"/>
      <c r="AG39" s="5324"/>
      <c r="AH39" s="5324"/>
      <c r="AI39" s="5324"/>
      <c r="AJ39" s="5325"/>
      <c r="AK39" s="5326" t="s">
        <v>547</v>
      </c>
      <c r="AL39" s="5329" t="s">
        <v>548</v>
      </c>
      <c r="AM39" s="5180"/>
    </row>
    <row r="40" spans="1:44" ht="33.75" customHeight="1">
      <c r="Q40" s="304"/>
      <c r="R40" s="304"/>
      <c r="S40" s="5322"/>
      <c r="T40" s="5274"/>
      <c r="U40" s="937"/>
      <c r="V40" s="5244" t="s">
        <v>549</v>
      </c>
      <c r="W40" s="5332"/>
      <c r="X40" s="5151" t="s">
        <v>551</v>
      </c>
      <c r="Y40" s="5150"/>
      <c r="Z40" s="5151" t="s">
        <v>552</v>
      </c>
      <c r="AA40" s="5156"/>
      <c r="AB40" s="5150"/>
      <c r="AC40" s="5327"/>
      <c r="AD40" s="5244" t="s">
        <v>549</v>
      </c>
      <c r="AE40" s="5332"/>
      <c r="AF40" s="5151" t="s">
        <v>551</v>
      </c>
      <c r="AG40" s="5150"/>
      <c r="AH40" s="5151" t="s">
        <v>552</v>
      </c>
      <c r="AI40" s="5156"/>
      <c r="AJ40" s="5150"/>
      <c r="AK40" s="5327"/>
      <c r="AL40" s="5330"/>
      <c r="AM40" s="5180"/>
    </row>
    <row r="41" spans="1:44" ht="33.75" customHeight="1">
      <c r="A41" s="1285"/>
      <c r="B41" s="1285" t="s">
        <v>139</v>
      </c>
      <c r="C41" s="1285" t="s">
        <v>140</v>
      </c>
      <c r="D41" s="1285" t="s">
        <v>141</v>
      </c>
      <c r="E41" s="1279" t="s">
        <v>553</v>
      </c>
      <c r="F41" s="1279" t="s">
        <v>554</v>
      </c>
      <c r="G41" s="1279" t="s">
        <v>555</v>
      </c>
      <c r="H41" s="1279" t="s">
        <v>556</v>
      </c>
      <c r="I41" s="1279" t="s">
        <v>557</v>
      </c>
      <c r="J41" s="1279" t="s">
        <v>558</v>
      </c>
      <c r="K41" s="1279" t="s">
        <v>559</v>
      </c>
      <c r="L41" s="1279" t="s">
        <v>534</v>
      </c>
      <c r="Q41" s="304"/>
      <c r="R41" s="304"/>
      <c r="S41" s="5322"/>
      <c r="T41" s="5274"/>
      <c r="U41" s="220"/>
      <c r="V41" s="5293"/>
      <c r="W41" s="5333"/>
      <c r="X41" s="1127" t="s">
        <v>560</v>
      </c>
      <c r="Y41" s="1127" t="s">
        <v>561</v>
      </c>
      <c r="Z41" s="1254" t="s">
        <v>562</v>
      </c>
      <c r="AA41" s="5282" t="s">
        <v>563</v>
      </c>
      <c r="AB41" s="5284"/>
      <c r="AC41" s="5328"/>
      <c r="AD41" s="5293"/>
      <c r="AE41" s="5333"/>
      <c r="AF41" s="1127" t="s">
        <v>560</v>
      </c>
      <c r="AG41" s="1127" t="s">
        <v>561</v>
      </c>
      <c r="AH41" s="1254" t="s">
        <v>562</v>
      </c>
      <c r="AI41" s="5282" t="s">
        <v>563</v>
      </c>
      <c r="AJ41" s="5284"/>
      <c r="AK41" s="5328"/>
      <c r="AL41" s="5331"/>
      <c r="AM41" s="5180"/>
    </row>
    <row r="42" spans="1:44" s="1818"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114</v>
      </c>
      <c r="T42" s="1171" t="s">
        <v>98</v>
      </c>
      <c r="U42" s="1153" t="str">
        <f ca="1">OFFSET(U42,0,-1)</f>
        <v>2</v>
      </c>
      <c r="V42" s="1251">
        <f ca="1">OFFSET(V42,0,-1)+1</f>
        <v>3</v>
      </c>
      <c r="W42" s="1251"/>
      <c r="X42" s="1251">
        <f ca="1">OFFSET(X42,0,-1)+1</f>
        <v>1</v>
      </c>
      <c r="Y42" s="1251">
        <f ca="1">OFFSET(Y42,0,-1)+1</f>
        <v>2</v>
      </c>
      <c r="Z42" s="1251">
        <f ca="1">OFFSET(Z42,0,-1)+1</f>
        <v>3</v>
      </c>
      <c r="AA42" s="5321">
        <f ca="1">OFFSET(AA42,0,-1)+1</f>
        <v>4</v>
      </c>
      <c r="AB42" s="5321"/>
      <c r="AC42" s="1251">
        <f ca="1">OFFSET(AC42,0,-2)+1</f>
        <v>5</v>
      </c>
      <c r="AD42" s="1251">
        <f ca="1">OFFSET(AD42,0,-1)+1</f>
        <v>6</v>
      </c>
      <c r="AE42" s="1251"/>
      <c r="AF42" s="1251">
        <f ca="1">OFFSET(AF42,0,-1)+1</f>
        <v>1</v>
      </c>
      <c r="AG42" s="1251">
        <f ca="1">OFFSET(AG42,0,-1)+1</f>
        <v>2</v>
      </c>
      <c r="AH42" s="1251">
        <f ca="1">OFFSET(AH42,0,-1)+1</f>
        <v>3</v>
      </c>
      <c r="AI42" s="5321">
        <f ca="1">OFFSET(AI42,0,-1)+1</f>
        <v>4</v>
      </c>
      <c r="AJ42" s="5321"/>
      <c r="AK42" s="1251">
        <f ca="1">OFFSET(AK42,0,-2)+1</f>
        <v>5</v>
      </c>
      <c r="AL42" s="1153">
        <f ca="1">OFFSET(AL42,0,-1)</f>
        <v>5</v>
      </c>
      <c r="AM42" s="1251">
        <f ca="1">OFFSET(AM42,0,-1)+1</f>
        <v>6</v>
      </c>
      <c r="AN42" s="436"/>
      <c r="AO42" s="436"/>
      <c r="AP42" s="436"/>
      <c r="AQ42" s="436"/>
      <c r="AR42" s="436"/>
    </row>
    <row r="43" spans="1:44" ht="21" customHeight="1">
      <c r="A43" s="1278" t="s">
        <v>309</v>
      </c>
      <c r="B43" s="1278"/>
      <c r="C43" s="1278"/>
      <c r="D43" s="1278"/>
      <c r="E43" s="5314">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127</v>
      </c>
      <c r="U43" s="218"/>
      <c r="V43" s="5300"/>
      <c r="W43" s="5301"/>
      <c r="X43" s="5301"/>
      <c r="Y43" s="5301"/>
      <c r="Z43" s="5301"/>
      <c r="AA43" s="5301"/>
      <c r="AB43" s="5301"/>
      <c r="AC43" s="5302"/>
      <c r="AD43" s="5300" t="str">
        <f>INDEX(PT_DIFFERENTIATION_NTAR,MATCH(A43,PT_DIFFERENTIATION_NTAR_ID,0))</f>
        <v/>
      </c>
      <c r="AE43" s="5301"/>
      <c r="AF43" s="5301"/>
      <c r="AG43" s="5301"/>
      <c r="AH43" s="5301"/>
      <c r="AI43" s="5301"/>
      <c r="AJ43" s="5301"/>
      <c r="AK43" s="5301"/>
      <c r="AL43" s="530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309</v>
      </c>
      <c r="B44" s="1278" t="s">
        <v>310</v>
      </c>
      <c r="C44" s="1278"/>
      <c r="D44" s="1278"/>
      <c r="E44" s="5315"/>
      <c r="F44" s="5314">
        <v>1</v>
      </c>
      <c r="G44" s="1278"/>
      <c r="H44" s="1278"/>
      <c r="I44" s="1278"/>
      <c r="J44" s="1278"/>
      <c r="K44" s="1278"/>
      <c r="L44" s="1279"/>
      <c r="M44" s="1280"/>
      <c r="N44" s="1280"/>
      <c r="O44" s="1280"/>
      <c r="P44" s="1248"/>
      <c r="Q44" s="276"/>
      <c r="R44" s="277"/>
      <c r="S44" s="1252" t="str">
        <f>INDEX(PT_DIFFERENTIATION_NUM_TER,MATCH(B44,PT_DIFFERENTIATION_TER_ID,0))</f>
        <v>.</v>
      </c>
      <c r="T44" s="228" t="s">
        <v>516</v>
      </c>
      <c r="U44" s="218"/>
      <c r="V44" s="5300"/>
      <c r="W44" s="5301"/>
      <c r="X44" s="5301"/>
      <c r="Y44" s="5301"/>
      <c r="Z44" s="5301"/>
      <c r="AA44" s="5301"/>
      <c r="AB44" s="5301"/>
      <c r="AC44" s="5302"/>
      <c r="AD44" s="5300" t="str">
        <f>INDEX(PT_DIFFERENTIATION_TER,MATCH(B44,PT_DIFFERENTIATION_TER_ID,0))</f>
        <v/>
      </c>
      <c r="AE44" s="5301"/>
      <c r="AF44" s="5301"/>
      <c r="AG44" s="5301"/>
      <c r="AH44" s="5301"/>
      <c r="AI44" s="5301"/>
      <c r="AJ44" s="5301"/>
      <c r="AK44" s="5301"/>
      <c r="AL44" s="5302"/>
      <c r="AM44" s="1176" t="s">
        <v>517</v>
      </c>
      <c r="AO44" s="425"/>
      <c r="AP44" s="425" t="str">
        <f t="shared" si="1"/>
        <v>Территория действия тарифа</v>
      </c>
      <c r="AQ44" s="425"/>
      <c r="AR44" s="425"/>
    </row>
    <row r="45" spans="1:44" ht="23.25" customHeight="1">
      <c r="A45" s="1278" t="s">
        <v>309</v>
      </c>
      <c r="B45" s="1278" t="s">
        <v>310</v>
      </c>
      <c r="C45" s="1278" t="s">
        <v>311</v>
      </c>
      <c r="D45" s="1278"/>
      <c r="E45" s="5315"/>
      <c r="F45" s="5315"/>
      <c r="G45" s="5314">
        <v>1</v>
      </c>
      <c r="H45" s="1278"/>
      <c r="I45" s="1278"/>
      <c r="J45" s="1278"/>
      <c r="K45" s="1278"/>
      <c r="L45" s="1279"/>
      <c r="M45" s="1280"/>
      <c r="N45" s="1280"/>
      <c r="O45" s="1280"/>
      <c r="P45" s="278"/>
      <c r="Q45" s="276"/>
      <c r="R45" s="277"/>
      <c r="S45" s="1252" t="str">
        <f>INDEX(PT_DIFFERENTIATION_NUM_CS,MATCH(C45,PT_DIFFERENTIATION_CS_ID,0))</f>
        <v>..</v>
      </c>
      <c r="T45" s="229" t="s">
        <v>518</v>
      </c>
      <c r="U45" s="218"/>
      <c r="V45" s="5300"/>
      <c r="W45" s="5301"/>
      <c r="X45" s="5301"/>
      <c r="Y45" s="5301"/>
      <c r="Z45" s="5301"/>
      <c r="AA45" s="5301"/>
      <c r="AB45" s="5301"/>
      <c r="AC45" s="5302"/>
      <c r="AD45" s="5300" t="str">
        <f>INDEX(PT_DIFFERENTIATION_CS,MATCH(C45,PT_DIFFERENTIATION_CS_ID,0))</f>
        <v/>
      </c>
      <c r="AE45" s="5301"/>
      <c r="AF45" s="5301"/>
      <c r="AG45" s="5301"/>
      <c r="AH45" s="5301"/>
      <c r="AI45" s="5301"/>
      <c r="AJ45" s="5301"/>
      <c r="AK45" s="5301"/>
      <c r="AL45" s="5302"/>
      <c r="AM45" s="1176" t="s">
        <v>519</v>
      </c>
      <c r="AO45" s="425"/>
      <c r="AP45" s="425" t="str">
        <f t="shared" si="1"/>
        <v xml:space="preserve">Наименование системы теплоснабжения </v>
      </c>
      <c r="AQ45" s="425"/>
      <c r="AR45" s="425"/>
    </row>
    <row r="46" spans="1:44" ht="21" customHeight="1">
      <c r="A46" s="1278" t="s">
        <v>309</v>
      </c>
      <c r="B46" s="1278" t="s">
        <v>310</v>
      </c>
      <c r="C46" s="1278" t="s">
        <v>311</v>
      </c>
      <c r="D46" s="1278" t="s">
        <v>312</v>
      </c>
      <c r="E46" s="5315"/>
      <c r="F46" s="5315"/>
      <c r="G46" s="5315"/>
      <c r="H46" s="5314">
        <v>1</v>
      </c>
      <c r="I46" s="1278"/>
      <c r="J46" s="1278"/>
      <c r="K46" s="1278"/>
      <c r="L46" s="1279"/>
      <c r="M46" s="1280"/>
      <c r="N46" s="1280"/>
      <c r="O46" s="1280"/>
      <c r="P46" s="278"/>
      <c r="Q46" s="276"/>
      <c r="R46" s="277"/>
      <c r="S46" s="1252" t="str">
        <f>INDEX(PT_DIFFERENTIATION_NUM_IST_TE,MATCH(D46,PT_DIFFERENTIATION_IST_TE_ID,0))</f>
        <v>...</v>
      </c>
      <c r="T46" s="230" t="s">
        <v>520</v>
      </c>
      <c r="U46" s="218"/>
      <c r="V46" s="5300"/>
      <c r="W46" s="5301"/>
      <c r="X46" s="5301"/>
      <c r="Y46" s="5301"/>
      <c r="Z46" s="5301"/>
      <c r="AA46" s="5301"/>
      <c r="AB46" s="5301"/>
      <c r="AC46" s="5302"/>
      <c r="AD46" s="5300" t="str">
        <f>INDEX(PT_DIFFERENTIATION_IST_TE,MATCH(D46,PT_DIFFERENTIATION_IST_TE_ID,0))</f>
        <v/>
      </c>
      <c r="AE46" s="5301"/>
      <c r="AF46" s="5301"/>
      <c r="AG46" s="5301"/>
      <c r="AH46" s="5301"/>
      <c r="AI46" s="5301"/>
      <c r="AJ46" s="5301"/>
      <c r="AK46" s="5301"/>
      <c r="AL46" s="5302"/>
      <c r="AM46" s="1176" t="s">
        <v>521</v>
      </c>
      <c r="AO46" s="425"/>
      <c r="AP46" s="425" t="str">
        <f t="shared" si="1"/>
        <v xml:space="preserve">Источник тепловой энергии  </v>
      </c>
      <c r="AQ46" s="425"/>
      <c r="AR46" s="425"/>
    </row>
    <row r="47" spans="1:44" s="1819" customFormat="1" ht="0" hidden="1" customHeight="1">
      <c r="A47" s="1259" t="s">
        <v>309</v>
      </c>
      <c r="B47" s="1259" t="s">
        <v>310</v>
      </c>
      <c r="C47" s="1259" t="s">
        <v>311</v>
      </c>
      <c r="D47" s="1259" t="s">
        <v>312</v>
      </c>
      <c r="E47" s="5315"/>
      <c r="F47" s="5315"/>
      <c r="G47" s="5315"/>
      <c r="H47" s="5315"/>
      <c r="I47" s="5312" t="str">
        <f>S46&amp;".1"</f>
        <v>....1</v>
      </c>
      <c r="J47" s="1259"/>
      <c r="K47" s="1259"/>
      <c r="L47" s="1262" t="s">
        <v>522</v>
      </c>
      <c r="M47" s="435"/>
      <c r="N47" s="435"/>
      <c r="O47" s="435"/>
      <c r="P47" s="5313">
        <v>1</v>
      </c>
      <c r="Q47" s="1247"/>
      <c r="R47" s="280"/>
      <c r="S47" s="948"/>
      <c r="T47" s="1298"/>
      <c r="U47" s="1299"/>
      <c r="V47" s="5341"/>
      <c r="W47" s="5342"/>
      <c r="X47" s="5342"/>
      <c r="Y47" s="5342"/>
      <c r="Z47" s="5342"/>
      <c r="AA47" s="5342"/>
      <c r="AB47" s="5342"/>
      <c r="AC47" s="5343"/>
      <c r="AD47" s="5341"/>
      <c r="AE47" s="5342"/>
      <c r="AF47" s="5342"/>
      <c r="AG47" s="5342"/>
      <c r="AH47" s="5342"/>
      <c r="AI47" s="5342"/>
      <c r="AJ47" s="5342"/>
      <c r="AK47" s="5342"/>
      <c r="AL47" s="5343"/>
      <c r="AM47" s="1300"/>
      <c r="AO47" s="425"/>
      <c r="AP47" s="425" t="str">
        <f t="shared" si="1"/>
        <v/>
      </c>
      <c r="AQ47" s="425"/>
      <c r="AR47" s="425"/>
    </row>
    <row r="48" spans="1:44" ht="21" customHeight="1">
      <c r="A48" s="1278" t="s">
        <v>309</v>
      </c>
      <c r="B48" s="1278" t="s">
        <v>310</v>
      </c>
      <c r="C48" s="1278" t="s">
        <v>311</v>
      </c>
      <c r="D48" s="1278" t="s">
        <v>312</v>
      </c>
      <c r="E48" s="5315"/>
      <c r="F48" s="5315"/>
      <c r="G48" s="5315"/>
      <c r="H48" s="5315"/>
      <c r="I48" s="5335"/>
      <c r="J48" s="5312" t="str">
        <f>S46&amp;".1"</f>
        <v>....1</v>
      </c>
      <c r="K48" s="1278"/>
      <c r="L48" s="1279" t="s">
        <v>525</v>
      </c>
      <c r="P48" s="5313"/>
      <c r="Q48" s="5313">
        <v>1</v>
      </c>
      <c r="R48" s="281"/>
      <c r="S48" s="1252" t="str">
        <f>$J48</f>
        <v>....1</v>
      </c>
      <c r="T48" s="204" t="s">
        <v>526</v>
      </c>
      <c r="U48" s="218"/>
      <c r="V48" s="5303"/>
      <c r="W48" s="5304"/>
      <c r="X48" s="5304"/>
      <c r="Y48" s="5304"/>
      <c r="Z48" s="5304"/>
      <c r="AA48" s="5304"/>
      <c r="AB48" s="5304"/>
      <c r="AC48" s="5305"/>
      <c r="AD48" s="5303"/>
      <c r="AE48" s="5304"/>
      <c r="AF48" s="5304"/>
      <c r="AG48" s="5304"/>
      <c r="AH48" s="5304"/>
      <c r="AI48" s="5304"/>
      <c r="AJ48" s="5304"/>
      <c r="AK48" s="5304"/>
      <c r="AL48" s="5305"/>
      <c r="AM48" s="1176" t="s">
        <v>527</v>
      </c>
      <c r="AO48" s="425"/>
      <c r="AP48" s="425" t="str">
        <f t="shared" si="1"/>
        <v>Группа потребителей</v>
      </c>
      <c r="AQ48" s="425"/>
      <c r="AR48" s="425"/>
    </row>
    <row r="49" spans="1:44" ht="21" customHeight="1">
      <c r="A49" s="1278" t="s">
        <v>309</v>
      </c>
      <c r="B49" s="1278" t="s">
        <v>310</v>
      </c>
      <c r="C49" s="1278" t="s">
        <v>311</v>
      </c>
      <c r="D49" s="1278" t="s">
        <v>312</v>
      </c>
      <c r="E49" s="5315"/>
      <c r="F49" s="5315"/>
      <c r="G49" s="5315"/>
      <c r="H49" s="5315"/>
      <c r="I49" s="5335"/>
      <c r="J49" s="5335"/>
      <c r="K49" s="5312" t="str">
        <f>J48&amp;".1"</f>
        <v>....1.1</v>
      </c>
      <c r="L49" s="1279" t="s">
        <v>528</v>
      </c>
      <c r="P49" s="5313"/>
      <c r="Q49" s="5313"/>
      <c r="R49" s="281">
        <v>1</v>
      </c>
      <c r="S49" s="1252" t="str">
        <f>$K49</f>
        <v>....1.1</v>
      </c>
      <c r="T49" s="1263"/>
      <c r="U49" s="218"/>
      <c r="V49" s="667"/>
      <c r="W49" s="250"/>
      <c r="X49" s="667"/>
      <c r="Y49" s="1175"/>
      <c r="Z49" s="5317"/>
      <c r="AA49" s="5161" t="s">
        <v>62</v>
      </c>
      <c r="AB49" s="5317"/>
      <c r="AC49" s="5161" t="s">
        <v>62</v>
      </c>
      <c r="AD49" s="667"/>
      <c r="AE49" s="250"/>
      <c r="AF49" s="667"/>
      <c r="AG49" s="1175"/>
      <c r="AH49" s="5317"/>
      <c r="AI49" s="5161" t="s">
        <v>62</v>
      </c>
      <c r="AJ49" s="5336"/>
      <c r="AK49" s="5161" t="s">
        <v>62</v>
      </c>
      <c r="AL49" s="1264"/>
      <c r="AM49" s="5309" t="s">
        <v>571</v>
      </c>
      <c r="AN49" s="436" t="e">
        <f ca="1">STRCHECKDATE(V50:AL50)</f>
        <v>#NAME?</v>
      </c>
      <c r="AO49" s="425"/>
      <c r="AP49" s="425" t="str">
        <f t="shared" si="1"/>
        <v/>
      </c>
      <c r="AQ49" s="425"/>
      <c r="AR49" s="425"/>
    </row>
    <row r="50" spans="1:44" ht="0" hidden="1" customHeight="1">
      <c r="A50" s="1278" t="s">
        <v>309</v>
      </c>
      <c r="B50" s="1278" t="s">
        <v>310</v>
      </c>
      <c r="C50" s="1278" t="s">
        <v>311</v>
      </c>
      <c r="D50" s="1278" t="s">
        <v>312</v>
      </c>
      <c r="E50" s="5315"/>
      <c r="F50" s="5315"/>
      <c r="G50" s="5315"/>
      <c r="H50" s="5315"/>
      <c r="I50" s="5335"/>
      <c r="J50" s="5335"/>
      <c r="K50" s="5312"/>
      <c r="L50" s="1279"/>
      <c r="P50" s="5313"/>
      <c r="Q50" s="5313"/>
      <c r="R50" s="281"/>
      <c r="S50" s="1258"/>
      <c r="T50" s="218"/>
      <c r="U50" s="218"/>
      <c r="V50" s="250"/>
      <c r="W50" s="250"/>
      <c r="X50" s="250"/>
      <c r="Y50" s="254" t="str">
        <f>Z49&amp;"-"&amp;AB49</f>
        <v>-</v>
      </c>
      <c r="Z50" s="5318"/>
      <c r="AA50" s="5161"/>
      <c r="AB50" s="5318"/>
      <c r="AC50" s="5161"/>
      <c r="AD50" s="250"/>
      <c r="AE50" s="250"/>
      <c r="AF50" s="250"/>
      <c r="AG50" s="254" t="str">
        <f>AH49&amp;"-"&amp;AJ49</f>
        <v>-</v>
      </c>
      <c r="AH50" s="5318"/>
      <c r="AI50" s="5161"/>
      <c r="AJ50" s="5337"/>
      <c r="AK50" s="5161"/>
      <c r="AL50" s="1265"/>
      <c r="AM50" s="5310"/>
      <c r="AO50" s="425"/>
      <c r="AP50" s="425" t="str">
        <f t="shared" si="1"/>
        <v/>
      </c>
      <c r="AQ50" s="425"/>
      <c r="AR50" s="425"/>
    </row>
    <row r="51" spans="1:44" ht="11.25" customHeight="1">
      <c r="A51" s="1278" t="s">
        <v>309</v>
      </c>
      <c r="B51" s="1278" t="s">
        <v>310</v>
      </c>
      <c r="C51" s="1278" t="s">
        <v>311</v>
      </c>
      <c r="D51" s="1278" t="s">
        <v>312</v>
      </c>
      <c r="E51" s="5315"/>
      <c r="F51" s="5315"/>
      <c r="G51" s="5315"/>
      <c r="H51" s="5315"/>
      <c r="I51" s="5335"/>
      <c r="J51" s="5312"/>
      <c r="K51" s="1278"/>
      <c r="L51" s="1279"/>
      <c r="P51" s="5313"/>
      <c r="Q51" s="5313"/>
      <c r="R51" s="280"/>
      <c r="S51" s="1197"/>
      <c r="T51" s="205" t="s">
        <v>530</v>
      </c>
      <c r="U51" s="294"/>
      <c r="V51" s="294"/>
      <c r="W51" s="294"/>
      <c r="X51" s="294"/>
      <c r="Y51" s="294"/>
      <c r="Z51" s="294"/>
      <c r="AA51" s="294"/>
      <c r="AB51" s="294"/>
      <c r="AC51" s="294"/>
      <c r="AD51" s="294"/>
      <c r="AE51" s="294"/>
      <c r="AF51" s="294"/>
      <c r="AG51" s="294"/>
      <c r="AH51" s="294"/>
      <c r="AI51" s="294"/>
      <c r="AJ51" s="294"/>
      <c r="AK51" s="294"/>
      <c r="AL51" s="249"/>
      <c r="AM51" s="5311"/>
      <c r="AO51" s="425"/>
      <c r="AP51" s="425" t="str">
        <f t="shared" si="1"/>
        <v>Добавить вид теплоносителя (параметры теплоносителя)</v>
      </c>
      <c r="AQ51" s="425"/>
      <c r="AR51" s="425"/>
    </row>
    <row r="52" spans="1:44" ht="11.25" customHeight="1">
      <c r="A52" s="1278" t="s">
        <v>309</v>
      </c>
      <c r="B52" s="1278" t="s">
        <v>310</v>
      </c>
      <c r="C52" s="1278" t="s">
        <v>311</v>
      </c>
      <c r="D52" s="1278" t="s">
        <v>312</v>
      </c>
      <c r="E52" s="5315"/>
      <c r="F52" s="5315"/>
      <c r="G52" s="5315"/>
      <c r="H52" s="5315"/>
      <c r="I52" s="5312"/>
      <c r="J52" s="1278"/>
      <c r="K52" s="1278"/>
      <c r="L52" s="1279"/>
      <c r="P52" s="5313"/>
      <c r="Q52" s="1247"/>
      <c r="R52" s="280"/>
      <c r="S52" s="1197"/>
      <c r="T52" s="291" t="s">
        <v>531</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309</v>
      </c>
      <c r="B53" s="1278" t="s">
        <v>310</v>
      </c>
      <c r="C53" s="1278" t="s">
        <v>311</v>
      </c>
      <c r="D53" s="1278" t="s">
        <v>312</v>
      </c>
      <c r="E53" s="5315"/>
      <c r="F53" s="5315"/>
      <c r="G53" s="5315"/>
      <c r="H53" s="5314"/>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2167" customFormat="1" ht="0" hidden="1" customHeight="1">
      <c r="A54" s="1259" t="s">
        <v>309</v>
      </c>
      <c r="B54" s="1259" t="s">
        <v>310</v>
      </c>
      <c r="C54" s="1259" t="s">
        <v>311</v>
      </c>
      <c r="D54" s="1231"/>
      <c r="E54" s="5315"/>
      <c r="F54" s="5315"/>
      <c r="G54" s="5314"/>
      <c r="H54" s="1231"/>
      <c r="I54" s="1231"/>
      <c r="J54" s="1231"/>
      <c r="K54" s="1231"/>
      <c r="L54" s="1255"/>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167" customFormat="1" ht="0" hidden="1" customHeight="1">
      <c r="A55" s="1259" t="s">
        <v>309</v>
      </c>
      <c r="B55" s="1259" t="s">
        <v>310</v>
      </c>
      <c r="C55" s="1231"/>
      <c r="D55" s="1231"/>
      <c r="E55" s="5315"/>
      <c r="F55" s="5314"/>
      <c r="G55" s="1231"/>
      <c r="H55" s="1231"/>
      <c r="I55" s="1231"/>
      <c r="J55" s="1231"/>
      <c r="K55" s="1231"/>
      <c r="L55" s="1255"/>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9" customFormat="1" ht="0" hidden="1" customHeight="1">
      <c r="A56" s="1259" t="s">
        <v>309</v>
      </c>
      <c r="B56" s="1259"/>
      <c r="C56" s="1259"/>
      <c r="D56" s="1259"/>
      <c r="E56" s="5314"/>
      <c r="F56" s="1259"/>
      <c r="G56" s="1259"/>
      <c r="H56" s="1259"/>
      <c r="I56" s="1259"/>
      <c r="J56" s="1259"/>
      <c r="K56" s="1259"/>
      <c r="L56" s="1262"/>
      <c r="M56" s="1238"/>
      <c r="N56" s="1238"/>
      <c r="O56" s="443"/>
      <c r="P56" s="312"/>
      <c r="Q56" s="1260"/>
      <c r="R56" s="312"/>
      <c r="S56" s="1239"/>
      <c r="T56" s="1242" t="s">
        <v>174</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167"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215</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5334"/>
      <c r="U59" s="5334"/>
      <c r="V59" s="5334"/>
      <c r="W59" s="5334"/>
      <c r="X59" s="5334"/>
      <c r="Y59" s="5334"/>
      <c r="Z59" s="5334"/>
      <c r="AA59" s="5334"/>
      <c r="AB59" s="5334"/>
      <c r="AC59" s="5334"/>
      <c r="AD59" s="5334"/>
      <c r="AE59" s="5334"/>
      <c r="AF59" s="5334"/>
      <c r="AG59" s="5334"/>
      <c r="AH59" s="5334"/>
      <c r="AI59" s="5334"/>
      <c r="AJ59" s="5334"/>
      <c r="AK59" s="5334"/>
      <c r="AL59" s="5334"/>
      <c r="AM59" s="5334"/>
    </row>
    <row r="60" spans="1:44" ht="14.25" customHeight="1">
      <c r="O60" s="461"/>
      <c r="T60" s="5334"/>
      <c r="U60" s="5334"/>
      <c r="V60" s="5334"/>
      <c r="W60" s="5334"/>
      <c r="X60" s="5334"/>
      <c r="Y60" s="5334"/>
      <c r="Z60" s="5334"/>
      <c r="AA60" s="5334"/>
      <c r="AB60" s="5334"/>
      <c r="AC60" s="5334"/>
      <c r="AD60" s="5334"/>
      <c r="AE60" s="5334"/>
      <c r="AF60" s="5334"/>
      <c r="AG60" s="5334"/>
      <c r="AH60" s="5334"/>
      <c r="AI60" s="5334"/>
      <c r="AJ60" s="5334"/>
      <c r="AK60" s="5334"/>
      <c r="AL60" s="5334"/>
      <c r="AM60" s="5334"/>
    </row>
    <row r="61" spans="1:44" ht="14.25" customHeight="1">
      <c r="O61" s="461"/>
      <c r="T61" s="5334"/>
      <c r="U61" s="5334"/>
      <c r="V61" s="5334"/>
      <c r="W61" s="5334"/>
      <c r="X61" s="5334"/>
      <c r="Y61" s="5334"/>
      <c r="Z61" s="5334"/>
      <c r="AA61" s="5334"/>
      <c r="AB61" s="5334"/>
      <c r="AC61" s="5334"/>
      <c r="AD61" s="5334"/>
      <c r="AE61" s="5334"/>
      <c r="AF61" s="5334"/>
      <c r="AG61" s="5334"/>
      <c r="AH61" s="5334"/>
      <c r="AI61" s="5334"/>
      <c r="AJ61" s="5334"/>
      <c r="AK61" s="5334"/>
      <c r="AL61" s="5334"/>
      <c r="AM61" s="5334"/>
    </row>
    <row r="62" spans="1:44" ht="14.25" customHeight="1">
      <c r="O62" s="461"/>
    </row>
    <row r="63" spans="1:44" ht="14.25" customHeight="1">
      <c r="O63" s="461"/>
      <c r="S63" s="1163"/>
      <c r="T63" s="5233"/>
      <c r="U63" s="5334"/>
      <c r="V63" s="5334"/>
      <c r="W63" s="5334"/>
      <c r="X63" s="5334"/>
      <c r="Y63" s="5334"/>
      <c r="Z63" s="5334"/>
      <c r="AA63" s="5334"/>
      <c r="AB63" s="5334"/>
      <c r="AC63" s="5334"/>
      <c r="AD63" s="5334"/>
      <c r="AE63" s="5334"/>
      <c r="AF63" s="5334"/>
      <c r="AG63" s="5334"/>
      <c r="AH63" s="5334"/>
      <c r="AI63" s="5334"/>
      <c r="AJ63" s="5334"/>
      <c r="AK63" s="5334"/>
      <c r="AL63" s="5334"/>
      <c r="AM63" s="5334"/>
    </row>
    <row r="64" spans="1:44" ht="14.25" customHeight="1">
      <c r="O64" s="461"/>
      <c r="T64" s="5334"/>
      <c r="U64" s="5334"/>
      <c r="V64" s="5334"/>
      <c r="W64" s="5334"/>
      <c r="X64" s="5334"/>
      <c r="Y64" s="5334"/>
      <c r="Z64" s="5334"/>
      <c r="AA64" s="5334"/>
      <c r="AB64" s="5334"/>
      <c r="AC64" s="5334"/>
      <c r="AD64" s="5334"/>
      <c r="AE64" s="5334"/>
      <c r="AF64" s="5334"/>
      <c r="AG64" s="5334"/>
      <c r="AH64" s="5334"/>
      <c r="AI64" s="5334"/>
      <c r="AJ64" s="5334"/>
      <c r="AK64" s="5334"/>
      <c r="AL64" s="5334"/>
      <c r="AM64" s="5334"/>
    </row>
    <row r="65" spans="20:39" ht="14.25" customHeight="1">
      <c r="T65" s="5334"/>
      <c r="U65" s="5334"/>
      <c r="V65" s="5334"/>
      <c r="W65" s="5334"/>
      <c r="X65" s="5334"/>
      <c r="Y65" s="5334"/>
      <c r="Z65" s="5334"/>
      <c r="AA65" s="5334"/>
      <c r="AB65" s="5334"/>
      <c r="AC65" s="5334"/>
      <c r="AD65" s="5334"/>
      <c r="AE65" s="5334"/>
      <c r="AF65" s="5334"/>
      <c r="AG65" s="5334"/>
      <c r="AH65" s="5334"/>
      <c r="AI65" s="5334"/>
      <c r="AJ65" s="5334"/>
      <c r="AK65" s="5334"/>
      <c r="AL65" s="5334"/>
      <c r="AM65" s="533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E151"/>
  <sheetViews>
    <sheetView showGridLines="0" topLeftCell="R29" zoomScale="90" workbookViewId="0">
      <selection activeCell="AG132" sqref="AG132:AY132"/>
    </sheetView>
  </sheetViews>
  <sheetFormatPr defaultColWidth="10.5703125" defaultRowHeight="14.25" customHeight="1"/>
  <cols>
    <col min="1" max="1" width="10.5703125" style="2112" hidden="1"/>
    <col min="2" max="2" width="11" style="2112" hidden="1" customWidth="1"/>
    <col min="3" max="3" width="10.5703125" style="2112" hidden="1"/>
    <col min="4" max="4" width="11.85546875" style="2112" hidden="1" customWidth="1"/>
    <col min="5" max="5" width="10" style="2112" hidden="1" customWidth="1"/>
    <col min="6" max="6" width="8.7109375" style="2112" hidden="1" customWidth="1"/>
    <col min="7" max="7" width="7.5703125" style="2112" hidden="1" customWidth="1"/>
    <col min="8" max="8" width="11.42578125" style="2112" hidden="1" customWidth="1"/>
    <col min="9" max="9" width="12" style="2112" hidden="1" customWidth="1"/>
    <col min="10" max="10" width="9.85546875" style="2112" hidden="1" customWidth="1"/>
    <col min="11" max="12" width="11.42578125" style="2112" hidden="1" customWidth="1"/>
    <col min="13" max="13" width="19.140625" style="4055" hidden="1" customWidth="1"/>
    <col min="14" max="15" width="12.28515625" style="2181" hidden="1" customWidth="1"/>
    <col min="16" max="16" width="23.42578125" style="2181" hidden="1" customWidth="1"/>
    <col min="17" max="17" width="3.7109375" style="2181" hidden="1" customWidth="1"/>
    <col min="18" max="20" width="3.7109375" style="3147" customWidth="1"/>
    <col min="21" max="21" width="12.7109375" style="3148" customWidth="1"/>
    <col min="22" max="22" width="32" style="2112" customWidth="1"/>
    <col min="23" max="23" width="0.140625" style="2112" customWidth="1"/>
    <col min="24" max="28" width="21.7109375" style="2112" hidden="1" customWidth="1"/>
    <col min="29" max="29" width="11.7109375" style="2112" hidden="1" customWidth="1"/>
    <col min="30" max="30" width="3.7109375" style="2112" hidden="1" customWidth="1"/>
    <col min="31" max="31" width="11.7109375" style="2112" hidden="1" customWidth="1"/>
    <col min="32" max="32" width="8.5703125" style="2112" hidden="1" customWidth="1"/>
    <col min="33" max="37" width="21.7109375" style="2112" customWidth="1"/>
    <col min="38" max="38" width="11.7109375" style="2112" customWidth="1"/>
    <col min="39" max="39" width="3.7109375" style="2112" customWidth="1"/>
    <col min="40" max="40" width="11.7109375" style="2112" customWidth="1"/>
    <col min="41" max="41" width="8.5703125" style="2112" customWidth="1"/>
    <col min="50" max="50" width="10.5703125" hidden="1"/>
    <col min="51" max="51" width="4.7109375" style="2112" customWidth="1"/>
    <col min="52" max="52" width="115.7109375" style="2112" customWidth="1"/>
    <col min="53" max="54" width="10.5703125" style="1819"/>
    <col min="55" max="55" width="11.140625" style="1819" customWidth="1"/>
    <col min="56" max="57" width="10.5703125" style="1819"/>
  </cols>
  <sheetData>
    <row r="1" spans="1:57" ht="14.25" hidden="1" customHeight="1">
      <c r="AB1" s="253"/>
      <c r="AC1" s="253"/>
      <c r="AK1" s="253"/>
      <c r="AL1" s="253"/>
      <c r="AP1" s="2138"/>
      <c r="AQ1" s="2138"/>
      <c r="AR1" s="2138"/>
      <c r="AS1" s="2138"/>
      <c r="AT1" s="2138"/>
      <c r="AU1" s="2138"/>
      <c r="AV1" s="2138"/>
      <c r="AW1" s="2138"/>
      <c r="AX1" s="2138"/>
    </row>
    <row r="2" spans="1:57" ht="21" hidden="1" customHeight="1">
      <c r="A2" s="1185"/>
      <c r="B2" s="1185"/>
      <c r="C2" s="1185"/>
      <c r="D2" s="1185"/>
      <c r="E2" s="5344">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127</v>
      </c>
      <c r="W2" s="218"/>
      <c r="X2" s="5300"/>
      <c r="Y2" s="5301"/>
      <c r="Z2" s="5301"/>
      <c r="AA2" s="5301"/>
      <c r="AB2" s="5301"/>
      <c r="AC2" s="5301"/>
      <c r="AD2" s="5301"/>
      <c r="AE2" s="5301"/>
      <c r="AF2" s="5302"/>
      <c r="AG2" s="5300" t="e">
        <f>INDEX(PT_DIFFERENTIATION_NTAR,MATCH(A2,PT_DIFFERENTIATION_NTAR_ID,0))</f>
        <v>#N/A</v>
      </c>
      <c r="AH2" s="5301"/>
      <c r="AI2" s="5301"/>
      <c r="AJ2" s="5301"/>
      <c r="AK2" s="5301"/>
      <c r="AL2" s="5301"/>
      <c r="AM2" s="5301"/>
      <c r="AN2" s="5301"/>
      <c r="AO2" s="5301"/>
      <c r="AP2" s="5300"/>
      <c r="AQ2" s="5301"/>
      <c r="AR2" s="5301"/>
      <c r="AS2" s="5301"/>
      <c r="AT2" s="5301"/>
      <c r="AU2" s="5301"/>
      <c r="AV2" s="5301"/>
      <c r="AW2" s="5301"/>
      <c r="AX2" s="5302"/>
      <c r="AY2" s="5302"/>
      <c r="AZ2" s="1176" t="s">
        <v>515</v>
      </c>
      <c r="BB2" s="425"/>
      <c r="BC2" s="425" t="str">
        <f t="shared" ref="BC2:BC8" si="0">IF(V2="","",V2)</f>
        <v>Наименование тарифа</v>
      </c>
      <c r="BD2" s="425"/>
      <c r="BE2" s="425"/>
    </row>
    <row r="3" spans="1:57" ht="21" hidden="1" customHeight="1">
      <c r="A3" s="1185"/>
      <c r="B3" s="1185"/>
      <c r="C3" s="1185"/>
      <c r="D3" s="1185"/>
      <c r="E3" s="5345"/>
      <c r="F3" s="5344">
        <v>1</v>
      </c>
      <c r="G3" s="1185"/>
      <c r="H3" s="1185"/>
      <c r="I3" s="1185"/>
      <c r="J3" s="1185"/>
      <c r="K3" s="1185"/>
      <c r="L3" s="1185"/>
      <c r="M3" s="1227"/>
      <c r="N3" s="607"/>
      <c r="O3" s="607"/>
      <c r="P3" s="607"/>
      <c r="Q3" s="1248"/>
      <c r="R3" s="276"/>
      <c r="S3" s="434"/>
      <c r="T3" s="277"/>
      <c r="U3" s="1252" t="e">
        <f>INDEX(PT_DIFFERENTIATION_NUM_TER,MATCH(B3,PT_DIFFERENTIATION_TER_ID,0))</f>
        <v>#N/A</v>
      </c>
      <c r="V3" s="228" t="s">
        <v>516</v>
      </c>
      <c r="W3" s="218"/>
      <c r="X3" s="5300"/>
      <c r="Y3" s="5301"/>
      <c r="Z3" s="5301"/>
      <c r="AA3" s="5301"/>
      <c r="AB3" s="5301"/>
      <c r="AC3" s="5301"/>
      <c r="AD3" s="5301"/>
      <c r="AE3" s="5301"/>
      <c r="AF3" s="5302"/>
      <c r="AG3" s="5300" t="e">
        <f>INDEX(PT_DIFFERENTIATION_TER,MATCH(B3,PT_DIFFERENTIATION_TER_ID,0))</f>
        <v>#N/A</v>
      </c>
      <c r="AH3" s="5301"/>
      <c r="AI3" s="5301"/>
      <c r="AJ3" s="5301"/>
      <c r="AK3" s="5301"/>
      <c r="AL3" s="5301"/>
      <c r="AM3" s="5301"/>
      <c r="AN3" s="5301"/>
      <c r="AO3" s="5301"/>
      <c r="AP3" s="5300"/>
      <c r="AQ3" s="5301"/>
      <c r="AR3" s="5301"/>
      <c r="AS3" s="5301"/>
      <c r="AT3" s="5301"/>
      <c r="AU3" s="5301"/>
      <c r="AV3" s="5301"/>
      <c r="AW3" s="5301"/>
      <c r="AX3" s="5302"/>
      <c r="AY3" s="5302"/>
      <c r="AZ3" s="1176" t="s">
        <v>517</v>
      </c>
      <c r="BB3" s="425"/>
      <c r="BC3" s="425" t="str">
        <f t="shared" si="0"/>
        <v>Территория действия тарифа</v>
      </c>
      <c r="BD3" s="425"/>
      <c r="BE3" s="425"/>
    </row>
    <row r="4" spans="1:57" ht="22.5" hidden="1" customHeight="1">
      <c r="A4" s="1185"/>
      <c r="B4" s="1185"/>
      <c r="C4" s="1185"/>
      <c r="D4" s="1185"/>
      <c r="E4" s="5345"/>
      <c r="F4" s="5345"/>
      <c r="G4" s="5344">
        <v>1</v>
      </c>
      <c r="H4" s="1185"/>
      <c r="I4" s="1185"/>
      <c r="J4" s="1185"/>
      <c r="K4" s="1185"/>
      <c r="L4" s="1185"/>
      <c r="M4" s="1227"/>
      <c r="N4" s="607"/>
      <c r="O4" s="607"/>
      <c r="P4" s="607"/>
      <c r="Q4" s="278"/>
      <c r="R4" s="276"/>
      <c r="S4" s="434"/>
      <c r="T4" s="277"/>
      <c r="U4" s="1252" t="e">
        <f>INDEX(PT_DIFFERENTIATION_NUM_CS,MATCH(C4,PT_DIFFERENTIATION_CS_ID,0))</f>
        <v>#N/A</v>
      </c>
      <c r="V4" s="229" t="s">
        <v>518</v>
      </c>
      <c r="W4" s="218"/>
      <c r="X4" s="5300"/>
      <c r="Y4" s="5301"/>
      <c r="Z4" s="5301"/>
      <c r="AA4" s="5301"/>
      <c r="AB4" s="5301"/>
      <c r="AC4" s="5301"/>
      <c r="AD4" s="5301"/>
      <c r="AE4" s="5301"/>
      <c r="AF4" s="5302"/>
      <c r="AG4" s="5300" t="e">
        <f>INDEX(PT_DIFFERENTIATION_CS,MATCH(C4,PT_DIFFERENTIATION_CS_ID,0))</f>
        <v>#N/A</v>
      </c>
      <c r="AH4" s="5301"/>
      <c r="AI4" s="5301"/>
      <c r="AJ4" s="5301"/>
      <c r="AK4" s="5301"/>
      <c r="AL4" s="5301"/>
      <c r="AM4" s="5301"/>
      <c r="AN4" s="5301"/>
      <c r="AO4" s="5301"/>
      <c r="AP4" s="5300"/>
      <c r="AQ4" s="5301"/>
      <c r="AR4" s="5301"/>
      <c r="AS4" s="5301"/>
      <c r="AT4" s="5301"/>
      <c r="AU4" s="5301"/>
      <c r="AV4" s="5301"/>
      <c r="AW4" s="5301"/>
      <c r="AX4" s="5302"/>
      <c r="AY4" s="5302"/>
      <c r="AZ4" s="1176" t="s">
        <v>519</v>
      </c>
      <c r="BB4" s="425"/>
      <c r="BC4" s="425" t="str">
        <f t="shared" si="0"/>
        <v xml:space="preserve">Наименование системы теплоснабжения </v>
      </c>
      <c r="BD4" s="425"/>
      <c r="BE4" s="425"/>
    </row>
    <row r="5" spans="1:57" ht="21" hidden="1" customHeight="1">
      <c r="A5" s="1185"/>
      <c r="B5" s="1185"/>
      <c r="C5" s="1185"/>
      <c r="D5" s="1185"/>
      <c r="E5" s="5345"/>
      <c r="F5" s="5345"/>
      <c r="G5" s="5345"/>
      <c r="H5" s="5344">
        <v>1</v>
      </c>
      <c r="I5" s="1185"/>
      <c r="J5" s="1185"/>
      <c r="K5" s="1185"/>
      <c r="L5" s="1185"/>
      <c r="M5" s="1227"/>
      <c r="N5" s="607"/>
      <c r="O5" s="607"/>
      <c r="P5" s="607"/>
      <c r="Q5" s="278"/>
      <c r="R5" s="276"/>
      <c r="S5" s="434"/>
      <c r="T5" s="277"/>
      <c r="U5" s="1252" t="e">
        <f>INDEX(PT_DIFFERENTIATION_NUM_IST_TE,MATCH(D5,PT_DIFFERENTIATION_IST_TE_ID,0))</f>
        <v>#N/A</v>
      </c>
      <c r="V5" s="230" t="s">
        <v>520</v>
      </c>
      <c r="W5" s="218"/>
      <c r="X5" s="5300"/>
      <c r="Y5" s="5301"/>
      <c r="Z5" s="5301"/>
      <c r="AA5" s="5301"/>
      <c r="AB5" s="5301"/>
      <c r="AC5" s="5301"/>
      <c r="AD5" s="5301"/>
      <c r="AE5" s="5301"/>
      <c r="AF5" s="5302"/>
      <c r="AG5" s="5300" t="e">
        <f>INDEX(PT_DIFFERENTIATION_IST_TE,MATCH(D5,PT_DIFFERENTIATION_IST_TE_ID,0))</f>
        <v>#N/A</v>
      </c>
      <c r="AH5" s="5301"/>
      <c r="AI5" s="5301"/>
      <c r="AJ5" s="5301"/>
      <c r="AK5" s="5301"/>
      <c r="AL5" s="5301"/>
      <c r="AM5" s="5301"/>
      <c r="AN5" s="5301"/>
      <c r="AO5" s="5301"/>
      <c r="AP5" s="5300"/>
      <c r="AQ5" s="5301"/>
      <c r="AR5" s="5301"/>
      <c r="AS5" s="5301"/>
      <c r="AT5" s="5301"/>
      <c r="AU5" s="5301"/>
      <c r="AV5" s="5301"/>
      <c r="AW5" s="5301"/>
      <c r="AX5" s="5302"/>
      <c r="AY5" s="5302"/>
      <c r="AZ5" s="1176" t="s">
        <v>521</v>
      </c>
      <c r="BB5" s="425"/>
      <c r="BC5" s="425" t="str">
        <f t="shared" si="0"/>
        <v xml:space="preserve">Источник тепловой энергии  </v>
      </c>
      <c r="BD5" s="425"/>
      <c r="BE5" s="425"/>
    </row>
    <row r="6" spans="1:57" ht="14.25" hidden="1" customHeight="1">
      <c r="A6" s="1185"/>
      <c r="B6" s="1185"/>
      <c r="C6" s="1185"/>
      <c r="D6" s="1185"/>
      <c r="E6" s="5345"/>
      <c r="F6" s="5345"/>
      <c r="G6" s="5345"/>
      <c r="H6" s="5345"/>
      <c r="I6" s="5180" t="e">
        <f>U5&amp;".1"</f>
        <v>#N/A</v>
      </c>
      <c r="J6" s="1185"/>
      <c r="K6" s="1185"/>
      <c r="L6" s="1185"/>
      <c r="M6" s="1227" t="s">
        <v>522</v>
      </c>
      <c r="N6" s="434"/>
      <c r="Q6" s="5313">
        <v>1</v>
      </c>
      <c r="R6" s="1247"/>
      <c r="S6" s="1247"/>
      <c r="T6" s="280"/>
      <c r="U6" s="948"/>
      <c r="V6" s="1298"/>
      <c r="W6" s="1299"/>
      <c r="X6" s="5341"/>
      <c r="Y6" s="5342"/>
      <c r="Z6" s="5342"/>
      <c r="AA6" s="5342"/>
      <c r="AB6" s="5342"/>
      <c r="AC6" s="5342"/>
      <c r="AD6" s="5342"/>
      <c r="AE6" s="5342"/>
      <c r="AF6" s="5343"/>
      <c r="AG6" s="5341"/>
      <c r="AH6" s="5342"/>
      <c r="AI6" s="5342"/>
      <c r="AJ6" s="5342"/>
      <c r="AK6" s="5342"/>
      <c r="AL6" s="5342"/>
      <c r="AM6" s="5342"/>
      <c r="AN6" s="5342"/>
      <c r="AO6" s="5342"/>
      <c r="AP6" s="5341"/>
      <c r="AQ6" s="5342"/>
      <c r="AR6" s="5342"/>
      <c r="AS6" s="5342"/>
      <c r="AT6" s="5342"/>
      <c r="AU6" s="5342"/>
      <c r="AV6" s="5342"/>
      <c r="AW6" s="5342"/>
      <c r="AX6" s="5343"/>
      <c r="AY6" s="5343"/>
      <c r="AZ6" s="1300"/>
      <c r="BB6" s="425"/>
      <c r="BC6" s="425" t="str">
        <f t="shared" si="0"/>
        <v/>
      </c>
      <c r="BD6" s="425"/>
      <c r="BE6" s="425"/>
    </row>
    <row r="7" spans="1:57" ht="21" hidden="1" customHeight="1">
      <c r="A7" s="1185"/>
      <c r="B7" s="1185"/>
      <c r="C7" s="1185"/>
      <c r="D7" s="1185"/>
      <c r="E7" s="5345"/>
      <c r="F7" s="5345"/>
      <c r="G7" s="5345"/>
      <c r="H7" s="5345"/>
      <c r="I7" s="5151"/>
      <c r="J7" s="5180" t="e">
        <f>I6&amp;".1"</f>
        <v>#N/A</v>
      </c>
      <c r="K7" s="1185"/>
      <c r="L7" s="1185"/>
      <c r="M7" s="1227" t="s">
        <v>525</v>
      </c>
      <c r="N7" s="434"/>
      <c r="O7" s="253"/>
      <c r="Q7" s="5313"/>
      <c r="R7" s="5313">
        <v>1</v>
      </c>
      <c r="S7" s="443"/>
      <c r="T7" s="281"/>
      <c r="U7" s="1252" t="e">
        <f>$J7</f>
        <v>#N/A</v>
      </c>
      <c r="V7" s="204" t="s">
        <v>526</v>
      </c>
      <c r="W7" s="218"/>
      <c r="X7" s="5303"/>
      <c r="Y7" s="5304"/>
      <c r="Z7" s="5304"/>
      <c r="AA7" s="5304"/>
      <c r="AB7" s="5304"/>
      <c r="AC7" s="5296"/>
      <c r="AD7" s="5296"/>
      <c r="AE7" s="5296"/>
      <c r="AF7" s="5346"/>
      <c r="AG7" s="5303"/>
      <c r="AH7" s="5304"/>
      <c r="AI7" s="5304"/>
      <c r="AJ7" s="5304"/>
      <c r="AK7" s="5304"/>
      <c r="AL7" s="5304"/>
      <c r="AM7" s="5304"/>
      <c r="AN7" s="5304"/>
      <c r="AO7" s="5304"/>
      <c r="AP7" s="5303"/>
      <c r="AQ7" s="5304"/>
      <c r="AR7" s="5304"/>
      <c r="AS7" s="5304"/>
      <c r="AT7" s="5304"/>
      <c r="AU7" s="5296"/>
      <c r="AV7" s="5296"/>
      <c r="AW7" s="5296"/>
      <c r="AX7" s="5346"/>
      <c r="AY7" s="5305"/>
      <c r="AZ7" s="1176" t="s">
        <v>527</v>
      </c>
      <c r="BB7" s="425"/>
      <c r="BC7" s="425" t="str">
        <f t="shared" si="0"/>
        <v>Группа потребителей</v>
      </c>
      <c r="BD7" s="425"/>
      <c r="BE7" s="425"/>
    </row>
    <row r="8" spans="1:57" ht="21" hidden="1" customHeight="1">
      <c r="A8" s="1185"/>
      <c r="B8" s="1185"/>
      <c r="C8" s="1185"/>
      <c r="D8" s="1185"/>
      <c r="E8" s="5345"/>
      <c r="F8" s="5345"/>
      <c r="G8" s="5345"/>
      <c r="H8" s="5345"/>
      <c r="I8" s="5151"/>
      <c r="J8" s="5151"/>
      <c r="K8" s="5180" t="e">
        <f>J7&amp;".1"</f>
        <v>#N/A</v>
      </c>
      <c r="L8" s="65"/>
      <c r="M8" s="1227" t="s">
        <v>528</v>
      </c>
      <c r="N8" s="434"/>
      <c r="O8" s="253"/>
      <c r="P8" s="253"/>
      <c r="Q8" s="5313"/>
      <c r="R8" s="5313"/>
      <c r="S8" s="5313">
        <v>1</v>
      </c>
      <c r="T8" s="281"/>
      <c r="U8" s="1252" t="e">
        <f>$K8</f>
        <v>#N/A</v>
      </c>
      <c r="V8" s="1263"/>
      <c r="W8" s="218"/>
      <c r="X8" s="667"/>
      <c r="Y8" s="667"/>
      <c r="Z8" s="667"/>
      <c r="AA8" s="667"/>
      <c r="AB8" s="1320"/>
      <c r="AC8" s="5317"/>
      <c r="AD8" s="5161" t="s">
        <v>62</v>
      </c>
      <c r="AE8" s="5317"/>
      <c r="AF8" s="5161" t="s">
        <v>62</v>
      </c>
      <c r="AG8" s="1322"/>
      <c r="AH8" s="667"/>
      <c r="AI8" s="667"/>
      <c r="AJ8" s="667"/>
      <c r="AK8" s="1175"/>
      <c r="AL8" s="5317"/>
      <c r="AM8" s="5161" t="s">
        <v>62</v>
      </c>
      <c r="AN8" s="5317"/>
      <c r="AO8" s="5161" t="s">
        <v>62</v>
      </c>
      <c r="AP8" s="2139"/>
      <c r="AQ8" s="2139"/>
      <c r="AR8" s="2139"/>
      <c r="AS8" s="2139"/>
      <c r="AT8" s="4030"/>
      <c r="AU8" s="5317"/>
      <c r="AV8" s="5161" t="s">
        <v>62</v>
      </c>
      <c r="AW8" s="5317"/>
      <c r="AX8" s="5161" t="s">
        <v>62</v>
      </c>
      <c r="AY8" s="250"/>
      <c r="AZ8" s="1225" t="s">
        <v>572</v>
      </c>
      <c r="BA8" s="436" t="e">
        <f ca="1">STRCHECKDATE(X10:AY10)</f>
        <v>#NAME?</v>
      </c>
      <c r="BB8" s="425"/>
      <c r="BC8" s="425" t="str">
        <f t="shared" si="0"/>
        <v/>
      </c>
      <c r="BD8" s="425"/>
      <c r="BE8" s="425"/>
    </row>
    <row r="9" spans="1:57" ht="21" hidden="1" customHeight="1">
      <c r="A9" s="1185"/>
      <c r="B9" s="1185"/>
      <c r="C9" s="1185"/>
      <c r="D9" s="1185"/>
      <c r="E9" s="5345"/>
      <c r="F9" s="5345"/>
      <c r="G9" s="5345"/>
      <c r="H9" s="5345"/>
      <c r="I9" s="5151"/>
      <c r="J9" s="5151"/>
      <c r="K9" s="5151"/>
      <c r="L9" s="5180" t="e">
        <f>K8&amp;".1"</f>
        <v>#N/A</v>
      </c>
      <c r="M9" s="1227"/>
      <c r="N9" s="434"/>
      <c r="O9" s="253"/>
      <c r="P9" s="253"/>
      <c r="Q9" s="5313"/>
      <c r="R9" s="5313"/>
      <c r="S9" s="5313"/>
      <c r="T9" s="281"/>
      <c r="U9" s="1252" t="e">
        <f>$L9</f>
        <v>#N/A</v>
      </c>
      <c r="V9" s="1306"/>
      <c r="W9" s="218"/>
      <c r="X9" s="250"/>
      <c r="Y9" s="667"/>
      <c r="Z9" s="667"/>
      <c r="AA9" s="667"/>
      <c r="AB9" s="1320"/>
      <c r="AC9" s="5318"/>
      <c r="AD9" s="5161"/>
      <c r="AE9" s="5318"/>
      <c r="AF9" s="5161"/>
      <c r="AG9" s="1322"/>
      <c r="AH9" s="667"/>
      <c r="AI9" s="667"/>
      <c r="AJ9" s="667"/>
      <c r="AK9" s="1175"/>
      <c r="AL9" s="5318"/>
      <c r="AM9" s="5161"/>
      <c r="AN9" s="5318"/>
      <c r="AO9" s="5161"/>
      <c r="AP9" s="2140"/>
      <c r="AQ9" s="2139"/>
      <c r="AR9" s="2139"/>
      <c r="AS9" s="2139"/>
      <c r="AT9" s="4030"/>
      <c r="AU9" s="5318"/>
      <c r="AV9" s="5161"/>
      <c r="AW9" s="5318"/>
      <c r="AX9" s="5161"/>
      <c r="AY9" s="250"/>
      <c r="AZ9" s="5309" t="s">
        <v>573</v>
      </c>
      <c r="BB9" s="425"/>
      <c r="BC9" s="425"/>
      <c r="BD9" s="425"/>
      <c r="BE9" s="425"/>
    </row>
    <row r="10" spans="1:57" ht="14.25" hidden="1" customHeight="1">
      <c r="A10" s="1185"/>
      <c r="B10" s="1185"/>
      <c r="C10" s="1185"/>
      <c r="D10" s="1185"/>
      <c r="E10" s="5345"/>
      <c r="F10" s="5345"/>
      <c r="G10" s="5345"/>
      <c r="H10" s="5345"/>
      <c r="I10" s="5151"/>
      <c r="J10" s="5151"/>
      <c r="K10" s="5151"/>
      <c r="L10" s="5180"/>
      <c r="M10" s="1227"/>
      <c r="N10" s="434"/>
      <c r="O10" s="253"/>
      <c r="P10" s="253"/>
      <c r="Q10" s="5313"/>
      <c r="R10" s="5313"/>
      <c r="S10" s="5313"/>
      <c r="T10" s="281"/>
      <c r="U10" s="1258"/>
      <c r="V10" s="218"/>
      <c r="W10" s="218"/>
      <c r="X10" s="250"/>
      <c r="Y10" s="250"/>
      <c r="Z10" s="250"/>
      <c r="AA10" s="250"/>
      <c r="AB10" s="1321" t="str">
        <f>AC8&amp;"-"&amp;AE8</f>
        <v>-</v>
      </c>
      <c r="AC10" s="5318"/>
      <c r="AD10" s="5161"/>
      <c r="AE10" s="5318"/>
      <c r="AF10" s="5161"/>
      <c r="AG10" s="1297"/>
      <c r="AH10" s="250"/>
      <c r="AI10" s="250"/>
      <c r="AJ10" s="250"/>
      <c r="AK10" s="254" t="str">
        <f>AL8&amp;"-"&amp;AN8</f>
        <v>-</v>
      </c>
      <c r="AL10" s="5318"/>
      <c r="AM10" s="5161"/>
      <c r="AN10" s="5318"/>
      <c r="AO10" s="5161"/>
      <c r="AP10" s="2140"/>
      <c r="AQ10" s="2140"/>
      <c r="AR10" s="2140"/>
      <c r="AS10" s="2140"/>
      <c r="AT10" s="4031" t="str">
        <f>AU8&amp;"-"&amp;AW8</f>
        <v>-</v>
      </c>
      <c r="AU10" s="5318"/>
      <c r="AV10" s="5161"/>
      <c r="AW10" s="5318"/>
      <c r="AX10" s="5161"/>
      <c r="AY10" s="250"/>
      <c r="AZ10" s="5310"/>
      <c r="BB10" s="425"/>
      <c r="BC10" s="425" t="str">
        <f>IF(V10="","",V10)</f>
        <v/>
      </c>
      <c r="BD10" s="425"/>
      <c r="BE10" s="425"/>
    </row>
    <row r="11" spans="1:57" ht="11.25" hidden="1" customHeight="1">
      <c r="A11" s="1185"/>
      <c r="B11" s="1185"/>
      <c r="C11" s="1185"/>
      <c r="D11" s="1185"/>
      <c r="E11" s="5345"/>
      <c r="F11" s="5345"/>
      <c r="G11" s="5345"/>
      <c r="H11" s="5345"/>
      <c r="I11" s="5151"/>
      <c r="J11" s="5151"/>
      <c r="K11" s="5180"/>
      <c r="L11" s="1185"/>
      <c r="M11" s="1227"/>
      <c r="N11" s="434"/>
      <c r="O11" s="253"/>
      <c r="P11" s="253"/>
      <c r="Q11" s="5313"/>
      <c r="R11" s="5313"/>
      <c r="S11" s="5313"/>
      <c r="T11" s="281"/>
      <c r="U11" s="1197"/>
      <c r="V11" s="206" t="s">
        <v>574</v>
      </c>
      <c r="W11" s="1307"/>
      <c r="X11" s="1308"/>
      <c r="Y11" s="1308"/>
      <c r="Z11" s="1308"/>
      <c r="AA11" s="1308"/>
      <c r="AB11" s="1309"/>
      <c r="AC11" s="5318"/>
      <c r="AD11" s="5161"/>
      <c r="AE11" s="5318"/>
      <c r="AF11" s="5161"/>
      <c r="AG11" s="1308"/>
      <c r="AH11" s="1308"/>
      <c r="AI11" s="1308"/>
      <c r="AJ11" s="1308"/>
      <c r="AK11" s="1309"/>
      <c r="AL11" s="5318"/>
      <c r="AM11" s="5161"/>
      <c r="AN11" s="5318"/>
      <c r="AO11" s="5161"/>
      <c r="AP11" s="4032"/>
      <c r="AQ11" s="4033"/>
      <c r="AR11" s="4034"/>
      <c r="AS11" s="4035"/>
      <c r="AT11" s="4036"/>
      <c r="AU11" s="5318"/>
      <c r="AV11" s="5161"/>
      <c r="AW11" s="5318"/>
      <c r="AX11" s="5161"/>
      <c r="AY11" s="1310"/>
      <c r="AZ11" s="5310"/>
      <c r="BB11" s="425"/>
      <c r="BC11" s="425"/>
      <c r="BD11" s="425"/>
      <c r="BE11" s="425"/>
    </row>
    <row r="12" spans="1:57" ht="15" hidden="1" customHeight="1">
      <c r="A12" s="1185"/>
      <c r="B12" s="1185"/>
      <c r="C12" s="1185"/>
      <c r="D12" s="1185"/>
      <c r="E12" s="5345"/>
      <c r="F12" s="5345"/>
      <c r="G12" s="5345"/>
      <c r="H12" s="5345"/>
      <c r="I12" s="5151"/>
      <c r="J12" s="5180"/>
      <c r="K12" s="1185"/>
      <c r="L12" s="1185"/>
      <c r="M12" s="1227"/>
      <c r="N12" s="434"/>
      <c r="O12" s="253"/>
      <c r="Q12" s="5313"/>
      <c r="R12" s="5313"/>
      <c r="S12" s="1247"/>
      <c r="T12" s="280"/>
      <c r="U12" s="1197"/>
      <c r="V12" s="205" t="s">
        <v>530</v>
      </c>
      <c r="W12" s="294"/>
      <c r="X12" s="294"/>
      <c r="Y12" s="294"/>
      <c r="Z12" s="294"/>
      <c r="AA12" s="294"/>
      <c r="AB12" s="294"/>
      <c r="AC12" s="1323"/>
      <c r="AD12" s="1323"/>
      <c r="AE12" s="1323"/>
      <c r="AF12" s="1323"/>
      <c r="AG12" s="294"/>
      <c r="AH12" s="294"/>
      <c r="AI12" s="294"/>
      <c r="AJ12" s="294"/>
      <c r="AK12" s="294"/>
      <c r="AL12" s="294"/>
      <c r="AM12" s="294"/>
      <c r="AN12" s="294"/>
      <c r="AO12" s="294"/>
      <c r="AP12" s="4037"/>
      <c r="AQ12" s="4038"/>
      <c r="AR12" s="4039"/>
      <c r="AS12" s="4040"/>
      <c r="AT12" s="4041"/>
      <c r="AU12" s="4042"/>
      <c r="AV12" s="4043"/>
      <c r="AW12" s="4044"/>
      <c r="AX12" s="4045"/>
      <c r="AY12" s="249"/>
      <c r="AZ12" s="5311"/>
      <c r="BB12" s="425"/>
      <c r="BC12" s="425" t="str">
        <f t="shared" ref="BC12:BC17" si="1">IF(V12="","",V12)</f>
        <v>Добавить вид теплоносителя (параметры теплоносителя)</v>
      </c>
      <c r="BD12" s="425"/>
      <c r="BE12" s="425"/>
    </row>
    <row r="13" spans="1:57" ht="11.25" hidden="1" customHeight="1">
      <c r="A13" s="1185"/>
      <c r="B13" s="1185"/>
      <c r="C13" s="1185"/>
      <c r="D13" s="1185"/>
      <c r="E13" s="5345"/>
      <c r="F13" s="5345"/>
      <c r="G13" s="5345"/>
      <c r="H13" s="5345"/>
      <c r="I13" s="5180"/>
      <c r="J13" s="1185"/>
      <c r="K13" s="1185"/>
      <c r="L13" s="1185"/>
      <c r="M13" s="1227"/>
      <c r="N13" s="434"/>
      <c r="Q13" s="5313"/>
      <c r="R13" s="1247"/>
      <c r="S13" s="1247"/>
      <c r="T13" s="280"/>
      <c r="U13" s="1197"/>
      <c r="V13" s="291" t="s">
        <v>531</v>
      </c>
      <c r="W13" s="294"/>
      <c r="X13" s="294"/>
      <c r="Y13" s="294"/>
      <c r="Z13" s="294"/>
      <c r="AA13" s="294"/>
      <c r="AB13" s="294"/>
      <c r="AC13" s="294"/>
      <c r="AD13" s="294"/>
      <c r="AE13" s="294"/>
      <c r="AF13" s="293"/>
      <c r="AG13" s="294"/>
      <c r="AH13" s="294"/>
      <c r="AI13" s="294"/>
      <c r="AJ13" s="294"/>
      <c r="AK13" s="294"/>
      <c r="AL13" s="294"/>
      <c r="AM13" s="294"/>
      <c r="AN13" s="294"/>
      <c r="AO13" s="293"/>
      <c r="AP13" s="4046"/>
      <c r="AQ13" s="4047"/>
      <c r="AR13" s="4048"/>
      <c r="AS13" s="4049"/>
      <c r="AT13" s="4050"/>
      <c r="AU13" s="4051"/>
      <c r="AV13" s="4052"/>
      <c r="AW13" s="4053"/>
      <c r="AX13" s="4054"/>
      <c r="AY13" s="294"/>
      <c r="AZ13" s="221"/>
      <c r="BB13" s="425"/>
      <c r="BC13" s="425" t="str">
        <f t="shared" si="1"/>
        <v>Добавить группу потребителей</v>
      </c>
      <c r="BD13" s="425"/>
      <c r="BE13" s="425"/>
    </row>
    <row r="14" spans="1:57" ht="14.25" hidden="1" customHeight="1">
      <c r="A14" s="1185"/>
      <c r="B14" s="1185"/>
      <c r="C14" s="1185"/>
      <c r="D14" s="1185"/>
      <c r="E14" s="5345"/>
      <c r="F14" s="5345"/>
      <c r="G14" s="5345"/>
      <c r="H14" s="5344"/>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3763"/>
      <c r="AQ14" s="3763"/>
      <c r="AR14" s="3763"/>
      <c r="AS14" s="3763"/>
      <c r="AT14" s="3763"/>
      <c r="AU14" s="3763"/>
      <c r="AV14" s="3763"/>
      <c r="AW14" s="3763"/>
      <c r="AX14" s="3763"/>
      <c r="AY14" s="1303"/>
      <c r="AZ14" s="1304"/>
      <c r="BB14" s="425"/>
      <c r="BC14" s="425" t="str">
        <f t="shared" si="1"/>
        <v/>
      </c>
      <c r="BD14" s="425"/>
      <c r="BE14" s="425"/>
    </row>
    <row r="15" spans="1:57" s="2167" customFormat="1" ht="14.25" hidden="1" customHeight="1">
      <c r="A15" s="1289"/>
      <c r="B15" s="1289"/>
      <c r="C15" s="1289"/>
      <c r="D15" s="1289"/>
      <c r="E15" s="5345"/>
      <c r="F15" s="5345"/>
      <c r="G15" s="5344"/>
      <c r="H15" s="1289"/>
      <c r="I15" s="1289"/>
      <c r="J15" s="1289"/>
      <c r="K15" s="1289"/>
      <c r="L15" s="1289"/>
      <c r="M15" s="1292"/>
      <c r="N15" s="1293"/>
      <c r="O15" s="1293"/>
      <c r="P15" s="275"/>
      <c r="Q15" s="1233"/>
      <c r="R15" s="1234"/>
      <c r="S15" s="1233"/>
      <c r="T15" s="1233"/>
      <c r="U15" s="1235"/>
      <c r="V15" s="1236" t="s">
        <v>168</v>
      </c>
      <c r="W15" s="1237"/>
      <c r="X15" s="1237"/>
      <c r="Y15" s="1237"/>
      <c r="Z15" s="1237"/>
      <c r="AA15" s="1237"/>
      <c r="AB15" s="1237"/>
      <c r="AC15" s="1237"/>
      <c r="AD15" s="1237"/>
      <c r="AE15" s="1237"/>
      <c r="AF15" s="1237"/>
      <c r="AG15" s="1237"/>
      <c r="AH15" s="1237"/>
      <c r="AI15" s="1237"/>
      <c r="AJ15" s="1237"/>
      <c r="AK15" s="1237"/>
      <c r="AL15" s="1237"/>
      <c r="AM15" s="1237"/>
      <c r="AN15" s="1237"/>
      <c r="AO15" s="1237"/>
      <c r="AP15" s="2168"/>
      <c r="AQ15" s="2168"/>
      <c r="AR15" s="2168"/>
      <c r="AS15" s="2168"/>
      <c r="AT15" s="2168"/>
      <c r="AU15" s="2168"/>
      <c r="AV15" s="2168"/>
      <c r="AW15" s="2168"/>
      <c r="AX15" s="2168"/>
      <c r="AY15" s="1237"/>
      <c r="AZ15" s="1237"/>
      <c r="BB15" s="705"/>
      <c r="BC15" s="705" t="str">
        <f t="shared" si="1"/>
        <v>Добавить источник для дифференциации</v>
      </c>
      <c r="BD15" s="705"/>
      <c r="BE15" s="705"/>
    </row>
    <row r="16" spans="1:57" s="2167" customFormat="1" ht="14.25" hidden="1" customHeight="1">
      <c r="A16" s="1289"/>
      <c r="B16" s="1289"/>
      <c r="C16" s="1289"/>
      <c r="D16" s="1289"/>
      <c r="E16" s="5345"/>
      <c r="F16" s="5344"/>
      <c r="G16" s="1289"/>
      <c r="H16" s="1289"/>
      <c r="I16" s="1289"/>
      <c r="J16" s="1289"/>
      <c r="K16" s="1289"/>
      <c r="L16" s="1289"/>
      <c r="M16" s="1292"/>
      <c r="N16" s="1294"/>
      <c r="O16" s="1294"/>
      <c r="P16" s="275"/>
      <c r="Q16" s="1233"/>
      <c r="R16" s="1234"/>
      <c r="S16" s="1233"/>
      <c r="T16" s="1233"/>
      <c r="U16" s="1239"/>
      <c r="V16" s="1240" t="s">
        <v>169</v>
      </c>
      <c r="W16" s="1241"/>
      <c r="X16" s="1241"/>
      <c r="Y16" s="1241"/>
      <c r="Z16" s="1241"/>
      <c r="AA16" s="1241"/>
      <c r="AB16" s="1241"/>
      <c r="AC16" s="1241"/>
      <c r="AD16" s="1241"/>
      <c r="AE16" s="1241"/>
      <c r="AF16" s="1241"/>
      <c r="AG16" s="1241"/>
      <c r="AH16" s="1241"/>
      <c r="AI16" s="1241"/>
      <c r="AJ16" s="1241"/>
      <c r="AK16" s="1241"/>
      <c r="AL16" s="1241"/>
      <c r="AM16" s="1241"/>
      <c r="AN16" s="1241"/>
      <c r="AO16" s="1241"/>
      <c r="AP16" s="2169"/>
      <c r="AQ16" s="2169"/>
      <c r="AR16" s="2169"/>
      <c r="AS16" s="2169"/>
      <c r="AT16" s="2169"/>
      <c r="AU16" s="2169"/>
      <c r="AV16" s="2169"/>
      <c r="AW16" s="2169"/>
      <c r="AX16" s="2169"/>
      <c r="AY16" s="1241"/>
      <c r="AZ16" s="1241"/>
      <c r="BB16" s="705"/>
      <c r="BC16" s="705" t="str">
        <f t="shared" si="1"/>
        <v>Добавить централизованную систему для дифференциации</v>
      </c>
      <c r="BD16" s="705"/>
      <c r="BE16" s="705"/>
    </row>
    <row r="17" spans="1:57" s="2167" customFormat="1" ht="14.25" hidden="1" customHeight="1">
      <c r="A17" s="1289"/>
      <c r="B17" s="1289"/>
      <c r="C17" s="1289"/>
      <c r="D17" s="1289"/>
      <c r="E17" s="5344"/>
      <c r="F17" s="1289"/>
      <c r="G17" s="1289"/>
      <c r="H17" s="1289"/>
      <c r="I17" s="1289"/>
      <c r="J17" s="1289"/>
      <c r="K17" s="1289"/>
      <c r="L17" s="1289"/>
      <c r="M17" s="1292"/>
      <c r="N17" s="1294"/>
      <c r="O17" s="1294"/>
      <c r="P17" s="275"/>
      <c r="Q17" s="1233"/>
      <c r="R17" s="1234"/>
      <c r="S17" s="1233"/>
      <c r="T17" s="1233"/>
      <c r="U17" s="1239"/>
      <c r="V17" s="1242" t="s">
        <v>174</v>
      </c>
      <c r="W17" s="1241"/>
      <c r="X17" s="1241"/>
      <c r="Y17" s="1241"/>
      <c r="Z17" s="1241"/>
      <c r="AA17" s="1241"/>
      <c r="AB17" s="1241"/>
      <c r="AC17" s="1241"/>
      <c r="AD17" s="1241"/>
      <c r="AE17" s="1241"/>
      <c r="AF17" s="1241"/>
      <c r="AG17" s="1241"/>
      <c r="AH17" s="1241"/>
      <c r="AI17" s="1241"/>
      <c r="AJ17" s="1241"/>
      <c r="AK17" s="1241"/>
      <c r="AL17" s="1241"/>
      <c r="AM17" s="1241"/>
      <c r="AN17" s="1241"/>
      <c r="AO17" s="1241"/>
      <c r="AP17" s="2169"/>
      <c r="AQ17" s="2169"/>
      <c r="AR17" s="2169"/>
      <c r="AS17" s="2169"/>
      <c r="AT17" s="2169"/>
      <c r="AU17" s="2169"/>
      <c r="AV17" s="2169"/>
      <c r="AW17" s="2169"/>
      <c r="AX17" s="2169"/>
      <c r="AY17" s="1241"/>
      <c r="AZ17" s="1241"/>
      <c r="BB17" s="705"/>
      <c r="BC17" s="705" t="str">
        <f t="shared" si="1"/>
        <v>Добавить территорию для дифференциации</v>
      </c>
      <c r="BD17" s="705"/>
      <c r="BE17" s="705"/>
    </row>
    <row r="18" spans="1:57" ht="14.25" hidden="1" customHeight="1">
      <c r="AF18" s="253"/>
      <c r="AO18" s="253"/>
      <c r="AP18" s="2138"/>
      <c r="AQ18" s="2138"/>
      <c r="AR18" s="2138"/>
      <c r="AS18" s="2138"/>
      <c r="AT18" s="2138"/>
      <c r="AU18" s="2138"/>
      <c r="AV18" s="2138"/>
      <c r="AW18" s="2138"/>
      <c r="AX18" s="2138"/>
    </row>
    <row r="19" spans="1:57" ht="14.25" hidden="1" customHeight="1">
      <c r="AG19" s="1275"/>
      <c r="AH19" s="1275"/>
      <c r="AI19" s="1275"/>
      <c r="AJ19" s="1275"/>
      <c r="AK19" s="1276"/>
      <c r="AL19" s="5319"/>
      <c r="AM19" s="5320" t="s">
        <v>62</v>
      </c>
      <c r="AN19" s="5319"/>
      <c r="AO19" s="5320" t="s">
        <v>62</v>
      </c>
      <c r="AP19" s="2138"/>
      <c r="AQ19" s="2138"/>
      <c r="AR19" s="2138"/>
      <c r="AS19" s="2138"/>
      <c r="AT19" s="2138"/>
      <c r="AU19" s="2138"/>
      <c r="AV19" s="2138"/>
      <c r="AW19" s="2138"/>
      <c r="AX19" s="2138"/>
    </row>
    <row r="20" spans="1:57" ht="14.25" hidden="1" customHeight="1">
      <c r="AG20" s="1275"/>
      <c r="AH20" s="1275"/>
      <c r="AI20" s="1275"/>
      <c r="AJ20" s="1275"/>
      <c r="AK20" s="1276"/>
      <c r="AL20" s="5319"/>
      <c r="AM20" s="5320"/>
      <c r="AN20" s="5319"/>
      <c r="AO20" s="5320"/>
      <c r="AP20" s="2138"/>
      <c r="AQ20" s="2138"/>
      <c r="AR20" s="2138"/>
      <c r="AS20" s="2138"/>
      <c r="AT20" s="2138"/>
      <c r="AU20" s="2138"/>
      <c r="AV20" s="2138"/>
      <c r="AW20" s="2138"/>
      <c r="AX20" s="2138"/>
    </row>
    <row r="21" spans="1:57" ht="14.25" hidden="1" customHeight="1">
      <c r="AG21" s="1275"/>
      <c r="AH21" s="1275"/>
      <c r="AI21" s="1275"/>
      <c r="AJ21" s="1275"/>
      <c r="AK21" s="1276"/>
      <c r="AL21" s="5319"/>
      <c r="AM21" s="5320"/>
      <c r="AN21" s="5319"/>
      <c r="AO21" s="5320"/>
      <c r="AP21" s="2138"/>
      <c r="AQ21" s="2138"/>
      <c r="AR21" s="2138"/>
      <c r="AS21" s="2138"/>
      <c r="AT21" s="2138"/>
      <c r="AU21" s="2138"/>
      <c r="AV21" s="2138"/>
      <c r="AW21" s="2138"/>
      <c r="AX21" s="2138"/>
    </row>
    <row r="22" spans="1:57" ht="14.25" hidden="1" customHeight="1">
      <c r="AG22" s="1275"/>
      <c r="AH22" s="1275"/>
      <c r="AI22" s="1275"/>
      <c r="AJ22" s="1275"/>
      <c r="AK22" s="254" t="str">
        <f>AL19&amp;"-"&amp;AN19</f>
        <v>-</v>
      </c>
      <c r="AL22" s="5320"/>
      <c r="AM22" s="5320"/>
      <c r="AN22" s="5320"/>
      <c r="AO22" s="5320"/>
      <c r="AP22" s="2138"/>
      <c r="AQ22" s="2138"/>
      <c r="AR22" s="2138"/>
      <c r="AS22" s="2138"/>
      <c r="AT22" s="2138"/>
      <c r="AU22" s="2138"/>
      <c r="AV22" s="2138"/>
      <c r="AW22" s="2138"/>
      <c r="AX22" s="2138"/>
    </row>
    <row r="23" spans="1:57" ht="14.25" hidden="1" customHeight="1">
      <c r="AO23" s="253"/>
      <c r="AP23" s="2138"/>
      <c r="AQ23" s="2138"/>
      <c r="AR23" s="2138"/>
      <c r="AS23" s="2138"/>
      <c r="AT23" s="2138"/>
      <c r="AU23" s="2138"/>
      <c r="AV23" s="2138"/>
      <c r="AW23" s="2138"/>
      <c r="AX23" s="2138"/>
    </row>
    <row r="24" spans="1:57" s="1832" customFormat="1" ht="22.5" hidden="1" customHeight="1">
      <c r="A24" s="1054"/>
      <c r="B24" s="1054"/>
      <c r="C24" s="1054"/>
      <c r="D24" s="1054"/>
      <c r="E24" s="1054"/>
      <c r="F24" s="1054"/>
      <c r="G24" s="1054"/>
      <c r="H24" s="1054"/>
      <c r="I24" s="1054"/>
      <c r="J24" s="1054"/>
      <c r="K24" s="1054"/>
      <c r="L24" s="1054"/>
      <c r="M24" s="1243"/>
      <c r="N24" s="1244"/>
      <c r="O24" s="1244"/>
      <c r="P24" s="1261" t="s">
        <v>533</v>
      </c>
      <c r="Q24" s="1277"/>
      <c r="R24" s="1286"/>
      <c r="S24" s="1286"/>
      <c r="T24" s="1286"/>
      <c r="U24" s="647"/>
      <c r="AC24" s="1282"/>
      <c r="AE24" s="1282"/>
      <c r="AF24" s="1281"/>
      <c r="AL24" s="1282"/>
      <c r="AN24" s="1282"/>
      <c r="AO24" s="1281"/>
      <c r="AP24" s="2174"/>
      <c r="AQ24" s="2174"/>
      <c r="AR24" s="2174"/>
      <c r="AS24" s="2174"/>
      <c r="AT24" s="2174"/>
      <c r="AU24" s="2175"/>
      <c r="AV24" s="2174"/>
      <c r="AW24" s="2175"/>
      <c r="AX24" s="2174"/>
      <c r="BA24" s="436"/>
      <c r="BB24" s="436"/>
      <c r="BC24" s="436"/>
      <c r="BD24" s="436"/>
      <c r="BE24" s="436"/>
    </row>
    <row r="25" spans="1:57" s="1832"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P25" s="2174"/>
      <c r="AQ25" s="2174"/>
      <c r="AR25" s="2174"/>
      <c r="AS25" s="2174"/>
      <c r="AT25" s="2174"/>
      <c r="AU25" s="2174"/>
      <c r="AV25" s="2174"/>
      <c r="AW25" s="2174"/>
      <c r="AX25" s="2174"/>
      <c r="BA25" s="436"/>
      <c r="BB25" s="436"/>
      <c r="BC25" s="436"/>
      <c r="BD25" s="436"/>
      <c r="BE25" s="436"/>
    </row>
    <row r="26" spans="1:57" s="1832" customFormat="1" ht="14.25" hidden="1" customHeight="1">
      <c r="A26" s="1054"/>
      <c r="B26" s="1054"/>
      <c r="C26" s="1054"/>
      <c r="D26" s="1054"/>
      <c r="E26" s="1054"/>
      <c r="F26" s="1054"/>
      <c r="G26" s="1054"/>
      <c r="H26" s="1054"/>
      <c r="I26" s="1054"/>
      <c r="J26" s="1054"/>
      <c r="K26" s="1054"/>
      <c r="L26" s="1054"/>
      <c r="M26" s="1243"/>
      <c r="N26" s="1244"/>
      <c r="O26" s="1244"/>
      <c r="P26" s="1227" t="s">
        <v>534</v>
      </c>
      <c r="Q26" s="1277"/>
      <c r="R26" s="1286"/>
      <c r="S26" s="1286"/>
      <c r="T26" s="1286"/>
      <c r="U26" s="647"/>
      <c r="V26" s="1059" t="s">
        <v>535</v>
      </c>
      <c r="AD26" s="107" t="s">
        <v>536</v>
      </c>
      <c r="AF26" s="107" t="s">
        <v>537</v>
      </c>
      <c r="AG26" s="1059" t="s">
        <v>535</v>
      </c>
      <c r="AM26" s="107" t="s">
        <v>538</v>
      </c>
      <c r="AO26" s="107" t="s">
        <v>537</v>
      </c>
      <c r="AP26" s="2174"/>
      <c r="AQ26" s="2174"/>
      <c r="AR26" s="2174"/>
      <c r="AS26" s="2174"/>
      <c r="AT26" s="2174"/>
      <c r="AU26" s="2174"/>
      <c r="AV26" s="2176" t="s">
        <v>536</v>
      </c>
      <c r="AW26" s="2174"/>
      <c r="AX26" s="2176" t="s">
        <v>537</v>
      </c>
      <c r="BA26" s="436"/>
      <c r="BB26" s="436"/>
      <c r="BC26" s="436"/>
      <c r="BD26" s="436"/>
      <c r="BE26" s="436"/>
    </row>
    <row r="27" spans="1:57" ht="14.25" hidden="1" customHeight="1">
      <c r="P27" s="1227"/>
      <c r="AP27" s="2138"/>
      <c r="AQ27" s="2138"/>
      <c r="AR27" s="2138"/>
      <c r="AS27" s="2138"/>
      <c r="AT27" s="2138"/>
      <c r="AU27" s="2138"/>
      <c r="AV27" s="2138"/>
      <c r="AW27" s="2138"/>
      <c r="AX27" s="2138"/>
    </row>
    <row r="28" spans="1:57" ht="14.25" hidden="1" customHeight="1">
      <c r="P28" s="1227"/>
      <c r="AP28" s="2138"/>
      <c r="AQ28" s="2138"/>
      <c r="AR28" s="2138"/>
      <c r="AS28" s="2138"/>
      <c r="AT28" s="2138"/>
      <c r="AU28" s="2138"/>
      <c r="AV28" s="2138"/>
      <c r="AW28" s="2138"/>
      <c r="AX28" s="2138"/>
    </row>
    <row r="29" spans="1:57"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c r="AP29" s="2138"/>
      <c r="AQ29" s="2138"/>
      <c r="AR29" s="2138"/>
      <c r="AS29" s="2138"/>
      <c r="AT29" s="2138"/>
      <c r="AU29" s="2138"/>
      <c r="AV29" s="2138"/>
      <c r="AW29" s="2138"/>
      <c r="AX29" s="2138"/>
    </row>
    <row r="30" spans="1:57" ht="54" customHeight="1">
      <c r="R30" s="304"/>
      <c r="S30" s="304"/>
      <c r="T30" s="304"/>
      <c r="U30" s="52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5298"/>
      <c r="W30" s="5298"/>
      <c r="X30" s="5298"/>
      <c r="Y30" s="5298"/>
      <c r="Z30" s="5298"/>
      <c r="AA30" s="5298"/>
      <c r="AB30" s="5298"/>
      <c r="AC30" s="5298"/>
      <c r="AD30" s="5298"/>
      <c r="AE30" s="5298"/>
      <c r="AF30" s="5298"/>
      <c r="AG30" s="5298"/>
      <c r="AH30" s="5298"/>
      <c r="AI30" s="5298"/>
      <c r="AJ30" s="5298"/>
      <c r="AK30" s="5298"/>
      <c r="AL30" s="5298"/>
      <c r="AM30" s="5298"/>
      <c r="AN30" s="5298"/>
      <c r="AO30" s="1151"/>
      <c r="AP30" s="2177"/>
      <c r="AQ30" s="2177"/>
      <c r="AR30" s="2177"/>
      <c r="AS30" s="2177"/>
      <c r="AT30" s="2177"/>
      <c r="AU30" s="2177"/>
      <c r="AV30" s="2177"/>
      <c r="AW30" s="2177"/>
      <c r="AX30" s="2177"/>
    </row>
    <row r="31" spans="1:57" ht="14.25" customHeight="1">
      <c r="R31" s="304"/>
      <c r="S31" s="304"/>
      <c r="T31" s="304"/>
      <c r="U31" s="5245" t="str">
        <f>IF(org=0,"Не определено",org)</f>
        <v>ПАО "ТГК-1" (филиал "Кольский")</v>
      </c>
      <c r="V31" s="5245"/>
      <c r="W31" s="5245"/>
      <c r="X31" s="5245"/>
      <c r="Y31" s="5245"/>
      <c r="Z31" s="5245"/>
      <c r="AA31" s="5245"/>
      <c r="AB31" s="5245"/>
      <c r="AC31" s="5245"/>
      <c r="AD31" s="5245"/>
      <c r="AE31" s="5245"/>
      <c r="AF31" s="5245"/>
      <c r="AG31" s="5245"/>
      <c r="AH31" s="5245"/>
      <c r="AI31" s="5245"/>
      <c r="AJ31" s="5245"/>
      <c r="AK31" s="5245"/>
      <c r="AL31" s="5245"/>
      <c r="AM31" s="5245"/>
      <c r="AN31" s="5245"/>
      <c r="AO31" s="1151"/>
      <c r="AP31" s="2178"/>
      <c r="AQ31" s="2178"/>
      <c r="AR31" s="2178"/>
      <c r="AS31" s="2178"/>
      <c r="AT31" s="2178"/>
      <c r="AU31" s="2178"/>
      <c r="AV31" s="2178"/>
      <c r="AW31" s="2178"/>
      <c r="AX31" s="2178"/>
    </row>
    <row r="32" spans="1:57"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2179"/>
      <c r="AQ32" s="2179"/>
      <c r="AR32" s="2179"/>
      <c r="AS32" s="2179"/>
      <c r="AT32" s="2179"/>
      <c r="AU32" s="2179"/>
      <c r="AV32" s="2179"/>
      <c r="AW32" s="2179"/>
      <c r="AX32" s="2179"/>
      <c r="AY32" s="434"/>
    </row>
    <row r="33" spans="1:57" s="2180" customFormat="1" ht="25.5" customHeight="1">
      <c r="A33" s="1157"/>
      <c r="B33" s="1157"/>
      <c r="C33" s="1157"/>
      <c r="D33" s="1157"/>
      <c r="E33" s="1157"/>
      <c r="F33" s="1157"/>
      <c r="G33" s="1157"/>
      <c r="H33" s="1157"/>
      <c r="I33" s="1157"/>
      <c r="J33" s="1157"/>
      <c r="K33" s="1157"/>
      <c r="L33" s="1157"/>
      <c r="M33" s="1295"/>
      <c r="N33" s="1157"/>
      <c r="O33" s="1157"/>
      <c r="P33" s="1157"/>
      <c r="U33" s="5306" t="s">
        <v>38</v>
      </c>
      <c r="V33" s="5306"/>
      <c r="W33" s="1287"/>
      <c r="X33" s="5307" t="str">
        <f>IF(TITLE_NAME_OR_PR_CHANGE="",IF(TITLE_NAME_OR_PR="","",TITLE_NAME_OR_PR),TITLE_NAME_OR_PR_CHANGE)</f>
        <v>Комитет по тарифному регулированию Мурманской области</v>
      </c>
      <c r="Y33" s="5307"/>
      <c r="Z33" s="5307"/>
      <c r="AA33" s="5307"/>
      <c r="AB33" s="5307"/>
      <c r="AC33" s="5307"/>
      <c r="AD33" s="5307"/>
      <c r="AE33" s="5307"/>
      <c r="AF33" s="252"/>
      <c r="AG33" s="5307" t="str">
        <f>IF(TITLE_NAME_OR_PR_CHANGE="",IF(TITLE_NAME_OR_PR="","",TITLE_NAME_OR_PR),TITLE_NAME_OR_PR_CHANGE)</f>
        <v>Комитет по тарифному регулированию Мурманской области</v>
      </c>
      <c r="AH33" s="5307"/>
      <c r="AI33" s="5307"/>
      <c r="AJ33" s="5307"/>
      <c r="AK33" s="5307"/>
      <c r="AL33" s="5307"/>
      <c r="AM33" s="5307"/>
      <c r="AN33" s="5307"/>
      <c r="AO33" s="252"/>
      <c r="AP33" s="5307" t="str">
        <f>IF(TITLE_NAME_OR_PR_CHANGE="",IF(TITLE_NAME_OR_PR="","",TITLE_NAME_OR_PR),TITLE_NAME_OR_PR_CHANGE)</f>
        <v>Комитет по тарифному регулированию Мурманской области</v>
      </c>
      <c r="AQ33" s="5307"/>
      <c r="AR33" s="5307"/>
      <c r="AS33" s="5307"/>
      <c r="AT33" s="5307"/>
      <c r="AU33" s="5307"/>
      <c r="AV33" s="5307"/>
      <c r="AW33" s="5307"/>
      <c r="AX33" s="2138"/>
      <c r="AY33" s="252"/>
      <c r="AZ33" s="199"/>
      <c r="BA33" s="295"/>
      <c r="BB33" s="295"/>
      <c r="BC33" s="295"/>
      <c r="BD33" s="295"/>
      <c r="BE33" s="295"/>
    </row>
    <row r="34" spans="1:57" s="2180" customFormat="1" ht="18.75" customHeight="1">
      <c r="A34" s="1157"/>
      <c r="B34" s="1157"/>
      <c r="C34" s="1157"/>
      <c r="D34" s="1157"/>
      <c r="E34" s="1157"/>
      <c r="F34" s="1157"/>
      <c r="G34" s="1157"/>
      <c r="H34" s="1157"/>
      <c r="I34" s="1157"/>
      <c r="J34" s="1157"/>
      <c r="K34" s="1157"/>
      <c r="L34" s="1157"/>
      <c r="M34" s="1295"/>
      <c r="N34" s="1157"/>
      <c r="O34" s="1157"/>
      <c r="P34" s="1157"/>
      <c r="U34" s="5306" t="s">
        <v>539</v>
      </c>
      <c r="V34" s="5306"/>
      <c r="W34" s="1287"/>
      <c r="X34" s="5316">
        <f>IF(TITLE_DATE_PR_CHANGE="",IF(TITLE_DATE_PR="","",TITLE_DATE_PR),TITLE_DATE_PR_CHANGE)</f>
        <v>45646.340555555558</v>
      </c>
      <c r="Y34" s="5316"/>
      <c r="Z34" s="5316"/>
      <c r="AA34" s="5316"/>
      <c r="AB34" s="5316"/>
      <c r="AC34" s="5316"/>
      <c r="AD34" s="5316"/>
      <c r="AE34" s="5316"/>
      <c r="AF34" s="252"/>
      <c r="AG34" s="5316">
        <f>IF(TITLE_DATE_PR_CHANGE="",IF(TITLE_DATE_PR="","",TITLE_DATE_PR),TITLE_DATE_PR_CHANGE)</f>
        <v>45646.340555555558</v>
      </c>
      <c r="AH34" s="5316"/>
      <c r="AI34" s="5316"/>
      <c r="AJ34" s="5316"/>
      <c r="AK34" s="5316"/>
      <c r="AL34" s="5316"/>
      <c r="AM34" s="5316"/>
      <c r="AN34" s="5316"/>
      <c r="AO34" s="252"/>
      <c r="AP34" s="5316">
        <f>IF(TITLE_DATE_PR_CHANGE="",IF(TITLE_DATE_PR="","",TITLE_DATE_PR),TITLE_DATE_PR_CHANGE)</f>
        <v>45646.340555555558</v>
      </c>
      <c r="AQ34" s="5316"/>
      <c r="AR34" s="5316"/>
      <c r="AS34" s="5316"/>
      <c r="AT34" s="5316"/>
      <c r="AU34" s="5316"/>
      <c r="AV34" s="5316"/>
      <c r="AW34" s="5316"/>
      <c r="AX34" s="2138"/>
      <c r="AY34" s="252"/>
      <c r="AZ34" s="199"/>
      <c r="BA34" s="295"/>
      <c r="BB34" s="295"/>
      <c r="BC34" s="295"/>
      <c r="BD34" s="295"/>
      <c r="BE34" s="295"/>
    </row>
    <row r="35" spans="1:57" s="2180" customFormat="1" ht="18.75" customHeight="1">
      <c r="A35" s="1157"/>
      <c r="B35" s="1157"/>
      <c r="C35" s="1157"/>
      <c r="D35" s="1157"/>
      <c r="E35" s="1157"/>
      <c r="F35" s="1157"/>
      <c r="G35" s="1157"/>
      <c r="H35" s="1157"/>
      <c r="I35" s="1157"/>
      <c r="J35" s="1157"/>
      <c r="K35" s="1157"/>
      <c r="L35" s="1157"/>
      <c r="M35" s="1295"/>
      <c r="N35" s="1157"/>
      <c r="O35" s="1157"/>
      <c r="P35" s="1157"/>
      <c r="U35" s="5306" t="s">
        <v>540</v>
      </c>
      <c r="V35" s="5306"/>
      <c r="W35" s="1287"/>
      <c r="X35" s="5307" t="str">
        <f>IF(TITLE_NUMBER_PR_CHANGE="",IF(TITLE_NUMBER_PR="","",TITLE_NUMBER_PR),TITLE_NUMBER_PR_CHANGE)</f>
        <v>51/6; 51/7</v>
      </c>
      <c r="Y35" s="5307"/>
      <c r="Z35" s="5307"/>
      <c r="AA35" s="5307"/>
      <c r="AB35" s="5307"/>
      <c r="AC35" s="5307"/>
      <c r="AD35" s="5307"/>
      <c r="AE35" s="5307"/>
      <c r="AF35" s="252"/>
      <c r="AG35" s="5307" t="str">
        <f>IF(TITLE_NUMBER_PR_CHANGE="",IF(TITLE_NUMBER_PR="","",TITLE_NUMBER_PR),TITLE_NUMBER_PR_CHANGE)</f>
        <v>51/6; 51/7</v>
      </c>
      <c r="AH35" s="5307"/>
      <c r="AI35" s="5307"/>
      <c r="AJ35" s="5307"/>
      <c r="AK35" s="5307"/>
      <c r="AL35" s="5307"/>
      <c r="AM35" s="5307"/>
      <c r="AN35" s="5307"/>
      <c r="AO35" s="252"/>
      <c r="AP35" s="5307" t="str">
        <f>IF(TITLE_NUMBER_PR_CHANGE="",IF(TITLE_NUMBER_PR="","",TITLE_NUMBER_PR),TITLE_NUMBER_PR_CHANGE)</f>
        <v>51/6; 51/7</v>
      </c>
      <c r="AQ35" s="5307"/>
      <c r="AR35" s="5307"/>
      <c r="AS35" s="5307"/>
      <c r="AT35" s="5307"/>
      <c r="AU35" s="5307"/>
      <c r="AV35" s="5307"/>
      <c r="AW35" s="5307"/>
      <c r="AX35" s="2138"/>
      <c r="AY35" s="252"/>
      <c r="AZ35" s="199"/>
      <c r="BA35" s="295"/>
      <c r="BB35" s="295"/>
      <c r="BC35" s="295"/>
      <c r="BD35" s="295"/>
      <c r="BE35" s="295"/>
    </row>
    <row r="36" spans="1:57" s="2180" customFormat="1" ht="18.75" customHeight="1">
      <c r="A36" s="1157"/>
      <c r="B36" s="1157"/>
      <c r="C36" s="1157"/>
      <c r="D36" s="1157"/>
      <c r="E36" s="1157"/>
      <c r="F36" s="1157"/>
      <c r="G36" s="1157"/>
      <c r="H36" s="1157"/>
      <c r="I36" s="1157"/>
      <c r="J36" s="1157"/>
      <c r="K36" s="1157"/>
      <c r="L36" s="1157"/>
      <c r="M36" s="1295"/>
      <c r="N36" s="1157"/>
      <c r="O36" s="1157"/>
      <c r="P36" s="1157"/>
      <c r="U36" s="5306" t="s">
        <v>40</v>
      </c>
      <c r="V36" s="5306"/>
      <c r="W36" s="1287"/>
      <c r="X36" s="5307" t="str">
        <f>IF(TITLE_IST_PUB_CHANGE="",IF(TITLE_IST_PUB="","",TITLE_IST_PUB),TITLE_IST_PUB_CHANGE)</f>
        <v>Официальный электронный бюллетень Правительства Мурманской области</v>
      </c>
      <c r="Y36" s="5307"/>
      <c r="Z36" s="5307"/>
      <c r="AA36" s="5307"/>
      <c r="AB36" s="5307"/>
      <c r="AC36" s="5307"/>
      <c r="AD36" s="5307"/>
      <c r="AE36" s="5307"/>
      <c r="AF36" s="252"/>
      <c r="AG36" s="5307" t="str">
        <f>IF(TITLE_IST_PUB_CHANGE="",IF(TITLE_IST_PUB="","",TITLE_IST_PUB),TITLE_IST_PUB_CHANGE)</f>
        <v>Официальный электронный бюллетень Правительства Мурманской области</v>
      </c>
      <c r="AH36" s="5307"/>
      <c r="AI36" s="5307"/>
      <c r="AJ36" s="5307"/>
      <c r="AK36" s="5307"/>
      <c r="AL36" s="5307"/>
      <c r="AM36" s="5307"/>
      <c r="AN36" s="5307"/>
      <c r="AO36" s="252"/>
      <c r="AP36" s="5307" t="str">
        <f>IF(TITLE_IST_PUB_CHANGE="",IF(TITLE_IST_PUB="","",TITLE_IST_PUB),TITLE_IST_PUB_CHANGE)</f>
        <v>Официальный электронный бюллетень Правительства Мурманской области</v>
      </c>
      <c r="AQ36" s="5307"/>
      <c r="AR36" s="5307"/>
      <c r="AS36" s="5307"/>
      <c r="AT36" s="5307"/>
      <c r="AU36" s="5307"/>
      <c r="AV36" s="5307"/>
      <c r="AW36" s="5307"/>
      <c r="AX36" s="2138"/>
      <c r="AY36" s="252"/>
      <c r="AZ36" s="199"/>
      <c r="BA36" s="295"/>
      <c r="BB36" s="295"/>
      <c r="BC36" s="295"/>
      <c r="BD36" s="295"/>
      <c r="BE36" s="295"/>
    </row>
    <row r="37" spans="1:57"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2179"/>
      <c r="AQ37" s="2179"/>
      <c r="AR37" s="2179"/>
      <c r="AS37" s="2179"/>
      <c r="AT37" s="2179"/>
      <c r="AU37" s="2179"/>
      <c r="AV37" s="2179"/>
      <c r="AW37" s="2179"/>
      <c r="AX37" s="2179"/>
      <c r="AY37" s="434"/>
    </row>
    <row r="38" spans="1:57" s="2180" customFormat="1" ht="18.75" hidden="1" customHeight="1">
      <c r="A38" s="1157"/>
      <c r="B38" s="1157"/>
      <c r="C38" s="1157"/>
      <c r="D38" s="1157"/>
      <c r="E38" s="1157"/>
      <c r="F38" s="1157"/>
      <c r="G38" s="1157"/>
      <c r="H38" s="1157"/>
      <c r="I38" s="1157"/>
      <c r="J38" s="1157"/>
      <c r="K38" s="1157"/>
      <c r="L38" s="1157"/>
      <c r="M38" s="1295"/>
      <c r="N38" s="1157"/>
      <c r="O38" s="1157"/>
      <c r="P38" s="1157"/>
      <c r="U38" s="5306" t="s">
        <v>541</v>
      </c>
      <c r="V38" s="5306"/>
      <c r="W38" s="1287"/>
      <c r="X38" s="5316">
        <f>IF(TITLE_DATE_PR_CHANGE="",IF(TITLE_DATE_PR="","",TITLE_DATE_PR),TITLE_DATE_PR_CHANGE)</f>
        <v>45646.340555555558</v>
      </c>
      <c r="Y38" s="5316"/>
      <c r="Z38" s="5316"/>
      <c r="AA38" s="5316"/>
      <c r="AB38" s="5316"/>
      <c r="AC38" s="5316"/>
      <c r="AD38" s="5316"/>
      <c r="AE38" s="5316"/>
      <c r="AF38" s="252"/>
      <c r="AG38" s="5316">
        <f>IF(TITLE_DATE_PR_CHANGE="",IF(TITLE_DATE_PR="","",TITLE_DATE_PR),TITLE_DATE_PR_CHANGE)</f>
        <v>45646.340555555558</v>
      </c>
      <c r="AH38" s="5316"/>
      <c r="AI38" s="5316"/>
      <c r="AJ38" s="5316"/>
      <c r="AK38" s="5316"/>
      <c r="AL38" s="5316"/>
      <c r="AM38" s="5316"/>
      <c r="AN38" s="5316"/>
      <c r="AO38" s="252"/>
      <c r="AP38" s="5316">
        <f>IF(TITLE_DATE_PR_CHANGE="",IF(TITLE_DATE_PR="","",TITLE_DATE_PR),TITLE_DATE_PR_CHANGE)</f>
        <v>45646.340555555558</v>
      </c>
      <c r="AQ38" s="5316"/>
      <c r="AR38" s="5316"/>
      <c r="AS38" s="5316"/>
      <c r="AT38" s="5316"/>
      <c r="AU38" s="5316"/>
      <c r="AV38" s="5316"/>
      <c r="AW38" s="5316"/>
      <c r="AX38" s="2138"/>
      <c r="AY38" s="252"/>
      <c r="AZ38" s="199"/>
      <c r="BA38" s="295"/>
      <c r="BB38" s="295"/>
      <c r="BC38" s="295"/>
      <c r="BD38" s="295"/>
      <c r="BE38" s="295"/>
    </row>
    <row r="39" spans="1:57" s="2180" customFormat="1" ht="18.75" hidden="1" customHeight="1">
      <c r="A39" s="1157"/>
      <c r="B39" s="1157"/>
      <c r="C39" s="1157"/>
      <c r="D39" s="1157"/>
      <c r="E39" s="1157"/>
      <c r="F39" s="1157"/>
      <c r="G39" s="1157"/>
      <c r="H39" s="1157"/>
      <c r="I39" s="1157"/>
      <c r="J39" s="1157"/>
      <c r="K39" s="1157"/>
      <c r="L39" s="1157"/>
      <c r="M39" s="1295"/>
      <c r="N39" s="1157"/>
      <c r="O39" s="1157"/>
      <c r="P39" s="1157"/>
      <c r="U39" s="5306" t="s">
        <v>542</v>
      </c>
      <c r="V39" s="5306"/>
      <c r="W39" s="1287"/>
      <c r="X39" s="5307" t="str">
        <f>IF(TITLE_NUMBER_PR_CHANGE="",IF(TITLE_NUMBER_PR="","",TITLE_NUMBER_PR),TITLE_NUMBER_PR_CHANGE)</f>
        <v>51/6; 51/7</v>
      </c>
      <c r="Y39" s="5307"/>
      <c r="Z39" s="5307"/>
      <c r="AA39" s="5307"/>
      <c r="AB39" s="5307"/>
      <c r="AC39" s="5307"/>
      <c r="AD39" s="5307"/>
      <c r="AE39" s="5307"/>
      <c r="AF39" s="252"/>
      <c r="AG39" s="5307" t="str">
        <f>IF(TITLE_NUMBER_PR_CHANGE="",IF(TITLE_NUMBER_PR="","",TITLE_NUMBER_PR),TITLE_NUMBER_PR_CHANGE)</f>
        <v>51/6; 51/7</v>
      </c>
      <c r="AH39" s="5307"/>
      <c r="AI39" s="5307"/>
      <c r="AJ39" s="5307"/>
      <c r="AK39" s="5307"/>
      <c r="AL39" s="5307"/>
      <c r="AM39" s="5307"/>
      <c r="AN39" s="5307"/>
      <c r="AO39" s="252"/>
      <c r="AP39" s="5307" t="str">
        <f>IF(TITLE_NUMBER_PR_CHANGE="",IF(TITLE_NUMBER_PR="","",TITLE_NUMBER_PR),TITLE_NUMBER_PR_CHANGE)</f>
        <v>51/6; 51/7</v>
      </c>
      <c r="AQ39" s="5307"/>
      <c r="AR39" s="5307"/>
      <c r="AS39" s="5307"/>
      <c r="AT39" s="5307"/>
      <c r="AU39" s="5307"/>
      <c r="AV39" s="5307"/>
      <c r="AW39" s="5307"/>
      <c r="AX39" s="2138"/>
      <c r="AY39" s="252"/>
      <c r="AZ39" s="199"/>
      <c r="BA39" s="295"/>
      <c r="BB39" s="295"/>
      <c r="BC39" s="295"/>
      <c r="BD39" s="295"/>
      <c r="BE39" s="295"/>
    </row>
    <row r="40" spans="1:57" s="2180"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543</v>
      </c>
      <c r="AG40" s="252"/>
      <c r="AH40" s="252"/>
      <c r="AI40" s="252"/>
      <c r="AJ40" s="252"/>
      <c r="AK40" s="252"/>
      <c r="AL40" s="252"/>
      <c r="AM40" s="252"/>
      <c r="AN40" s="252"/>
      <c r="AO40" s="197" t="s">
        <v>543</v>
      </c>
      <c r="AP40" s="2138"/>
      <c r="AQ40" s="2138"/>
      <c r="AR40" s="2138"/>
      <c r="AS40" s="2138"/>
      <c r="AT40" s="2138"/>
      <c r="AU40" s="2138"/>
      <c r="AV40" s="2138"/>
      <c r="AW40" s="2138"/>
      <c r="AX40" s="2182" t="s">
        <v>543</v>
      </c>
      <c r="BA40" s="295"/>
      <c r="BB40" s="295"/>
      <c r="BC40" s="295"/>
      <c r="BD40" s="295"/>
      <c r="BE40" s="295"/>
    </row>
    <row r="41" spans="1:57" ht="14.25" customHeight="1">
      <c r="R41" s="304"/>
      <c r="S41" s="304"/>
      <c r="T41" s="304"/>
      <c r="U41" s="1194"/>
      <c r="V41" s="289"/>
      <c r="W41" s="1152"/>
      <c r="X41" s="5308"/>
      <c r="Y41" s="5308"/>
      <c r="Z41" s="5308"/>
      <c r="AA41" s="5308"/>
      <c r="AB41" s="5308"/>
      <c r="AC41" s="5308"/>
      <c r="AD41" s="5308"/>
      <c r="AE41" s="5308"/>
      <c r="AF41" s="5308"/>
      <c r="AG41" s="5308"/>
      <c r="AH41" s="5308"/>
      <c r="AI41" s="5308"/>
      <c r="AJ41" s="5308"/>
      <c r="AK41" s="5308"/>
      <c r="AL41" s="5308"/>
      <c r="AM41" s="5308"/>
      <c r="AN41" s="5308"/>
      <c r="AO41" s="5308"/>
      <c r="AP41" s="5308" t="s">
        <v>99</v>
      </c>
      <c r="AQ41" s="5308"/>
      <c r="AR41" s="5308"/>
      <c r="AS41" s="5308"/>
      <c r="AT41" s="5308"/>
      <c r="AU41" s="5308"/>
      <c r="AV41" s="5308"/>
      <c r="AW41" s="5308"/>
      <c r="AX41" s="5308"/>
    </row>
    <row r="42" spans="1:57" ht="14.25" customHeight="1">
      <c r="R42" s="304"/>
      <c r="S42" s="304"/>
      <c r="T42" s="304"/>
      <c r="U42" s="5180" t="s">
        <v>417</v>
      </c>
      <c r="V42" s="5180"/>
      <c r="W42" s="5180"/>
      <c r="X42" s="5180"/>
      <c r="Y42" s="5180"/>
      <c r="Z42" s="5180"/>
      <c r="AA42" s="5180"/>
      <c r="AB42" s="5180"/>
      <c r="AC42" s="5180"/>
      <c r="AD42" s="5180"/>
      <c r="AE42" s="5180"/>
      <c r="AF42" s="5180"/>
      <c r="AG42" s="5180"/>
      <c r="AH42" s="5180"/>
      <c r="AI42" s="5180"/>
      <c r="AJ42" s="5180"/>
      <c r="AK42" s="5180"/>
      <c r="AL42" s="5180"/>
      <c r="AM42" s="5180"/>
      <c r="AN42" s="5180"/>
      <c r="AO42" s="5180"/>
      <c r="AP42" s="5180" t="s">
        <v>417</v>
      </c>
      <c r="AQ42" s="5180"/>
      <c r="AR42" s="5180"/>
      <c r="AS42" s="5180"/>
      <c r="AT42" s="5180"/>
      <c r="AU42" s="5180"/>
      <c r="AV42" s="5180"/>
      <c r="AW42" s="5180"/>
      <c r="AX42" s="5180"/>
      <c r="AY42" s="5180"/>
      <c r="AZ42" s="5180"/>
    </row>
    <row r="43" spans="1:57" ht="14.25" customHeight="1">
      <c r="R43" s="304"/>
      <c r="S43" s="304"/>
      <c r="T43" s="304"/>
      <c r="U43" s="5322" t="s">
        <v>83</v>
      </c>
      <c r="V43" s="5274" t="s">
        <v>544</v>
      </c>
      <c r="W43" s="219"/>
      <c r="X43" s="5323" t="s">
        <v>545</v>
      </c>
      <c r="Y43" s="5338"/>
      <c r="Z43" s="5338"/>
      <c r="AA43" s="5338"/>
      <c r="AB43" s="5338"/>
      <c r="AC43" s="5324"/>
      <c r="AD43" s="5324"/>
      <c r="AE43" s="5325"/>
      <c r="AF43" s="5326" t="s">
        <v>546</v>
      </c>
      <c r="AG43" s="5323" t="s">
        <v>545</v>
      </c>
      <c r="AH43" s="5338"/>
      <c r="AI43" s="5338"/>
      <c r="AJ43" s="5338"/>
      <c r="AK43" s="5338"/>
      <c r="AL43" s="5324"/>
      <c r="AM43" s="5324"/>
      <c r="AN43" s="5325"/>
      <c r="AO43" s="5326" t="s">
        <v>547</v>
      </c>
      <c r="AP43" s="5323" t="s">
        <v>545</v>
      </c>
      <c r="AQ43" s="5338"/>
      <c r="AR43" s="5338"/>
      <c r="AS43" s="5338"/>
      <c r="AT43" s="5338"/>
      <c r="AU43" s="5324"/>
      <c r="AV43" s="5324"/>
      <c r="AW43" s="5325"/>
      <c r="AX43" s="5326" t="s">
        <v>546</v>
      </c>
      <c r="AY43" s="5329" t="s">
        <v>548</v>
      </c>
      <c r="AZ43" s="5180"/>
    </row>
    <row r="44" spans="1:57" ht="33.75" customHeight="1">
      <c r="R44" s="304"/>
      <c r="S44" s="304"/>
      <c r="T44" s="304"/>
      <c r="U44" s="5322"/>
      <c r="V44" s="5274"/>
      <c r="W44" s="937"/>
      <c r="X44" s="5259" t="s">
        <v>575</v>
      </c>
      <c r="Y44" s="5180" t="s">
        <v>576</v>
      </c>
      <c r="Z44" s="5180"/>
      <c r="AA44" s="5180"/>
      <c r="AB44" s="5180"/>
      <c r="AC44" s="5259" t="s">
        <v>552</v>
      </c>
      <c r="AD44" s="5347"/>
      <c r="AE44" s="5260"/>
      <c r="AF44" s="5327"/>
      <c r="AG44" s="5259" t="s">
        <v>575</v>
      </c>
      <c r="AH44" s="5180" t="s">
        <v>576</v>
      </c>
      <c r="AI44" s="5180"/>
      <c r="AJ44" s="5180"/>
      <c r="AK44" s="5180"/>
      <c r="AL44" s="5259" t="s">
        <v>552</v>
      </c>
      <c r="AM44" s="5347"/>
      <c r="AN44" s="5260"/>
      <c r="AO44" s="5327"/>
      <c r="AP44" s="5259" t="s">
        <v>575</v>
      </c>
      <c r="AQ44" s="5180" t="s">
        <v>576</v>
      </c>
      <c r="AR44" s="5180"/>
      <c r="AS44" s="5180"/>
      <c r="AT44" s="5180"/>
      <c r="AU44" s="5259" t="s">
        <v>552</v>
      </c>
      <c r="AV44" s="5347"/>
      <c r="AW44" s="5260"/>
      <c r="AX44" s="5327"/>
      <c r="AY44" s="5330"/>
      <c r="AZ44" s="5180"/>
    </row>
    <row r="45" spans="1:57" ht="14.25" customHeight="1">
      <c r="R45" s="304"/>
      <c r="S45" s="304"/>
      <c r="T45" s="304"/>
      <c r="U45" s="5322"/>
      <c r="V45" s="5274"/>
      <c r="W45" s="937"/>
      <c r="X45" s="5261"/>
      <c r="Y45" s="5287" t="s">
        <v>577</v>
      </c>
      <c r="Z45" s="5282" t="s">
        <v>578</v>
      </c>
      <c r="AA45" s="5283"/>
      <c r="AB45" s="5284"/>
      <c r="AC45" s="5264"/>
      <c r="AD45" s="5348"/>
      <c r="AE45" s="5265"/>
      <c r="AF45" s="5327"/>
      <c r="AG45" s="5261"/>
      <c r="AH45" s="5287" t="s">
        <v>577</v>
      </c>
      <c r="AI45" s="5282" t="s">
        <v>578</v>
      </c>
      <c r="AJ45" s="5283"/>
      <c r="AK45" s="5284"/>
      <c r="AL45" s="5264"/>
      <c r="AM45" s="5348"/>
      <c r="AN45" s="5265"/>
      <c r="AO45" s="5327"/>
      <c r="AP45" s="5261"/>
      <c r="AQ45" s="5287" t="s">
        <v>577</v>
      </c>
      <c r="AR45" s="5282" t="s">
        <v>578</v>
      </c>
      <c r="AS45" s="5283"/>
      <c r="AT45" s="5284"/>
      <c r="AU45" s="5264"/>
      <c r="AV45" s="5348"/>
      <c r="AW45" s="5265"/>
      <c r="AX45" s="5327"/>
      <c r="AY45" s="5330"/>
      <c r="AZ45" s="5180"/>
    </row>
    <row r="46" spans="1:57" ht="25.5" customHeight="1">
      <c r="R46" s="304"/>
      <c r="S46" s="304"/>
      <c r="T46" s="304"/>
      <c r="U46" s="5322"/>
      <c r="V46" s="5274"/>
      <c r="W46" s="937"/>
      <c r="X46" s="5261"/>
      <c r="Y46" s="5349"/>
      <c r="Z46" s="5287" t="s">
        <v>579</v>
      </c>
      <c r="AA46" s="5282" t="s">
        <v>580</v>
      </c>
      <c r="AB46" s="5284"/>
      <c r="AC46" s="5287" t="s">
        <v>562</v>
      </c>
      <c r="AD46" s="5289" t="s">
        <v>563</v>
      </c>
      <c r="AE46" s="5291"/>
      <c r="AF46" s="5327"/>
      <c r="AG46" s="5261"/>
      <c r="AH46" s="5349"/>
      <c r="AI46" s="5287" t="s">
        <v>579</v>
      </c>
      <c r="AJ46" s="5282" t="s">
        <v>580</v>
      </c>
      <c r="AK46" s="5284"/>
      <c r="AL46" s="5287" t="s">
        <v>562</v>
      </c>
      <c r="AM46" s="5289" t="s">
        <v>563</v>
      </c>
      <c r="AN46" s="5291"/>
      <c r="AO46" s="5327"/>
      <c r="AP46" s="5261"/>
      <c r="AQ46" s="5349"/>
      <c r="AR46" s="5287" t="s">
        <v>579</v>
      </c>
      <c r="AS46" s="5282" t="s">
        <v>580</v>
      </c>
      <c r="AT46" s="5284"/>
      <c r="AU46" s="5287" t="s">
        <v>562</v>
      </c>
      <c r="AV46" s="5289" t="s">
        <v>563</v>
      </c>
      <c r="AW46" s="5291"/>
      <c r="AX46" s="5327"/>
      <c r="AY46" s="5330"/>
      <c r="AZ46" s="5180"/>
    </row>
    <row r="47" spans="1:57" ht="62.25" customHeight="1">
      <c r="A47" s="1178"/>
      <c r="B47" s="1178" t="s">
        <v>139</v>
      </c>
      <c r="C47" s="1178" t="s">
        <v>140</v>
      </c>
      <c r="D47" s="1178" t="s">
        <v>141</v>
      </c>
      <c r="E47" s="1227" t="s">
        <v>553</v>
      </c>
      <c r="F47" s="1227" t="s">
        <v>554</v>
      </c>
      <c r="G47" s="1227" t="s">
        <v>555</v>
      </c>
      <c r="H47" s="1227" t="s">
        <v>556</v>
      </c>
      <c r="I47" s="1227" t="s">
        <v>557</v>
      </c>
      <c r="J47" s="1227" t="s">
        <v>558</v>
      </c>
      <c r="K47" s="1227" t="s">
        <v>559</v>
      </c>
      <c r="L47" s="1227" t="s">
        <v>581</v>
      </c>
      <c r="M47" s="1227" t="s">
        <v>534</v>
      </c>
      <c r="R47" s="304"/>
      <c r="S47" s="304"/>
      <c r="T47" s="304"/>
      <c r="U47" s="5322"/>
      <c r="V47" s="5274"/>
      <c r="W47" s="220"/>
      <c r="X47" s="5264"/>
      <c r="Y47" s="5288"/>
      <c r="Z47" s="5288"/>
      <c r="AA47" s="1127" t="s">
        <v>582</v>
      </c>
      <c r="AB47" s="1127" t="s">
        <v>583</v>
      </c>
      <c r="AC47" s="5288"/>
      <c r="AD47" s="5290"/>
      <c r="AE47" s="5292"/>
      <c r="AF47" s="5328"/>
      <c r="AG47" s="5264"/>
      <c r="AH47" s="5288"/>
      <c r="AI47" s="5288"/>
      <c r="AJ47" s="1127" t="s">
        <v>582</v>
      </c>
      <c r="AK47" s="1127" t="s">
        <v>583</v>
      </c>
      <c r="AL47" s="5288"/>
      <c r="AM47" s="5290"/>
      <c r="AN47" s="5292"/>
      <c r="AO47" s="5328"/>
      <c r="AP47" s="5264"/>
      <c r="AQ47" s="5288"/>
      <c r="AR47" s="5288"/>
      <c r="AS47" s="2183" t="s">
        <v>582</v>
      </c>
      <c r="AT47" s="2183" t="s">
        <v>583</v>
      </c>
      <c r="AU47" s="5288"/>
      <c r="AV47" s="5290"/>
      <c r="AW47" s="5292"/>
      <c r="AX47" s="5328"/>
      <c r="AY47" s="5331"/>
      <c r="AZ47" s="5180"/>
    </row>
    <row r="48" spans="1:57" s="1818"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114</v>
      </c>
      <c r="V48" s="1171" t="s">
        <v>98</v>
      </c>
      <c r="W48" s="1153" t="str">
        <f ca="1">OFFSET(W48,0,-1)</f>
        <v>2</v>
      </c>
      <c r="X48" s="1251">
        <f ca="1">OFFSET(X48,0,-1)+1</f>
        <v>3</v>
      </c>
      <c r="Y48" s="1257"/>
      <c r="Z48" s="1257"/>
      <c r="AA48" s="1257">
        <f ca="1">OFFSET(AA48,0,-1)+1</f>
        <v>1</v>
      </c>
      <c r="AB48" s="1257">
        <f ca="1">OFFSET(AB48,0,-1)+1</f>
        <v>2</v>
      </c>
      <c r="AC48" s="1251">
        <f ca="1">OFFSET(AC48,0,-1)+1</f>
        <v>3</v>
      </c>
      <c r="AD48" s="5321">
        <f ca="1">OFFSET(AD48,0,-1)+1</f>
        <v>4</v>
      </c>
      <c r="AE48" s="5321"/>
      <c r="AF48" s="1251">
        <f ca="1">OFFSET(AF48,0,-2)+1</f>
        <v>5</v>
      </c>
      <c r="AG48" s="1251">
        <f ca="1">OFFSET(AG48,0,-1)+1</f>
        <v>6</v>
      </c>
      <c r="AH48" s="1251"/>
      <c r="AI48" s="1251"/>
      <c r="AJ48" s="1251">
        <f ca="1">OFFSET(AJ48,0,-1)+1</f>
        <v>1</v>
      </c>
      <c r="AK48" s="1251">
        <f ca="1">OFFSET(AK48,0,-1)+1</f>
        <v>2</v>
      </c>
      <c r="AL48" s="1251">
        <f ca="1">OFFSET(AL48,0,-1)+1</f>
        <v>3</v>
      </c>
      <c r="AM48" s="5321">
        <f ca="1">OFFSET(AM48,0,-1)+1</f>
        <v>4</v>
      </c>
      <c r="AN48" s="5321"/>
      <c r="AO48" s="1251">
        <f ca="1">OFFSET(AO48,0,-2)+1</f>
        <v>5</v>
      </c>
      <c r="AP48" s="2185">
        <f ca="1">OFFSET(AP48,0,-1)+1</f>
        <v>6</v>
      </c>
      <c r="AQ48" s="4057"/>
      <c r="AR48" s="4057"/>
      <c r="AS48" s="4057">
        <f ca="1">OFFSET(AS48,0,-1)+1</f>
        <v>1</v>
      </c>
      <c r="AT48" s="4057">
        <f ca="1">OFFSET(AT48,0,-1)+1</f>
        <v>2</v>
      </c>
      <c r="AU48" s="2185">
        <f ca="1">OFFSET(AU48,0,-1)+1</f>
        <v>3</v>
      </c>
      <c r="AV48" s="5321">
        <f ca="1">OFFSET(AV48,0,-1)+1</f>
        <v>4</v>
      </c>
      <c r="AW48" s="5321"/>
      <c r="AX48" s="2185">
        <f ca="1">OFFSET(AX48,0,-2)+1</f>
        <v>5</v>
      </c>
      <c r="AY48" s="1153">
        <f ca="1">OFFSET(AY48,0,-1)</f>
        <v>5</v>
      </c>
      <c r="AZ48" s="1251">
        <f ca="1">OFFSET(AZ48,0,-1)+1</f>
        <v>6</v>
      </c>
      <c r="BA48" s="436"/>
      <c r="BB48" s="436"/>
      <c r="BC48" s="436"/>
      <c r="BD48" s="436"/>
      <c r="BE48" s="436"/>
    </row>
    <row r="49" spans="1:57" ht="21" customHeight="1">
      <c r="A49" s="1185" t="s">
        <v>270</v>
      </c>
      <c r="B49" s="1185"/>
      <c r="C49" s="1185"/>
      <c r="D49" s="1185"/>
      <c r="E49" s="5344">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127</v>
      </c>
      <c r="W49" s="218"/>
      <c r="X49" s="5300"/>
      <c r="Y49" s="5301"/>
      <c r="Z49" s="5301"/>
      <c r="AA49" s="5301"/>
      <c r="AB49" s="5301"/>
      <c r="AC49" s="5301"/>
      <c r="AD49" s="5301"/>
      <c r="AE49" s="5301"/>
      <c r="AF49" s="5302"/>
      <c r="AG49" s="5300" t="str">
        <f>INDEX(PT_DIFFERENTIATION_NTAR,MATCH(A49,PT_DIFFERENTIATION_NTAR_ID,0))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AH49" s="5301"/>
      <c r="AI49" s="5301"/>
      <c r="AJ49" s="5301"/>
      <c r="AK49" s="5301"/>
      <c r="AL49" s="5301"/>
      <c r="AM49" s="5301"/>
      <c r="AN49" s="5301"/>
      <c r="AO49" s="5301"/>
      <c r="AP49" s="5300"/>
      <c r="AQ49" s="5301"/>
      <c r="AR49" s="5301"/>
      <c r="AS49" s="5301"/>
      <c r="AT49" s="5301"/>
      <c r="AU49" s="5301"/>
      <c r="AV49" s="5301"/>
      <c r="AW49" s="5301"/>
      <c r="AX49" s="5302"/>
      <c r="AY49" s="5302"/>
      <c r="AZ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25"/>
      <c r="BC49" s="425" t="str">
        <f t="shared" ref="BC49:BC71" si="2">IF(V49="","",V49)</f>
        <v>Наименование тарифа</v>
      </c>
      <c r="BD49" s="425"/>
      <c r="BE49" s="425"/>
    </row>
    <row r="50" spans="1:57" ht="21" customHeight="1">
      <c r="A50" s="1185" t="s">
        <v>270</v>
      </c>
      <c r="B50" s="1185" t="s">
        <v>271</v>
      </c>
      <c r="C50" s="1185"/>
      <c r="D50" s="1185"/>
      <c r="E50" s="5345"/>
      <c r="F50" s="5344">
        <v>1</v>
      </c>
      <c r="G50" s="1185"/>
      <c r="H50" s="1185"/>
      <c r="I50" s="1185"/>
      <c r="J50" s="1185"/>
      <c r="K50" s="1185"/>
      <c r="L50" s="1185"/>
      <c r="M50" s="1227"/>
      <c r="N50" s="607"/>
      <c r="O50" s="607"/>
      <c r="P50" s="607"/>
      <c r="Q50" s="1248"/>
      <c r="R50" s="276"/>
      <c r="S50" s="434"/>
      <c r="T50" s="277"/>
      <c r="U50" s="1252" t="str">
        <f>INDEX(PT_DIFFERENTIATION_NUM_TER,MATCH(B50,PT_DIFFERENTIATION_TER_ID,0))</f>
        <v>.1</v>
      </c>
      <c r="V50" s="228" t="s">
        <v>516</v>
      </c>
      <c r="W50" s="218"/>
      <c r="X50" s="5300"/>
      <c r="Y50" s="5301"/>
      <c r="Z50" s="5301"/>
      <c r="AA50" s="5301"/>
      <c r="AB50" s="5301"/>
      <c r="AC50" s="5301"/>
      <c r="AD50" s="5301"/>
      <c r="AE50" s="5301"/>
      <c r="AF50" s="5302"/>
      <c r="AG50" s="5300" t="str">
        <f>INDEX(PT_DIFFERENTIATION_TER,MATCH(B50,PT_DIFFERENTIATION_TER_ID,0))</f>
        <v>Территория 1</v>
      </c>
      <c r="AH50" s="5301"/>
      <c r="AI50" s="5301"/>
      <c r="AJ50" s="5301"/>
      <c r="AK50" s="5301"/>
      <c r="AL50" s="5301"/>
      <c r="AM50" s="5301"/>
      <c r="AN50" s="5301"/>
      <c r="AO50" s="5301"/>
      <c r="AP50" s="5300"/>
      <c r="AQ50" s="5301"/>
      <c r="AR50" s="5301"/>
      <c r="AS50" s="5301"/>
      <c r="AT50" s="5301"/>
      <c r="AU50" s="5301"/>
      <c r="AV50" s="5301"/>
      <c r="AW50" s="5301"/>
      <c r="AX50" s="5302"/>
      <c r="AY50" s="5302"/>
      <c r="AZ50" s="1176" t="s">
        <v>517</v>
      </c>
      <c r="BB50" s="425"/>
      <c r="BC50" s="425" t="str">
        <f t="shared" si="2"/>
        <v>Территория действия тарифа</v>
      </c>
      <c r="BD50" s="425"/>
      <c r="BE50" s="425"/>
    </row>
    <row r="51" spans="1:57" ht="22.5" customHeight="1">
      <c r="A51" s="1185" t="s">
        <v>270</v>
      </c>
      <c r="B51" s="1185" t="s">
        <v>271</v>
      </c>
      <c r="C51" s="1185" t="s">
        <v>272</v>
      </c>
      <c r="D51" s="1185"/>
      <c r="E51" s="5345"/>
      <c r="F51" s="5345"/>
      <c r="G51" s="5344">
        <v>1</v>
      </c>
      <c r="H51" s="1185"/>
      <c r="I51" s="1185"/>
      <c r="J51" s="1185"/>
      <c r="K51" s="1185"/>
      <c r="L51" s="1185"/>
      <c r="M51" s="1227"/>
      <c r="N51" s="607"/>
      <c r="O51" s="607"/>
      <c r="P51" s="607"/>
      <c r="Q51" s="278"/>
      <c r="R51" s="276"/>
      <c r="S51" s="434"/>
      <c r="T51" s="277"/>
      <c r="U51" s="1252" t="str">
        <f>INDEX(PT_DIFFERENTIATION_NUM_CS,MATCH(C51,PT_DIFFERENTIATION_CS_ID,0))</f>
        <v>.1.1</v>
      </c>
      <c r="V51" s="229" t="s">
        <v>518</v>
      </c>
      <c r="W51" s="218"/>
      <c r="X51" s="5300"/>
      <c r="Y51" s="5301"/>
      <c r="Z51" s="5301"/>
      <c r="AA51" s="5301"/>
      <c r="AB51" s="5301"/>
      <c r="AC51" s="5301"/>
      <c r="AD51" s="5301"/>
      <c r="AE51" s="5301"/>
      <c r="AF51" s="5302"/>
      <c r="AG51" s="5300" t="str">
        <f>INDEX(PT_DIFFERENTIATION_CS,MATCH(C51,PT_DIFFERENTIATION_CS_ID,0))</f>
        <v xml:space="preserve">открытая система теплоснабжения г. Апатиты
</v>
      </c>
      <c r="AH51" s="5301"/>
      <c r="AI51" s="5301"/>
      <c r="AJ51" s="5301"/>
      <c r="AK51" s="5301"/>
      <c r="AL51" s="5301"/>
      <c r="AM51" s="5301"/>
      <c r="AN51" s="5301"/>
      <c r="AO51" s="5301"/>
      <c r="AP51" s="5300"/>
      <c r="AQ51" s="5301"/>
      <c r="AR51" s="5301"/>
      <c r="AS51" s="5301"/>
      <c r="AT51" s="5301"/>
      <c r="AU51" s="5301"/>
      <c r="AV51" s="5301"/>
      <c r="AW51" s="5301"/>
      <c r="AX51" s="5302"/>
      <c r="AY51" s="5302"/>
      <c r="AZ51" s="1176" t="s">
        <v>519</v>
      </c>
      <c r="BB51" s="425"/>
      <c r="BC51" s="425" t="str">
        <f t="shared" si="2"/>
        <v xml:space="preserve">Наименование системы теплоснабжения </v>
      </c>
      <c r="BD51" s="425"/>
      <c r="BE51" s="425"/>
    </row>
    <row r="52" spans="1:57" ht="21" customHeight="1">
      <c r="A52" s="1185" t="s">
        <v>270</v>
      </c>
      <c r="B52" s="1185" t="s">
        <v>271</v>
      </c>
      <c r="C52" s="1185" t="s">
        <v>272</v>
      </c>
      <c r="D52" s="1185" t="s">
        <v>273</v>
      </c>
      <c r="E52" s="5345"/>
      <c r="F52" s="5345"/>
      <c r="G52" s="5345"/>
      <c r="H52" s="5344">
        <v>1</v>
      </c>
      <c r="I52" s="1185"/>
      <c r="J52" s="1185"/>
      <c r="K52" s="1185"/>
      <c r="L52" s="1185"/>
      <c r="M52" s="1227"/>
      <c r="N52" s="607"/>
      <c r="O52" s="607"/>
      <c r="P52" s="607"/>
      <c r="Q52" s="278"/>
      <c r="R52" s="276"/>
      <c r="S52" s="434"/>
      <c r="T52" s="277"/>
      <c r="U52" s="1252" t="str">
        <f>INDEX(PT_DIFFERENTIATION_NUM_IST_TE,MATCH(D52,PT_DIFFERENTIATION_IST_TE_ID,0))</f>
        <v>.1.1.1</v>
      </c>
      <c r="V52" s="230" t="s">
        <v>520</v>
      </c>
      <c r="W52" s="218"/>
      <c r="X52" s="5300"/>
      <c r="Y52" s="5301"/>
      <c r="Z52" s="5301"/>
      <c r="AA52" s="5301"/>
      <c r="AB52" s="5301"/>
      <c r="AC52" s="5301"/>
      <c r="AD52" s="5301"/>
      <c r="AE52" s="5301"/>
      <c r="AF52" s="5302"/>
      <c r="AG52" s="5300" t="str">
        <f>INDEX(PT_DIFFERENTIATION_IST_TE,MATCH(D52,PT_DIFFERENTIATION_IST_TE_ID,0))</f>
        <v>Апатитская ТЭЦ</v>
      </c>
      <c r="AH52" s="5301"/>
      <c r="AI52" s="5301"/>
      <c r="AJ52" s="5301"/>
      <c r="AK52" s="5301"/>
      <c r="AL52" s="5301"/>
      <c r="AM52" s="5301"/>
      <c r="AN52" s="5301"/>
      <c r="AO52" s="5301"/>
      <c r="AP52" s="5300"/>
      <c r="AQ52" s="5301"/>
      <c r="AR52" s="5301"/>
      <c r="AS52" s="5301"/>
      <c r="AT52" s="5301"/>
      <c r="AU52" s="5301"/>
      <c r="AV52" s="5301"/>
      <c r="AW52" s="5301"/>
      <c r="AX52" s="5302"/>
      <c r="AY52" s="5302"/>
      <c r="AZ52" s="1176" t="s">
        <v>521</v>
      </c>
      <c r="BB52" s="425"/>
      <c r="BC52" s="425" t="str">
        <f t="shared" si="2"/>
        <v xml:space="preserve">Источник тепловой энергии  </v>
      </c>
      <c r="BD52" s="425"/>
      <c r="BE52" s="425"/>
    </row>
    <row r="53" spans="1:57" s="1819" customFormat="1" ht="0" hidden="1" customHeight="1">
      <c r="A53" s="1290" t="s">
        <v>270</v>
      </c>
      <c r="B53" s="1290" t="s">
        <v>271</v>
      </c>
      <c r="C53" s="1290" t="s">
        <v>272</v>
      </c>
      <c r="D53" s="1290" t="s">
        <v>273</v>
      </c>
      <c r="E53" s="5345"/>
      <c r="F53" s="5345"/>
      <c r="G53" s="5345"/>
      <c r="H53" s="5345"/>
      <c r="I53" s="5180" t="str">
        <f>U52&amp;".1"</f>
        <v>.1.1.1.1</v>
      </c>
      <c r="J53" s="1290"/>
      <c r="K53" s="1290"/>
      <c r="L53" s="1290"/>
      <c r="M53" s="1296" t="s">
        <v>522</v>
      </c>
      <c r="N53" s="1154"/>
      <c r="O53" s="1154"/>
      <c r="P53" s="1154"/>
      <c r="Q53" s="5313">
        <v>1</v>
      </c>
      <c r="R53" s="1247"/>
      <c r="S53" s="1247"/>
      <c r="T53" s="280"/>
      <c r="U53" s="948"/>
      <c r="V53" s="1298"/>
      <c r="W53" s="1299"/>
      <c r="X53" s="5341"/>
      <c r="Y53" s="5342"/>
      <c r="Z53" s="5342"/>
      <c r="AA53" s="5342"/>
      <c r="AB53" s="5342"/>
      <c r="AC53" s="5342"/>
      <c r="AD53" s="5342"/>
      <c r="AE53" s="5342"/>
      <c r="AF53" s="5343"/>
      <c r="AG53" s="5341"/>
      <c r="AH53" s="5342"/>
      <c r="AI53" s="5342"/>
      <c r="AJ53" s="5342"/>
      <c r="AK53" s="5342"/>
      <c r="AL53" s="5342"/>
      <c r="AM53" s="5342"/>
      <c r="AN53" s="5342"/>
      <c r="AO53" s="5342"/>
      <c r="AP53" s="5341"/>
      <c r="AQ53" s="5342"/>
      <c r="AR53" s="5342"/>
      <c r="AS53" s="5342"/>
      <c r="AT53" s="5342"/>
      <c r="AU53" s="5342"/>
      <c r="AV53" s="5342"/>
      <c r="AW53" s="5342"/>
      <c r="AX53" s="5343"/>
      <c r="AY53" s="5343"/>
      <c r="AZ53" s="1300"/>
      <c r="BB53" s="425"/>
      <c r="BC53" s="425" t="str">
        <f t="shared" si="2"/>
        <v/>
      </c>
      <c r="BD53" s="425"/>
      <c r="BE53" s="425"/>
    </row>
    <row r="54" spans="1:57" ht="21" customHeight="1">
      <c r="A54" s="1185" t="s">
        <v>270</v>
      </c>
      <c r="B54" s="1185" t="s">
        <v>271</v>
      </c>
      <c r="C54" s="1185" t="s">
        <v>272</v>
      </c>
      <c r="D54" s="1185" t="s">
        <v>273</v>
      </c>
      <c r="E54" s="5345"/>
      <c r="F54" s="5345"/>
      <c r="G54" s="5345"/>
      <c r="H54" s="5345"/>
      <c r="I54" s="5151"/>
      <c r="J54" s="5180" t="str">
        <f>I53&amp;".1"</f>
        <v>.1.1.1.1.1</v>
      </c>
      <c r="K54" s="1185"/>
      <c r="L54" s="1185"/>
      <c r="M54" s="1227" t="s">
        <v>525</v>
      </c>
      <c r="Q54" s="5313"/>
      <c r="R54" s="5313">
        <v>1</v>
      </c>
      <c r="S54" s="443"/>
      <c r="T54" s="281"/>
      <c r="U54" s="1252" t="str">
        <f>$J54</f>
        <v>.1.1.1.1.1</v>
      </c>
      <c r="V54" s="204" t="s">
        <v>526</v>
      </c>
      <c r="W54" s="218"/>
      <c r="X54" s="5303"/>
      <c r="Y54" s="5304"/>
      <c r="Z54" s="5304"/>
      <c r="AA54" s="5304"/>
      <c r="AB54" s="5304"/>
      <c r="AC54" s="5296"/>
      <c r="AD54" s="5296"/>
      <c r="AE54" s="5296"/>
      <c r="AF54" s="5346"/>
      <c r="AG54" s="5303" t="s">
        <v>565</v>
      </c>
      <c r="AH54" s="5304"/>
      <c r="AI54" s="5304"/>
      <c r="AJ54" s="5304"/>
      <c r="AK54" s="5304"/>
      <c r="AL54" s="5304"/>
      <c r="AM54" s="5304"/>
      <c r="AN54" s="5304"/>
      <c r="AO54" s="5304"/>
      <c r="AP54" s="5303"/>
      <c r="AQ54" s="5304"/>
      <c r="AR54" s="5304"/>
      <c r="AS54" s="5304"/>
      <c r="AT54" s="5304"/>
      <c r="AU54" s="5296"/>
      <c r="AV54" s="5296"/>
      <c r="AW54" s="5296"/>
      <c r="AX54" s="5346"/>
      <c r="AY54" s="5305"/>
      <c r="AZ54" s="1176" t="s">
        <v>527</v>
      </c>
      <c r="BB54" s="425"/>
      <c r="BC54" s="425" t="str">
        <f t="shared" si="2"/>
        <v>Группа потребителей</v>
      </c>
      <c r="BD54" s="425"/>
      <c r="BE54" s="425"/>
    </row>
    <row r="55" spans="1:57" ht="21" customHeight="1">
      <c r="A55" s="1185" t="s">
        <v>270</v>
      </c>
      <c r="B55" s="1185" t="s">
        <v>271</v>
      </c>
      <c r="C55" s="1185" t="s">
        <v>272</v>
      </c>
      <c r="D55" s="1185" t="s">
        <v>273</v>
      </c>
      <c r="E55" s="5345"/>
      <c r="F55" s="5345"/>
      <c r="G55" s="5345"/>
      <c r="H55" s="5345"/>
      <c r="I55" s="5151"/>
      <c r="J55" s="5151"/>
      <c r="K55" s="5180" t="str">
        <f>J54&amp;".1"</f>
        <v>.1.1.1.1.1.1</v>
      </c>
      <c r="L55" s="65"/>
      <c r="M55" s="1227" t="s">
        <v>528</v>
      </c>
      <c r="Q55" s="5313"/>
      <c r="R55" s="5313"/>
      <c r="S55" s="443">
        <v>1</v>
      </c>
      <c r="T55" s="281"/>
      <c r="U55" s="1252" t="str">
        <f>$K55</f>
        <v>.1.1.1.1.1.1</v>
      </c>
      <c r="V55" s="1263" t="s">
        <v>584</v>
      </c>
      <c r="W55" s="218"/>
      <c r="X55" s="667"/>
      <c r="Y55" s="667"/>
      <c r="Z55" s="667"/>
      <c r="AA55" s="667"/>
      <c r="AB55" s="1320"/>
      <c r="AC55" s="5317"/>
      <c r="AD55" s="5161" t="s">
        <v>62</v>
      </c>
      <c r="AE55" s="5317"/>
      <c r="AF55" s="5161" t="s">
        <v>62</v>
      </c>
      <c r="AG55" s="1322"/>
      <c r="AH55" s="667">
        <v>26.8</v>
      </c>
      <c r="AI55" s="667">
        <v>1642.09</v>
      </c>
      <c r="AJ55" s="667"/>
      <c r="AK55" s="1175"/>
      <c r="AL55" s="5317">
        <v>45658.583819444444</v>
      </c>
      <c r="AM55" s="5161" t="s">
        <v>62</v>
      </c>
      <c r="AN55" s="5317">
        <v>45838.58388888889</v>
      </c>
      <c r="AO55" s="5161" t="s">
        <v>62</v>
      </c>
      <c r="AP55" s="2139"/>
      <c r="AQ55" s="2139">
        <v>53.82</v>
      </c>
      <c r="AR55" s="2139">
        <v>2453.1999999999998</v>
      </c>
      <c r="AS55" s="2139"/>
      <c r="AT55" s="4030"/>
      <c r="AU55" s="5317">
        <v>45839.584456018521</v>
      </c>
      <c r="AV55" s="5161" t="s">
        <v>62</v>
      </c>
      <c r="AW55" s="5317">
        <v>46022.584560185183</v>
      </c>
      <c r="AX55" s="5161" t="s">
        <v>62</v>
      </c>
      <c r="AY55" s="1264"/>
      <c r="AZ55" s="1225" t="s">
        <v>572</v>
      </c>
      <c r="BA55" s="436" t="e">
        <f ca="1">STRCHECKDATE(X57:AY57)</f>
        <v>#NAME?</v>
      </c>
      <c r="BB55" s="425"/>
      <c r="BC55" s="425" t="str">
        <f t="shared" si="2"/>
        <v>горячая вода в системе централизованного теплоснабжения на горячее водоснабжение</v>
      </c>
      <c r="BD55" s="425"/>
      <c r="BE55" s="425"/>
    </row>
    <row r="56" spans="1:57" ht="11.25" customHeight="1">
      <c r="A56" s="1185" t="s">
        <v>270</v>
      </c>
      <c r="B56" s="1185" t="s">
        <v>271</v>
      </c>
      <c r="C56" s="1185" t="s">
        <v>272</v>
      </c>
      <c r="D56" s="1185" t="s">
        <v>273</v>
      </c>
      <c r="E56" s="5345"/>
      <c r="F56" s="5345"/>
      <c r="G56" s="5345"/>
      <c r="H56" s="5345"/>
      <c r="I56" s="5151"/>
      <c r="J56" s="5151"/>
      <c r="K56" s="5151"/>
      <c r="L56" s="5180" t="str">
        <f>K55&amp;".1"</f>
        <v>.1.1.1.1.1.1.1</v>
      </c>
      <c r="M56" s="1227"/>
      <c r="Q56" s="5313"/>
      <c r="R56" s="5313"/>
      <c r="S56" s="443">
        <v>1</v>
      </c>
      <c r="T56" s="281"/>
      <c r="U56" s="1252" t="str">
        <f>$L56</f>
        <v>.1.1.1.1.1.1.1</v>
      </c>
      <c r="V56" s="1306"/>
      <c r="W56" s="218"/>
      <c r="X56" s="250"/>
      <c r="Y56" s="667"/>
      <c r="Z56" s="667"/>
      <c r="AA56" s="667"/>
      <c r="AB56" s="1320"/>
      <c r="AC56" s="5318"/>
      <c r="AD56" s="5161"/>
      <c r="AE56" s="5318"/>
      <c r="AF56" s="5161"/>
      <c r="AG56" s="1322"/>
      <c r="AH56" s="667"/>
      <c r="AI56" s="667"/>
      <c r="AJ56" s="667"/>
      <c r="AK56" s="1175"/>
      <c r="AL56" s="5318"/>
      <c r="AM56" s="5161"/>
      <c r="AN56" s="5318"/>
      <c r="AO56" s="5161"/>
      <c r="AP56" s="2140"/>
      <c r="AQ56" s="2139"/>
      <c r="AR56" s="2139"/>
      <c r="AS56" s="2139"/>
      <c r="AT56" s="4030"/>
      <c r="AU56" s="5318"/>
      <c r="AV56" s="5161"/>
      <c r="AW56" s="5318"/>
      <c r="AX56" s="5161"/>
      <c r="AY56" s="1264"/>
      <c r="AZ56" s="5309" t="s">
        <v>573</v>
      </c>
      <c r="BA56" s="436" t="e">
        <f ca="1">STRCHECKDATE(X58:AY58)</f>
        <v>#NAME?</v>
      </c>
      <c r="BB56" s="425"/>
      <c r="BC56" s="425" t="str">
        <f t="shared" si="2"/>
        <v/>
      </c>
      <c r="BD56" s="425"/>
      <c r="BE56" s="425"/>
    </row>
    <row r="57" spans="1:57" ht="0" hidden="1" customHeight="1">
      <c r="A57" s="1185" t="s">
        <v>270</v>
      </c>
      <c r="B57" s="1185" t="s">
        <v>271</v>
      </c>
      <c r="C57" s="1185" t="s">
        <v>272</v>
      </c>
      <c r="D57" s="1185" t="s">
        <v>273</v>
      </c>
      <c r="E57" s="5345"/>
      <c r="F57" s="5345"/>
      <c r="G57" s="5345"/>
      <c r="H57" s="5345"/>
      <c r="I57" s="5151"/>
      <c r="J57" s="5151"/>
      <c r="K57" s="5151"/>
      <c r="L57" s="5180"/>
      <c r="M57" s="1227"/>
      <c r="Q57" s="5313"/>
      <c r="R57" s="5313"/>
      <c r="S57" s="443"/>
      <c r="T57" s="281"/>
      <c r="U57" s="1258"/>
      <c r="V57" s="218"/>
      <c r="W57" s="218"/>
      <c r="X57" s="250"/>
      <c r="Y57" s="250"/>
      <c r="Z57" s="250"/>
      <c r="AA57" s="250"/>
      <c r="AB57" s="1321" t="str">
        <f>AC55&amp;"-"&amp;AE55</f>
        <v>-</v>
      </c>
      <c r="AC57" s="5318"/>
      <c r="AD57" s="5161"/>
      <c r="AE57" s="5318"/>
      <c r="AF57" s="5161"/>
      <c r="AG57" s="1297"/>
      <c r="AH57" s="250"/>
      <c r="AI57" s="250"/>
      <c r="AJ57" s="250"/>
      <c r="AK57" s="254" t="str">
        <f>AL55&amp;"-"&amp;AN55</f>
        <v>45658,5838194444-45838,5838888889</v>
      </c>
      <c r="AL57" s="5318"/>
      <c r="AM57" s="5161"/>
      <c r="AN57" s="5318"/>
      <c r="AO57" s="5161"/>
      <c r="AP57" s="2140"/>
      <c r="AQ57" s="2140"/>
      <c r="AR57" s="2140"/>
      <c r="AS57" s="2140"/>
      <c r="AT57" s="4031" t="str">
        <f>AU55&amp;"-"&amp;AW55</f>
        <v>45839,5844560185-46022,5845601852</v>
      </c>
      <c r="AU57" s="5318"/>
      <c r="AV57" s="5161"/>
      <c r="AW57" s="5318"/>
      <c r="AX57" s="5161"/>
      <c r="AY57" s="1265"/>
      <c r="AZ57" s="5310"/>
      <c r="BB57" s="425"/>
      <c r="BC57" s="425" t="str">
        <f t="shared" si="2"/>
        <v/>
      </c>
      <c r="BD57" s="425"/>
      <c r="BE57" s="425"/>
    </row>
    <row r="58" spans="1:57" ht="11.25" customHeight="1">
      <c r="A58" s="1185" t="s">
        <v>270</v>
      </c>
      <c r="B58" s="1185" t="s">
        <v>271</v>
      </c>
      <c r="C58" s="1185" t="s">
        <v>272</v>
      </c>
      <c r="D58" s="1185" t="s">
        <v>273</v>
      </c>
      <c r="E58" s="5345"/>
      <c r="F58" s="5345"/>
      <c r="G58" s="5345"/>
      <c r="H58" s="5345"/>
      <c r="I58" s="5151"/>
      <c r="J58" s="5151"/>
      <c r="K58" s="5180"/>
      <c r="L58" s="1185"/>
      <c r="M58" s="1227"/>
      <c r="Q58" s="5313"/>
      <c r="R58" s="5313"/>
      <c r="S58" s="1247"/>
      <c r="T58" s="280"/>
      <c r="U58" s="1197"/>
      <c r="V58" s="206" t="s">
        <v>574</v>
      </c>
      <c r="W58" s="294"/>
      <c r="X58" s="294"/>
      <c r="Y58" s="294"/>
      <c r="Z58" s="294"/>
      <c r="AA58" s="294"/>
      <c r="AB58" s="294"/>
      <c r="AC58" s="5318"/>
      <c r="AD58" s="5161"/>
      <c r="AE58" s="5318"/>
      <c r="AF58" s="5161"/>
      <c r="AG58" s="294"/>
      <c r="AH58" s="294"/>
      <c r="AI58" s="294"/>
      <c r="AJ58" s="294"/>
      <c r="AK58" s="294"/>
      <c r="AL58" s="5318"/>
      <c r="AM58" s="5161"/>
      <c r="AN58" s="5318"/>
      <c r="AO58" s="5161"/>
      <c r="AP58" s="4058"/>
      <c r="AQ58" s="4059"/>
      <c r="AR58" s="4060"/>
      <c r="AS58" s="4061"/>
      <c r="AT58" s="4062"/>
      <c r="AU58" s="5318"/>
      <c r="AV58" s="5161"/>
      <c r="AW58" s="5318"/>
      <c r="AX58" s="5161"/>
      <c r="AY58" s="249"/>
      <c r="AZ58" s="5310"/>
      <c r="BB58" s="425"/>
      <c r="BC58" s="425" t="str">
        <f t="shared" si="2"/>
        <v>Добавить наименование поставщика</v>
      </c>
      <c r="BD58" s="425"/>
      <c r="BE58" s="425"/>
    </row>
    <row r="59" spans="1:57" ht="11.25" customHeight="1">
      <c r="A59" s="1185" t="s">
        <v>270</v>
      </c>
      <c r="B59" s="1185" t="s">
        <v>271</v>
      </c>
      <c r="C59" s="1185" t="s">
        <v>272</v>
      </c>
      <c r="D59" s="1185" t="s">
        <v>273</v>
      </c>
      <c r="E59" s="5345"/>
      <c r="F59" s="5345"/>
      <c r="G59" s="5345"/>
      <c r="H59" s="5345"/>
      <c r="I59" s="5151"/>
      <c r="J59" s="5180"/>
      <c r="K59" s="1185"/>
      <c r="L59" s="1185"/>
      <c r="M59" s="1227"/>
      <c r="Q59" s="5313"/>
      <c r="R59" s="5313"/>
      <c r="S59" s="1247"/>
      <c r="T59" s="280"/>
      <c r="U59" s="1197"/>
      <c r="V59" s="205" t="s">
        <v>530</v>
      </c>
      <c r="W59" s="294"/>
      <c r="X59" s="294"/>
      <c r="Y59" s="294"/>
      <c r="Z59" s="294"/>
      <c r="AA59" s="294"/>
      <c r="AB59" s="294"/>
      <c r="AC59" s="1323"/>
      <c r="AD59" s="1323"/>
      <c r="AE59" s="1323"/>
      <c r="AF59" s="1323"/>
      <c r="AG59" s="294"/>
      <c r="AH59" s="294"/>
      <c r="AI59" s="294"/>
      <c r="AJ59" s="294"/>
      <c r="AK59" s="294"/>
      <c r="AL59" s="294"/>
      <c r="AM59" s="294"/>
      <c r="AN59" s="294"/>
      <c r="AO59" s="294"/>
      <c r="AP59" s="4063"/>
      <c r="AQ59" s="4064"/>
      <c r="AR59" s="4065"/>
      <c r="AS59" s="4066"/>
      <c r="AT59" s="4067"/>
      <c r="AU59" s="4068"/>
      <c r="AV59" s="4069"/>
      <c r="AW59" s="4070"/>
      <c r="AX59" s="4071"/>
      <c r="AY59" s="249"/>
      <c r="AZ59" s="5311"/>
      <c r="BB59" s="425"/>
      <c r="BC59" s="425" t="str">
        <f t="shared" si="2"/>
        <v>Добавить вид теплоносителя (параметры теплоносителя)</v>
      </c>
      <c r="BD59" s="425"/>
      <c r="BE59" s="425"/>
    </row>
    <row r="60" spans="1:57" ht="11.25" customHeight="1">
      <c r="A60" s="1185" t="s">
        <v>270</v>
      </c>
      <c r="B60" s="1185" t="s">
        <v>271</v>
      </c>
      <c r="C60" s="1185" t="s">
        <v>272</v>
      </c>
      <c r="D60" s="1185" t="s">
        <v>273</v>
      </c>
      <c r="E60" s="5345"/>
      <c r="F60" s="5345"/>
      <c r="G60" s="5345"/>
      <c r="H60" s="5345"/>
      <c r="I60" s="5180"/>
      <c r="J60" s="1185"/>
      <c r="K60" s="1185"/>
      <c r="L60" s="1185"/>
      <c r="M60" s="1227"/>
      <c r="Q60" s="5313"/>
      <c r="R60" s="1247"/>
      <c r="S60" s="1247"/>
      <c r="T60" s="280"/>
      <c r="U60" s="1197"/>
      <c r="V60" s="291" t="s">
        <v>531</v>
      </c>
      <c r="W60" s="294"/>
      <c r="X60" s="294"/>
      <c r="Y60" s="294"/>
      <c r="Z60" s="294"/>
      <c r="AA60" s="294"/>
      <c r="AB60" s="294"/>
      <c r="AC60" s="294"/>
      <c r="AD60" s="294"/>
      <c r="AE60" s="294"/>
      <c r="AF60" s="293"/>
      <c r="AG60" s="294"/>
      <c r="AH60" s="294"/>
      <c r="AI60" s="294"/>
      <c r="AJ60" s="294"/>
      <c r="AK60" s="294"/>
      <c r="AL60" s="294"/>
      <c r="AM60" s="294"/>
      <c r="AN60" s="294"/>
      <c r="AO60" s="293"/>
      <c r="AP60" s="4072"/>
      <c r="AQ60" s="4073"/>
      <c r="AR60" s="4074"/>
      <c r="AS60" s="4075"/>
      <c r="AT60" s="4076"/>
      <c r="AU60" s="4077"/>
      <c r="AV60" s="4078"/>
      <c r="AW60" s="4079"/>
      <c r="AX60" s="4080"/>
      <c r="AY60" s="294"/>
      <c r="AZ60" s="221"/>
      <c r="BB60" s="425"/>
      <c r="BC60" s="425" t="str">
        <f t="shared" si="2"/>
        <v>Добавить группу потребителей</v>
      </c>
      <c r="BD60" s="425"/>
      <c r="BE60" s="425"/>
    </row>
    <row r="61" spans="1:57" ht="0" hidden="1" customHeight="1">
      <c r="A61" s="1185" t="s">
        <v>270</v>
      </c>
      <c r="B61" s="1185" t="s">
        <v>271</v>
      </c>
      <c r="C61" s="1185" t="s">
        <v>272</v>
      </c>
      <c r="D61" s="1185" t="s">
        <v>273</v>
      </c>
      <c r="E61" s="5345"/>
      <c r="F61" s="5345"/>
      <c r="G61" s="5345"/>
      <c r="H61" s="5344"/>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3763"/>
      <c r="AQ61" s="3763"/>
      <c r="AR61" s="3763"/>
      <c r="AS61" s="3763"/>
      <c r="AT61" s="3763"/>
      <c r="AU61" s="3763"/>
      <c r="AV61" s="3763"/>
      <c r="AW61" s="3763"/>
      <c r="AX61" s="3763"/>
      <c r="AY61" s="1303"/>
      <c r="AZ61" s="1304"/>
      <c r="BB61" s="425"/>
      <c r="BC61" s="425" t="str">
        <f t="shared" si="2"/>
        <v/>
      </c>
      <c r="BD61" s="425"/>
      <c r="BE61" s="425"/>
    </row>
    <row r="62" spans="1:57" s="2167" customFormat="1" ht="0" hidden="1" customHeight="1">
      <c r="A62" s="1290" t="s">
        <v>270</v>
      </c>
      <c r="B62" s="1290" t="s">
        <v>271</v>
      </c>
      <c r="C62" s="1290" t="s">
        <v>272</v>
      </c>
      <c r="D62" s="1289"/>
      <c r="E62" s="5345"/>
      <c r="F62" s="5345"/>
      <c r="G62" s="5344"/>
      <c r="H62" s="1289"/>
      <c r="I62" s="1289"/>
      <c r="J62" s="1289"/>
      <c r="K62" s="1289"/>
      <c r="L62" s="1289"/>
      <c r="M62" s="1292"/>
      <c r="N62" s="1293"/>
      <c r="O62" s="1293"/>
      <c r="P62" s="275"/>
      <c r="Q62" s="1233"/>
      <c r="R62" s="1234"/>
      <c r="S62" s="1233"/>
      <c r="T62" s="1233"/>
      <c r="U62" s="1239"/>
      <c r="V62" s="1242" t="s">
        <v>168</v>
      </c>
      <c r="W62" s="1241"/>
      <c r="X62" s="1241"/>
      <c r="Y62" s="1241"/>
      <c r="Z62" s="1241"/>
      <c r="AA62" s="1241"/>
      <c r="AB62" s="1241"/>
      <c r="AC62" s="1241"/>
      <c r="AD62" s="1241"/>
      <c r="AE62" s="1241"/>
      <c r="AF62" s="1241"/>
      <c r="AG62" s="1241"/>
      <c r="AH62" s="1241"/>
      <c r="AI62" s="1241"/>
      <c r="AJ62" s="1241"/>
      <c r="AK62" s="1241"/>
      <c r="AL62" s="1241"/>
      <c r="AM62" s="1241"/>
      <c r="AN62" s="1241"/>
      <c r="AO62" s="1241"/>
      <c r="AP62" s="2169"/>
      <c r="AQ62" s="2169"/>
      <c r="AR62" s="2169"/>
      <c r="AS62" s="2169"/>
      <c r="AT62" s="2169"/>
      <c r="AU62" s="2169"/>
      <c r="AV62" s="2169"/>
      <c r="AW62" s="2169"/>
      <c r="AX62" s="2169"/>
      <c r="AY62" s="1241"/>
      <c r="AZ62" s="1241"/>
      <c r="BB62" s="705"/>
      <c r="BC62" s="705" t="str">
        <f t="shared" si="2"/>
        <v>Добавить источник для дифференциации</v>
      </c>
      <c r="BD62" s="705"/>
      <c r="BE62" s="705"/>
    </row>
    <row r="63" spans="1:57" s="2167" customFormat="1" ht="0" hidden="1" customHeight="1">
      <c r="A63" s="1290" t="s">
        <v>270</v>
      </c>
      <c r="B63" s="1290" t="s">
        <v>271</v>
      </c>
      <c r="C63" s="1289"/>
      <c r="D63" s="1289"/>
      <c r="E63" s="5345"/>
      <c r="F63" s="5344"/>
      <c r="G63" s="1289"/>
      <c r="H63" s="1289"/>
      <c r="I63" s="1289"/>
      <c r="J63" s="1289"/>
      <c r="K63" s="1289"/>
      <c r="L63" s="1289"/>
      <c r="M63" s="1292"/>
      <c r="N63" s="1294"/>
      <c r="O63" s="1294"/>
      <c r="P63" s="275"/>
      <c r="Q63" s="1233"/>
      <c r="R63" s="1234"/>
      <c r="S63" s="1233"/>
      <c r="T63" s="1233"/>
      <c r="U63" s="1239"/>
      <c r="V63" s="1242" t="s">
        <v>169</v>
      </c>
      <c r="W63" s="1241"/>
      <c r="X63" s="1241"/>
      <c r="Y63" s="1241"/>
      <c r="Z63" s="1241"/>
      <c r="AA63" s="1241"/>
      <c r="AB63" s="1241"/>
      <c r="AC63" s="1241"/>
      <c r="AD63" s="1241"/>
      <c r="AE63" s="1241"/>
      <c r="AF63" s="1241"/>
      <c r="AG63" s="1241"/>
      <c r="AH63" s="1241"/>
      <c r="AI63" s="1241"/>
      <c r="AJ63" s="1241"/>
      <c r="AK63" s="1241"/>
      <c r="AL63" s="1241"/>
      <c r="AM63" s="1241"/>
      <c r="AN63" s="1241"/>
      <c r="AO63" s="1241"/>
      <c r="AP63" s="2169"/>
      <c r="AQ63" s="2169"/>
      <c r="AR63" s="2169"/>
      <c r="AS63" s="2169"/>
      <c r="AT63" s="2169"/>
      <c r="AU63" s="2169"/>
      <c r="AV63" s="2169"/>
      <c r="AW63" s="2169"/>
      <c r="AX63" s="2169"/>
      <c r="AY63" s="1241"/>
      <c r="AZ63" s="1241"/>
      <c r="BB63" s="705"/>
      <c r="BC63" s="705" t="str">
        <f t="shared" si="2"/>
        <v>Добавить централизованную систему для дифференциации</v>
      </c>
      <c r="BD63" s="705"/>
      <c r="BE63" s="705"/>
    </row>
    <row r="64" spans="1:57" s="1819" customFormat="1" ht="0" hidden="1" customHeight="1">
      <c r="A64" s="1290" t="s">
        <v>270</v>
      </c>
      <c r="B64" s="1290"/>
      <c r="C64" s="1290"/>
      <c r="D64" s="1290"/>
      <c r="E64" s="5344"/>
      <c r="F64" s="1290"/>
      <c r="G64" s="1290"/>
      <c r="H64" s="1290"/>
      <c r="I64" s="1290"/>
      <c r="J64" s="1290"/>
      <c r="K64" s="1290"/>
      <c r="L64" s="1290"/>
      <c r="M64" s="1296"/>
      <c r="N64" s="1294"/>
      <c r="O64" s="1294"/>
      <c r="P64" s="275"/>
      <c r="Q64" s="312"/>
      <c r="R64" s="1260"/>
      <c r="S64" s="312"/>
      <c r="T64" s="312"/>
      <c r="U64" s="1239"/>
      <c r="V64" s="1242" t="s">
        <v>174</v>
      </c>
      <c r="W64" s="1241"/>
      <c r="X64" s="1241"/>
      <c r="Y64" s="1241"/>
      <c r="Z64" s="1241"/>
      <c r="AA64" s="1241"/>
      <c r="AB64" s="1241"/>
      <c r="AC64" s="1241"/>
      <c r="AD64" s="1241"/>
      <c r="AE64" s="1241"/>
      <c r="AF64" s="1241"/>
      <c r="AG64" s="1241"/>
      <c r="AH64" s="1241"/>
      <c r="AI64" s="1241"/>
      <c r="AJ64" s="1241"/>
      <c r="AK64" s="1241"/>
      <c r="AL64" s="1241"/>
      <c r="AM64" s="1241"/>
      <c r="AN64" s="1241"/>
      <c r="AO64" s="1241"/>
      <c r="AP64" s="2169"/>
      <c r="AQ64" s="2169"/>
      <c r="AR64" s="2169"/>
      <c r="AS64" s="2169"/>
      <c r="AT64" s="2169"/>
      <c r="AU64" s="2169"/>
      <c r="AV64" s="2169"/>
      <c r="AW64" s="2169"/>
      <c r="AX64" s="2169"/>
      <c r="AY64" s="1241"/>
      <c r="AZ64" s="1241"/>
      <c r="BB64" s="425"/>
      <c r="BC64" s="425" t="str">
        <f t="shared" si="2"/>
        <v>Добавить территорию для дифференциации</v>
      </c>
      <c r="BD64" s="425"/>
      <c r="BE64" s="425"/>
    </row>
    <row r="65" spans="1:57" s="4081" customFormat="1" ht="21" customHeight="1">
      <c r="A65" s="1869" t="s">
        <v>275</v>
      </c>
      <c r="B65" s="1869"/>
      <c r="C65" s="1869"/>
      <c r="D65" s="1869"/>
      <c r="E65" s="5344" t="s">
        <v>98</v>
      </c>
      <c r="F65" s="1869"/>
      <c r="G65" s="1869"/>
      <c r="H65" s="1869"/>
      <c r="I65" s="1869"/>
      <c r="J65" s="1869"/>
      <c r="K65" s="1869"/>
      <c r="L65" s="1869"/>
      <c r="M65" s="4082"/>
      <c r="N65" s="4083"/>
      <c r="O65" s="4083"/>
      <c r="P65" s="4083"/>
      <c r="Q65" s="2344"/>
      <c r="R65" s="2299"/>
      <c r="S65" s="2299"/>
      <c r="T65" s="2301"/>
      <c r="U65" s="2217" t="str">
        <f>INDEX(PT_DIFFERENTIATION_NUM_NTAR,MATCH(A65,PT_DIFFERENTIATION_NTAR_ID,0))</f>
        <v>2</v>
      </c>
      <c r="V65" s="2345" t="s">
        <v>127</v>
      </c>
      <c r="W65" s="2219"/>
      <c r="X65" s="5300"/>
      <c r="Y65" s="5301"/>
      <c r="Z65" s="5301"/>
      <c r="AA65" s="5301"/>
      <c r="AB65" s="5301"/>
      <c r="AC65" s="5301"/>
      <c r="AD65" s="5301"/>
      <c r="AE65" s="5301"/>
      <c r="AF65" s="5302"/>
      <c r="AG65" s="5300" t="str">
        <f>INDEX(PT_DIFFERENTIATION_NTAR,MATCH(A65,PT_DIFFERENTIATION_NTAR_ID,0))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AH65" s="5301"/>
      <c r="AI65" s="5301"/>
      <c r="AJ65" s="5301"/>
      <c r="AK65" s="5301"/>
      <c r="AL65" s="5301"/>
      <c r="AM65" s="5301"/>
      <c r="AN65" s="5301"/>
      <c r="AO65" s="5301"/>
      <c r="AP65" s="5300"/>
      <c r="AQ65" s="5301"/>
      <c r="AR65" s="5301"/>
      <c r="AS65" s="5301"/>
      <c r="AT65" s="5301"/>
      <c r="AU65" s="5301"/>
      <c r="AV65" s="5301"/>
      <c r="AW65" s="5301"/>
      <c r="AX65" s="5302"/>
      <c r="AY65" s="5302"/>
      <c r="AZ65" s="2220" t="s">
        <v>515</v>
      </c>
      <c r="BA65" s="2182"/>
      <c r="BB65" s="2221"/>
      <c r="BC65" s="2221" t="str">
        <f t="shared" si="2"/>
        <v>Наименование тарифа</v>
      </c>
      <c r="BD65" s="2221"/>
      <c r="BE65" s="2221"/>
    </row>
    <row r="66" spans="1:57" s="4084" customFormat="1" ht="21" customHeight="1">
      <c r="A66" s="1869"/>
      <c r="B66" s="1869" t="s">
        <v>276</v>
      </c>
      <c r="C66" s="1869"/>
      <c r="D66" s="1869"/>
      <c r="E66" s="5345">
        <v>1</v>
      </c>
      <c r="F66" s="5344">
        <v>1</v>
      </c>
      <c r="G66" s="1869"/>
      <c r="H66" s="1869"/>
      <c r="I66" s="1869"/>
      <c r="J66" s="1869"/>
      <c r="K66" s="1869"/>
      <c r="L66" s="1869"/>
      <c r="M66" s="4082"/>
      <c r="N66" s="4083"/>
      <c r="O66" s="4083"/>
      <c r="P66" s="4083"/>
      <c r="Q66" s="2214"/>
      <c r="R66" s="2215"/>
      <c r="S66" s="2138"/>
      <c r="T66" s="2216"/>
      <c r="U66" s="2217" t="str">
        <f>INDEX(PT_DIFFERENTIATION_NUM_TER,MATCH(B66,PT_DIFFERENTIATION_TER_ID,0))</f>
        <v>2.1</v>
      </c>
      <c r="V66" s="2218" t="s">
        <v>516</v>
      </c>
      <c r="W66" s="2219"/>
      <c r="X66" s="5300"/>
      <c r="Y66" s="5301"/>
      <c r="Z66" s="5301"/>
      <c r="AA66" s="5301"/>
      <c r="AB66" s="5301"/>
      <c r="AC66" s="5301"/>
      <c r="AD66" s="5301"/>
      <c r="AE66" s="5301"/>
      <c r="AF66" s="5302"/>
      <c r="AG66" s="5300" t="str">
        <f>INDEX(PT_DIFFERENTIATION_TER,MATCH(B66,PT_DIFFERENTIATION_TER_ID,0))</f>
        <v>Территория 1</v>
      </c>
      <c r="AH66" s="5301"/>
      <c r="AI66" s="5301"/>
      <c r="AJ66" s="5301"/>
      <c r="AK66" s="5301"/>
      <c r="AL66" s="5301"/>
      <c r="AM66" s="5301"/>
      <c r="AN66" s="5301"/>
      <c r="AO66" s="5301"/>
      <c r="AP66" s="5300"/>
      <c r="AQ66" s="5301"/>
      <c r="AR66" s="5301"/>
      <c r="AS66" s="5301"/>
      <c r="AT66" s="5301"/>
      <c r="AU66" s="5301"/>
      <c r="AV66" s="5301"/>
      <c r="AW66" s="5301"/>
      <c r="AX66" s="5302"/>
      <c r="AY66" s="5302"/>
      <c r="AZ66" s="2220" t="s">
        <v>517</v>
      </c>
      <c r="BA66" s="2182"/>
      <c r="BB66" s="2221"/>
      <c r="BC66" s="2221" t="str">
        <f t="shared" si="2"/>
        <v>Территория действия тарифа</v>
      </c>
      <c r="BD66" s="2221"/>
      <c r="BE66" s="2221"/>
    </row>
    <row r="67" spans="1:57" s="4085" customFormat="1" ht="22.5" customHeight="1">
      <c r="A67" s="1869"/>
      <c r="B67" s="1869"/>
      <c r="C67" s="1869" t="s">
        <v>277</v>
      </c>
      <c r="D67" s="1869"/>
      <c r="E67" s="5345">
        <v>1</v>
      </c>
      <c r="F67" s="5345"/>
      <c r="G67" s="5344">
        <v>1</v>
      </c>
      <c r="H67" s="1869"/>
      <c r="I67" s="1869"/>
      <c r="J67" s="1869"/>
      <c r="K67" s="1869"/>
      <c r="L67" s="1869"/>
      <c r="M67" s="4082"/>
      <c r="N67" s="4083"/>
      <c r="O67" s="4083"/>
      <c r="P67" s="4083"/>
      <c r="Q67" s="2223"/>
      <c r="R67" s="2215"/>
      <c r="S67" s="2138"/>
      <c r="T67" s="2216"/>
      <c r="U67" s="2217" t="str">
        <f>INDEX(PT_DIFFERENTIATION_NUM_CS,MATCH(C67,PT_DIFFERENTIATION_CS_ID,0))</f>
        <v>2.1.1</v>
      </c>
      <c r="V67" s="2224" t="s">
        <v>518</v>
      </c>
      <c r="W67" s="2219"/>
      <c r="X67" s="5300"/>
      <c r="Y67" s="5301"/>
      <c r="Z67" s="5301"/>
      <c r="AA67" s="5301"/>
      <c r="AB67" s="5301"/>
      <c r="AC67" s="5301"/>
      <c r="AD67" s="5301"/>
      <c r="AE67" s="5301"/>
      <c r="AF67" s="5302"/>
      <c r="AG67" s="5300" t="str">
        <f>INDEX(PT_DIFFERENTIATION_CS,MATCH(C67,PT_DIFFERENTIATION_CS_ID,0))</f>
        <v xml:space="preserve">открытая система теплоснабжения г. Апатиты
</v>
      </c>
      <c r="AH67" s="5301"/>
      <c r="AI67" s="5301"/>
      <c r="AJ67" s="5301"/>
      <c r="AK67" s="5301"/>
      <c r="AL67" s="5301"/>
      <c r="AM67" s="5301"/>
      <c r="AN67" s="5301"/>
      <c r="AO67" s="5301"/>
      <c r="AP67" s="5300"/>
      <c r="AQ67" s="5301"/>
      <c r="AR67" s="5301"/>
      <c r="AS67" s="5301"/>
      <c r="AT67" s="5301"/>
      <c r="AU67" s="5301"/>
      <c r="AV67" s="5301"/>
      <c r="AW67" s="5301"/>
      <c r="AX67" s="5302"/>
      <c r="AY67" s="5302"/>
      <c r="AZ67" s="2220" t="s">
        <v>519</v>
      </c>
      <c r="BA67" s="2182"/>
      <c r="BB67" s="2221"/>
      <c r="BC67" s="2221" t="str">
        <f t="shared" si="2"/>
        <v xml:space="preserve">Наименование системы теплоснабжения </v>
      </c>
      <c r="BD67" s="2221"/>
      <c r="BE67" s="2221"/>
    </row>
    <row r="68" spans="1:57" s="4086" customFormat="1" ht="21" customHeight="1">
      <c r="A68" s="1869"/>
      <c r="B68" s="1869"/>
      <c r="C68" s="1869"/>
      <c r="D68" s="1869" t="s">
        <v>278</v>
      </c>
      <c r="E68" s="5345">
        <v>1</v>
      </c>
      <c r="F68" s="5345"/>
      <c r="G68" s="5345"/>
      <c r="H68" s="5344">
        <v>1</v>
      </c>
      <c r="I68" s="1869"/>
      <c r="J68" s="1869"/>
      <c r="K68" s="1869"/>
      <c r="L68" s="1869"/>
      <c r="M68" s="4082"/>
      <c r="N68" s="4083"/>
      <c r="O68" s="4083"/>
      <c r="P68" s="4083"/>
      <c r="Q68" s="2223"/>
      <c r="R68" s="2215"/>
      <c r="S68" s="2138"/>
      <c r="T68" s="2216"/>
      <c r="U68" s="2217" t="str">
        <f>INDEX(PT_DIFFERENTIATION_NUM_IST_TE,MATCH(D68,PT_DIFFERENTIATION_IST_TE_ID,0))</f>
        <v>2.1.1.1</v>
      </c>
      <c r="V68" s="2226" t="s">
        <v>520</v>
      </c>
      <c r="W68" s="2219"/>
      <c r="X68" s="5300"/>
      <c r="Y68" s="5301"/>
      <c r="Z68" s="5301"/>
      <c r="AA68" s="5301"/>
      <c r="AB68" s="5301"/>
      <c r="AC68" s="5301"/>
      <c r="AD68" s="5301"/>
      <c r="AE68" s="5301"/>
      <c r="AF68" s="5302"/>
      <c r="AG68" s="5300" t="str">
        <f>INDEX(PT_DIFFERENTIATION_IST_TE,MATCH(D68,PT_DIFFERENTIATION_IST_TE_ID,0))</f>
        <v>Апатитская ТЭЦ</v>
      </c>
      <c r="AH68" s="5301"/>
      <c r="AI68" s="5301"/>
      <c r="AJ68" s="5301"/>
      <c r="AK68" s="5301"/>
      <c r="AL68" s="5301"/>
      <c r="AM68" s="5301"/>
      <c r="AN68" s="5301"/>
      <c r="AO68" s="5301"/>
      <c r="AP68" s="5300"/>
      <c r="AQ68" s="5301"/>
      <c r="AR68" s="5301"/>
      <c r="AS68" s="5301"/>
      <c r="AT68" s="5301"/>
      <c r="AU68" s="5301"/>
      <c r="AV68" s="5301"/>
      <c r="AW68" s="5301"/>
      <c r="AX68" s="5302"/>
      <c r="AY68" s="5302"/>
      <c r="AZ68" s="2220" t="s">
        <v>521</v>
      </c>
      <c r="BA68" s="2182"/>
      <c r="BB68" s="2221"/>
      <c r="BC68" s="2221" t="str">
        <f t="shared" si="2"/>
        <v xml:space="preserve">Источник тепловой энергии  </v>
      </c>
      <c r="BD68" s="2221"/>
      <c r="BE68" s="2221"/>
    </row>
    <row r="69" spans="1:57" s="4087" customFormat="1" ht="14.25" customHeight="1">
      <c r="A69" s="1869"/>
      <c r="B69" s="1869"/>
      <c r="C69" s="1869"/>
      <c r="D69" s="1869"/>
      <c r="E69" s="5345">
        <v>1</v>
      </c>
      <c r="F69" s="5345"/>
      <c r="G69" s="5345"/>
      <c r="H69" s="5345"/>
      <c r="I69" s="5180" t="str">
        <f>U68&amp;".1"</f>
        <v>2.1.1.1.1</v>
      </c>
      <c r="J69" s="1869"/>
      <c r="K69" s="1869"/>
      <c r="L69" s="1869"/>
      <c r="M69" s="4082" t="s">
        <v>522</v>
      </c>
      <c r="N69" s="2138"/>
      <c r="O69" s="2344"/>
      <c r="P69" s="2344"/>
      <c r="Q69" s="5313">
        <v>1</v>
      </c>
      <c r="R69" s="2229"/>
      <c r="S69" s="2229"/>
      <c r="T69" s="2230"/>
      <c r="U69" s="3785"/>
      <c r="V69" s="3786"/>
      <c r="W69" s="3787"/>
      <c r="X69" s="5341"/>
      <c r="Y69" s="5342"/>
      <c r="Z69" s="5342"/>
      <c r="AA69" s="5342"/>
      <c r="AB69" s="5342"/>
      <c r="AC69" s="5342"/>
      <c r="AD69" s="5342"/>
      <c r="AE69" s="5342"/>
      <c r="AF69" s="5343"/>
      <c r="AG69" s="5341"/>
      <c r="AH69" s="5342"/>
      <c r="AI69" s="5342"/>
      <c r="AJ69" s="5342"/>
      <c r="AK69" s="5342"/>
      <c r="AL69" s="5342"/>
      <c r="AM69" s="5342"/>
      <c r="AN69" s="5342"/>
      <c r="AO69" s="5342"/>
      <c r="AP69" s="5341"/>
      <c r="AQ69" s="5342"/>
      <c r="AR69" s="5342"/>
      <c r="AS69" s="5342"/>
      <c r="AT69" s="5342"/>
      <c r="AU69" s="5342"/>
      <c r="AV69" s="5342"/>
      <c r="AW69" s="5342"/>
      <c r="AX69" s="5343"/>
      <c r="AY69" s="5343"/>
      <c r="AZ69" s="3788"/>
      <c r="BA69" s="2182"/>
      <c r="BB69" s="2221"/>
      <c r="BC69" s="2221" t="str">
        <f t="shared" si="2"/>
        <v/>
      </c>
      <c r="BD69" s="2221"/>
      <c r="BE69" s="2221"/>
    </row>
    <row r="70" spans="1:57" s="4088" customFormat="1" ht="21" customHeight="1">
      <c r="A70" s="1869"/>
      <c r="B70" s="1869"/>
      <c r="C70" s="1869"/>
      <c r="D70" s="1869"/>
      <c r="E70" s="5345">
        <v>1</v>
      </c>
      <c r="F70" s="5345"/>
      <c r="G70" s="5345"/>
      <c r="H70" s="5345"/>
      <c r="I70" s="5151"/>
      <c r="J70" s="5180" t="str">
        <f>I69&amp;".1"</f>
        <v>2.1.1.1.1.1</v>
      </c>
      <c r="K70" s="1869"/>
      <c r="L70" s="1869"/>
      <c r="M70" s="4082" t="s">
        <v>525</v>
      </c>
      <c r="N70" s="2138"/>
      <c r="O70" s="2138"/>
      <c r="P70" s="2344"/>
      <c r="Q70" s="5313"/>
      <c r="R70" s="5313">
        <v>1</v>
      </c>
      <c r="S70" s="2182"/>
      <c r="T70" s="2233"/>
      <c r="U70" s="2217" t="str">
        <f>$J70</f>
        <v>2.1.1.1.1.1</v>
      </c>
      <c r="V70" s="2234" t="s">
        <v>526</v>
      </c>
      <c r="W70" s="2219"/>
      <c r="X70" s="5303"/>
      <c r="Y70" s="5304"/>
      <c r="Z70" s="5304"/>
      <c r="AA70" s="5304"/>
      <c r="AB70" s="5304"/>
      <c r="AC70" s="5296"/>
      <c r="AD70" s="5296"/>
      <c r="AE70" s="5296"/>
      <c r="AF70" s="5346"/>
      <c r="AG70" s="5303" t="s">
        <v>565</v>
      </c>
      <c r="AH70" s="5304"/>
      <c r="AI70" s="5304"/>
      <c r="AJ70" s="5304"/>
      <c r="AK70" s="5304"/>
      <c r="AL70" s="5304"/>
      <c r="AM70" s="5304"/>
      <c r="AN70" s="5304"/>
      <c r="AO70" s="5304"/>
      <c r="AP70" s="5303"/>
      <c r="AQ70" s="5304"/>
      <c r="AR70" s="5304"/>
      <c r="AS70" s="5304"/>
      <c r="AT70" s="5304"/>
      <c r="AU70" s="5296"/>
      <c r="AV70" s="5296"/>
      <c r="AW70" s="5296"/>
      <c r="AX70" s="5346"/>
      <c r="AY70" s="5305"/>
      <c r="AZ70" s="2220" t="s">
        <v>527</v>
      </c>
      <c r="BA70" s="2182"/>
      <c r="BB70" s="2221"/>
      <c r="BC70" s="2221" t="str">
        <f t="shared" si="2"/>
        <v>Группа потребителей</v>
      </c>
      <c r="BD70" s="2221"/>
      <c r="BE70" s="2221"/>
    </row>
    <row r="71" spans="1:57" s="4089" customFormat="1" ht="21" customHeight="1">
      <c r="A71" s="1869"/>
      <c r="B71" s="1869"/>
      <c r="C71" s="1869"/>
      <c r="D71" s="1869"/>
      <c r="E71" s="5345">
        <v>1</v>
      </c>
      <c r="F71" s="5345"/>
      <c r="G71" s="5345"/>
      <c r="H71" s="5345"/>
      <c r="I71" s="5151"/>
      <c r="J71" s="5151"/>
      <c r="K71" s="5180" t="str">
        <f>J70&amp;".1"</f>
        <v>2.1.1.1.1.1.1</v>
      </c>
      <c r="L71" s="2214"/>
      <c r="M71" s="4082" t="s">
        <v>528</v>
      </c>
      <c r="N71" s="2138"/>
      <c r="O71" s="2138"/>
      <c r="P71" s="2138"/>
      <c r="Q71" s="5313"/>
      <c r="R71" s="5313"/>
      <c r="S71" s="5313">
        <v>1</v>
      </c>
      <c r="T71" s="2233"/>
      <c r="U71" s="2217" t="str">
        <f>$K71</f>
        <v>2.1.1.1.1.1.1</v>
      </c>
      <c r="V71" s="2236" t="s">
        <v>584</v>
      </c>
      <c r="W71" s="2219"/>
      <c r="X71" s="2139"/>
      <c r="Y71" s="2139"/>
      <c r="Z71" s="2139"/>
      <c r="AA71" s="2139"/>
      <c r="AB71" s="4030"/>
      <c r="AC71" s="5317"/>
      <c r="AD71" s="5161" t="s">
        <v>62</v>
      </c>
      <c r="AE71" s="5317"/>
      <c r="AF71" s="5161" t="s">
        <v>62</v>
      </c>
      <c r="AG71" s="4090"/>
      <c r="AH71" s="2139">
        <v>26.8</v>
      </c>
      <c r="AI71" s="2139">
        <v>1803.93</v>
      </c>
      <c r="AJ71" s="2139"/>
      <c r="AK71" s="2141"/>
      <c r="AL71" s="5317">
        <v>45658.586782407408</v>
      </c>
      <c r="AM71" s="5161" t="s">
        <v>62</v>
      </c>
      <c r="AN71" s="5317">
        <v>45838.586828703701</v>
      </c>
      <c r="AO71" s="5161" t="s">
        <v>62</v>
      </c>
      <c r="AP71" s="2139"/>
      <c r="AQ71" s="2139">
        <v>53.82</v>
      </c>
      <c r="AR71" s="2139">
        <v>2633.01</v>
      </c>
      <c r="AS71" s="2139"/>
      <c r="AT71" s="4030"/>
      <c r="AU71" s="5317">
        <v>45839.587141203701</v>
      </c>
      <c r="AV71" s="5161" t="s">
        <v>62</v>
      </c>
      <c r="AW71" s="5317">
        <v>46022.587222222224</v>
      </c>
      <c r="AX71" s="5161" t="s">
        <v>62</v>
      </c>
      <c r="AY71" s="2140"/>
      <c r="AZ71" s="4091" t="s">
        <v>572</v>
      </c>
      <c r="BA71" s="2182" t="e">
        <f ca="1">STRCHECKDATE(X73:AY73)</f>
        <v>#NAME?</v>
      </c>
      <c r="BB71" s="2221"/>
      <c r="BC71" s="2221" t="str">
        <f t="shared" si="2"/>
        <v>горячая вода в системе централизованного теплоснабжения на горячее водоснабжение</v>
      </c>
      <c r="BD71" s="2221"/>
      <c r="BE71" s="2221"/>
    </row>
    <row r="72" spans="1:57" s="4092" customFormat="1" ht="21" customHeight="1">
      <c r="A72" s="1869"/>
      <c r="B72" s="1869"/>
      <c r="C72" s="1869"/>
      <c r="D72" s="1869"/>
      <c r="E72" s="5345">
        <v>1</v>
      </c>
      <c r="F72" s="5345"/>
      <c r="G72" s="5345"/>
      <c r="H72" s="5345"/>
      <c r="I72" s="5151"/>
      <c r="J72" s="5151"/>
      <c r="K72" s="5151"/>
      <c r="L72" s="5180" t="str">
        <f>K71&amp;".1"</f>
        <v>2.1.1.1.1.1.1.1</v>
      </c>
      <c r="M72" s="4082"/>
      <c r="N72" s="2138"/>
      <c r="O72" s="2138"/>
      <c r="P72" s="2138"/>
      <c r="Q72" s="5313"/>
      <c r="R72" s="5313"/>
      <c r="S72" s="5313"/>
      <c r="T72" s="2233"/>
      <c r="U72" s="2217" t="str">
        <f>$L72</f>
        <v>2.1.1.1.1.1.1.1</v>
      </c>
      <c r="V72" s="4093"/>
      <c r="W72" s="2219"/>
      <c r="X72" s="2140"/>
      <c r="Y72" s="2139"/>
      <c r="Z72" s="2139"/>
      <c r="AA72" s="2139"/>
      <c r="AB72" s="4030"/>
      <c r="AC72" s="5318"/>
      <c r="AD72" s="5161"/>
      <c r="AE72" s="5318"/>
      <c r="AF72" s="5161"/>
      <c r="AG72" s="4090"/>
      <c r="AH72" s="2139"/>
      <c r="AI72" s="2139"/>
      <c r="AJ72" s="2139"/>
      <c r="AK72" s="2141"/>
      <c r="AL72" s="5318"/>
      <c r="AM72" s="5161"/>
      <c r="AN72" s="5318"/>
      <c r="AO72" s="5161"/>
      <c r="AP72" s="2140"/>
      <c r="AQ72" s="2139"/>
      <c r="AR72" s="2139"/>
      <c r="AS72" s="2139"/>
      <c r="AT72" s="4030"/>
      <c r="AU72" s="5318"/>
      <c r="AV72" s="5161"/>
      <c r="AW72" s="5318"/>
      <c r="AX72" s="5161"/>
      <c r="AY72" s="2140"/>
      <c r="AZ72" s="5309" t="s">
        <v>573</v>
      </c>
      <c r="BA72" s="2182"/>
      <c r="BB72" s="2221"/>
      <c r="BC72" s="2221"/>
      <c r="BD72" s="2221"/>
      <c r="BE72" s="2221"/>
    </row>
    <row r="73" spans="1:57" s="4094" customFormat="1" ht="14.25" customHeight="1">
      <c r="A73" s="1869"/>
      <c r="B73" s="1869"/>
      <c r="C73" s="1869"/>
      <c r="D73" s="1869"/>
      <c r="E73" s="5345">
        <v>1</v>
      </c>
      <c r="F73" s="5345"/>
      <c r="G73" s="5345"/>
      <c r="H73" s="5345"/>
      <c r="I73" s="5151"/>
      <c r="J73" s="5151"/>
      <c r="K73" s="5151"/>
      <c r="L73" s="5180"/>
      <c r="M73" s="4082"/>
      <c r="N73" s="2138"/>
      <c r="O73" s="2138"/>
      <c r="P73" s="2138"/>
      <c r="Q73" s="5313"/>
      <c r="R73" s="5313"/>
      <c r="S73" s="5313"/>
      <c r="T73" s="2233"/>
      <c r="U73" s="2238"/>
      <c r="V73" s="2219"/>
      <c r="W73" s="2219"/>
      <c r="X73" s="2140"/>
      <c r="Y73" s="2140"/>
      <c r="Z73" s="2140"/>
      <c r="AA73" s="2140"/>
      <c r="AB73" s="4031" t="str">
        <f>AC71&amp;"-"&amp;AE71</f>
        <v>-</v>
      </c>
      <c r="AC73" s="5318"/>
      <c r="AD73" s="5161"/>
      <c r="AE73" s="5318"/>
      <c r="AF73" s="5161"/>
      <c r="AG73" s="4095"/>
      <c r="AH73" s="2140"/>
      <c r="AI73" s="2140"/>
      <c r="AJ73" s="2140"/>
      <c r="AK73" s="2142" t="str">
        <f>AL71&amp;"-"&amp;AN71</f>
        <v>45658,5867824074-45838,5868287037</v>
      </c>
      <c r="AL73" s="5318"/>
      <c r="AM73" s="5161"/>
      <c r="AN73" s="5318"/>
      <c r="AO73" s="5161"/>
      <c r="AP73" s="2140"/>
      <c r="AQ73" s="2140"/>
      <c r="AR73" s="2140"/>
      <c r="AS73" s="2140"/>
      <c r="AT73" s="4031" t="str">
        <f>AU71&amp;"-"&amp;AW71</f>
        <v>45839,5871412037-46022,5872222222</v>
      </c>
      <c r="AU73" s="5318"/>
      <c r="AV73" s="5161"/>
      <c r="AW73" s="5318"/>
      <c r="AX73" s="5161"/>
      <c r="AY73" s="2140"/>
      <c r="AZ73" s="5310"/>
      <c r="BA73" s="2182"/>
      <c r="BB73" s="2221"/>
      <c r="BC73" s="2221" t="str">
        <f>IF(V73="","",V73)</f>
        <v/>
      </c>
      <c r="BD73" s="2221"/>
      <c r="BE73" s="2221"/>
    </row>
    <row r="74" spans="1:57" s="4096" customFormat="1" ht="11.25" customHeight="1">
      <c r="A74" s="1869"/>
      <c r="B74" s="1869"/>
      <c r="C74" s="1869"/>
      <c r="D74" s="1869"/>
      <c r="E74" s="5345">
        <v>1</v>
      </c>
      <c r="F74" s="5345"/>
      <c r="G74" s="5345"/>
      <c r="H74" s="5345"/>
      <c r="I74" s="5151"/>
      <c r="J74" s="5151"/>
      <c r="K74" s="5180"/>
      <c r="L74" s="1869"/>
      <c r="M74" s="4082"/>
      <c r="N74" s="2138"/>
      <c r="O74" s="2138"/>
      <c r="P74" s="2138"/>
      <c r="Q74" s="5313"/>
      <c r="R74" s="5313"/>
      <c r="S74" s="5313"/>
      <c r="T74" s="2233"/>
      <c r="U74" s="4097"/>
      <c r="V74" s="4098" t="s">
        <v>574</v>
      </c>
      <c r="W74" s="4099"/>
      <c r="X74" s="4100"/>
      <c r="Y74" s="4101"/>
      <c r="Z74" s="4102"/>
      <c r="AA74" s="4103"/>
      <c r="AB74" s="4104"/>
      <c r="AC74" s="5318"/>
      <c r="AD74" s="5161"/>
      <c r="AE74" s="5318"/>
      <c r="AF74" s="5161"/>
      <c r="AG74" s="4105"/>
      <c r="AH74" s="4106"/>
      <c r="AI74" s="4107"/>
      <c r="AJ74" s="4108"/>
      <c r="AK74" s="4109"/>
      <c r="AL74" s="5318"/>
      <c r="AM74" s="5161"/>
      <c r="AN74" s="5318"/>
      <c r="AO74" s="5161"/>
      <c r="AP74" s="4110"/>
      <c r="AQ74" s="4111"/>
      <c r="AR74" s="4112"/>
      <c r="AS74" s="4113"/>
      <c r="AT74" s="4114"/>
      <c r="AU74" s="5318"/>
      <c r="AV74" s="5161"/>
      <c r="AW74" s="5318"/>
      <c r="AX74" s="5161"/>
      <c r="AY74" s="4115"/>
      <c r="AZ74" s="5310"/>
      <c r="BA74" s="2182"/>
      <c r="BB74" s="2221"/>
      <c r="BC74" s="2221"/>
      <c r="BD74" s="2221"/>
      <c r="BE74" s="2221"/>
    </row>
    <row r="75" spans="1:57" s="4116" customFormat="1" ht="15" customHeight="1">
      <c r="A75" s="1869"/>
      <c r="B75" s="1869"/>
      <c r="C75" s="1869"/>
      <c r="D75" s="1869"/>
      <c r="E75" s="5345">
        <v>1</v>
      </c>
      <c r="F75" s="5345"/>
      <c r="G75" s="5345"/>
      <c r="H75" s="5345"/>
      <c r="I75" s="5151"/>
      <c r="J75" s="5180"/>
      <c r="K75" s="1869"/>
      <c r="L75" s="1869"/>
      <c r="M75" s="4082"/>
      <c r="N75" s="2138"/>
      <c r="O75" s="2138"/>
      <c r="P75" s="2344"/>
      <c r="Q75" s="5313"/>
      <c r="R75" s="5313"/>
      <c r="S75" s="2229"/>
      <c r="T75" s="2230"/>
      <c r="U75" s="4117"/>
      <c r="V75" s="4118" t="s">
        <v>530</v>
      </c>
      <c r="W75" s="4119"/>
      <c r="X75" s="4120"/>
      <c r="Y75" s="4121"/>
      <c r="Z75" s="4122"/>
      <c r="AA75" s="4123"/>
      <c r="AB75" s="4124"/>
      <c r="AC75" s="4125"/>
      <c r="AD75" s="4126"/>
      <c r="AE75" s="4127"/>
      <c r="AF75" s="4128"/>
      <c r="AG75" s="4129"/>
      <c r="AH75" s="4130"/>
      <c r="AI75" s="4131"/>
      <c r="AJ75" s="4132"/>
      <c r="AK75" s="4133"/>
      <c r="AL75" s="4134"/>
      <c r="AM75" s="4135"/>
      <c r="AN75" s="4136"/>
      <c r="AO75" s="4137"/>
      <c r="AP75" s="4138"/>
      <c r="AQ75" s="4139"/>
      <c r="AR75" s="4140"/>
      <c r="AS75" s="4141"/>
      <c r="AT75" s="4142"/>
      <c r="AU75" s="4143"/>
      <c r="AV75" s="4144"/>
      <c r="AW75" s="4145"/>
      <c r="AX75" s="4146"/>
      <c r="AY75" s="4147"/>
      <c r="AZ75" s="5311"/>
      <c r="BA75" s="2182"/>
      <c r="BB75" s="2221"/>
      <c r="BC75" s="2221" t="str">
        <f t="shared" ref="BC75:BC87" si="3">IF(V75="","",V75)</f>
        <v>Добавить вид теплоносителя (параметры теплоносителя)</v>
      </c>
      <c r="BD75" s="2221"/>
      <c r="BE75" s="2221"/>
    </row>
    <row r="76" spans="1:57" s="4148" customFormat="1" ht="11.25" customHeight="1">
      <c r="A76" s="1869"/>
      <c r="B76" s="1869"/>
      <c r="C76" s="1869"/>
      <c r="D76" s="1869"/>
      <c r="E76" s="5345">
        <v>1</v>
      </c>
      <c r="F76" s="5345"/>
      <c r="G76" s="5345"/>
      <c r="H76" s="5345"/>
      <c r="I76" s="5180"/>
      <c r="J76" s="1869"/>
      <c r="K76" s="1869"/>
      <c r="L76" s="1869"/>
      <c r="M76" s="4082"/>
      <c r="N76" s="2138"/>
      <c r="O76" s="2344"/>
      <c r="P76" s="2344"/>
      <c r="Q76" s="5313"/>
      <c r="R76" s="2229"/>
      <c r="S76" s="2229"/>
      <c r="T76" s="2230"/>
      <c r="U76" s="4149"/>
      <c r="V76" s="4150" t="s">
        <v>531</v>
      </c>
      <c r="W76" s="4151"/>
      <c r="X76" s="4152"/>
      <c r="Y76" s="4153"/>
      <c r="Z76" s="4154"/>
      <c r="AA76" s="4155"/>
      <c r="AB76" s="4156"/>
      <c r="AC76" s="4157"/>
      <c r="AD76" s="4158"/>
      <c r="AE76" s="4159"/>
      <c r="AF76" s="4160"/>
      <c r="AG76" s="4161"/>
      <c r="AH76" s="4162"/>
      <c r="AI76" s="4163"/>
      <c r="AJ76" s="4164"/>
      <c r="AK76" s="4165"/>
      <c r="AL76" s="4166"/>
      <c r="AM76" s="4167"/>
      <c r="AN76" s="4168"/>
      <c r="AO76" s="4169"/>
      <c r="AP76" s="4170"/>
      <c r="AQ76" s="4171"/>
      <c r="AR76" s="4172"/>
      <c r="AS76" s="4173"/>
      <c r="AT76" s="4174"/>
      <c r="AU76" s="4175"/>
      <c r="AV76" s="4176"/>
      <c r="AW76" s="4177"/>
      <c r="AX76" s="4178"/>
      <c r="AY76" s="4179"/>
      <c r="AZ76" s="4180"/>
      <c r="BA76" s="2182"/>
      <c r="BB76" s="2221"/>
      <c r="BC76" s="2221" t="str">
        <f t="shared" si="3"/>
        <v>Добавить группу потребителей</v>
      </c>
      <c r="BD76" s="2221"/>
      <c r="BE76" s="2221"/>
    </row>
    <row r="77" spans="1:57" s="4181" customFormat="1" ht="14.25" customHeight="1">
      <c r="A77" s="1869"/>
      <c r="B77" s="1869"/>
      <c r="C77" s="1869"/>
      <c r="D77" s="1869"/>
      <c r="E77" s="5345">
        <v>1</v>
      </c>
      <c r="F77" s="5345"/>
      <c r="G77" s="5345"/>
      <c r="H77" s="5344"/>
      <c r="I77" s="1869"/>
      <c r="J77" s="1869"/>
      <c r="K77" s="1869"/>
      <c r="L77" s="1869"/>
      <c r="M77" s="4082"/>
      <c r="N77" s="4083"/>
      <c r="O77" s="4083"/>
      <c r="P77" s="2138"/>
      <c r="Q77" s="2299"/>
      <c r="R77" s="2300"/>
      <c r="S77" s="2301"/>
      <c r="T77" s="2299"/>
      <c r="U77" s="3852"/>
      <c r="V77" s="3853"/>
      <c r="W77" s="3763"/>
      <c r="X77" s="3763"/>
      <c r="Y77" s="3763"/>
      <c r="Z77" s="3763"/>
      <c r="AA77" s="3763"/>
      <c r="AB77" s="3763"/>
      <c r="AC77" s="3763"/>
      <c r="AD77" s="3763"/>
      <c r="AE77" s="3763"/>
      <c r="AF77" s="3763"/>
      <c r="AG77" s="3763"/>
      <c r="AH77" s="3763"/>
      <c r="AI77" s="3763"/>
      <c r="AJ77" s="3763"/>
      <c r="AK77" s="3763"/>
      <c r="AL77" s="3763"/>
      <c r="AM77" s="3763"/>
      <c r="AN77" s="3763"/>
      <c r="AO77" s="3763"/>
      <c r="AP77" s="3763"/>
      <c r="AQ77" s="3763"/>
      <c r="AR77" s="3763"/>
      <c r="AS77" s="3763"/>
      <c r="AT77" s="3763"/>
      <c r="AU77" s="3763"/>
      <c r="AV77" s="3763"/>
      <c r="AW77" s="3763"/>
      <c r="AX77" s="3763"/>
      <c r="AY77" s="3763"/>
      <c r="AZ77" s="3854"/>
      <c r="BA77" s="2182"/>
      <c r="BB77" s="2221"/>
      <c r="BC77" s="2221" t="str">
        <f t="shared" si="3"/>
        <v/>
      </c>
      <c r="BD77" s="2221"/>
      <c r="BE77" s="2221"/>
    </row>
    <row r="78" spans="1:57" s="4182" customFormat="1" ht="14.25" customHeight="1">
      <c r="A78" s="4183"/>
      <c r="B78" s="4183"/>
      <c r="C78" s="4183"/>
      <c r="D78" s="4183"/>
      <c r="E78" s="5345">
        <v>1</v>
      </c>
      <c r="F78" s="5345"/>
      <c r="G78" s="5344"/>
      <c r="H78" s="4183"/>
      <c r="I78" s="4183"/>
      <c r="J78" s="4183"/>
      <c r="K78" s="4183"/>
      <c r="L78" s="4183"/>
      <c r="M78" s="4184"/>
      <c r="N78" s="4185"/>
      <c r="O78" s="4185"/>
      <c r="P78" s="4186"/>
      <c r="Q78" s="2335"/>
      <c r="R78" s="2336"/>
      <c r="S78" s="2335"/>
      <c r="T78" s="2335"/>
      <c r="U78" s="2337"/>
      <c r="V78" s="2338" t="s">
        <v>168</v>
      </c>
      <c r="W78" s="2168"/>
      <c r="X78" s="2168"/>
      <c r="Y78" s="2168"/>
      <c r="Z78" s="2168"/>
      <c r="AA78" s="2168"/>
      <c r="AB78" s="2168"/>
      <c r="AC78" s="2168"/>
      <c r="AD78" s="2168"/>
      <c r="AE78" s="2168"/>
      <c r="AF78" s="2168"/>
      <c r="AG78" s="2168"/>
      <c r="AH78" s="2168"/>
      <c r="AI78" s="2168"/>
      <c r="AJ78" s="2168"/>
      <c r="AK78" s="2168"/>
      <c r="AL78" s="2168"/>
      <c r="AM78" s="2168"/>
      <c r="AN78" s="2168"/>
      <c r="AO78" s="2168"/>
      <c r="AP78" s="2168"/>
      <c r="AQ78" s="2168"/>
      <c r="AR78" s="2168"/>
      <c r="AS78" s="2168"/>
      <c r="AT78" s="2168"/>
      <c r="AU78" s="2168"/>
      <c r="AV78" s="2168"/>
      <c r="AW78" s="2168"/>
      <c r="AX78" s="2168"/>
      <c r="AY78" s="2168"/>
      <c r="AZ78" s="2168"/>
      <c r="BA78" s="2182"/>
      <c r="BB78" s="2221"/>
      <c r="BC78" s="2221" t="str">
        <f t="shared" si="3"/>
        <v>Добавить источник для дифференциации</v>
      </c>
      <c r="BD78" s="2221"/>
      <c r="BE78" s="2221"/>
    </row>
    <row r="79" spans="1:57" s="4187" customFormat="1" ht="14.25" customHeight="1">
      <c r="A79" s="4183"/>
      <c r="B79" s="4183"/>
      <c r="C79" s="4183"/>
      <c r="D79" s="4183"/>
      <c r="E79" s="5345">
        <v>1</v>
      </c>
      <c r="F79" s="5344"/>
      <c r="G79" s="4183"/>
      <c r="H79" s="4183"/>
      <c r="I79" s="4183"/>
      <c r="J79" s="4183"/>
      <c r="K79" s="4183"/>
      <c r="L79" s="4183"/>
      <c r="M79" s="4184"/>
      <c r="N79" s="4188"/>
      <c r="O79" s="4188"/>
      <c r="P79" s="4186"/>
      <c r="Q79" s="2335"/>
      <c r="R79" s="2336"/>
      <c r="S79" s="2335"/>
      <c r="T79" s="2335"/>
      <c r="U79" s="2341"/>
      <c r="V79" s="2342" t="s">
        <v>169</v>
      </c>
      <c r="W79" s="2169"/>
      <c r="X79" s="2169"/>
      <c r="Y79" s="2169"/>
      <c r="Z79" s="2169"/>
      <c r="AA79" s="2169"/>
      <c r="AB79" s="2169"/>
      <c r="AC79" s="2169"/>
      <c r="AD79" s="2169"/>
      <c r="AE79" s="2169"/>
      <c r="AF79" s="2169"/>
      <c r="AG79" s="2169"/>
      <c r="AH79" s="2169"/>
      <c r="AI79" s="2169"/>
      <c r="AJ79" s="2169"/>
      <c r="AK79" s="2169"/>
      <c r="AL79" s="2169"/>
      <c r="AM79" s="2169"/>
      <c r="AN79" s="2169"/>
      <c r="AO79" s="2169"/>
      <c r="AP79" s="2169"/>
      <c r="AQ79" s="2169"/>
      <c r="AR79" s="2169"/>
      <c r="AS79" s="2169"/>
      <c r="AT79" s="2169"/>
      <c r="AU79" s="2169"/>
      <c r="AV79" s="2169"/>
      <c r="AW79" s="2169"/>
      <c r="AX79" s="2169"/>
      <c r="AY79" s="2169"/>
      <c r="AZ79" s="2169"/>
      <c r="BA79" s="2182"/>
      <c r="BB79" s="2221"/>
      <c r="BC79" s="2221" t="str">
        <f t="shared" si="3"/>
        <v>Добавить централизованную систему для дифференциации</v>
      </c>
      <c r="BD79" s="2221"/>
      <c r="BE79" s="2221"/>
    </row>
    <row r="80" spans="1:57" s="4189" customFormat="1" ht="14.25" customHeight="1">
      <c r="A80" s="4183"/>
      <c r="B80" s="4183"/>
      <c r="C80" s="4183"/>
      <c r="D80" s="4183"/>
      <c r="E80" s="5344">
        <v>1</v>
      </c>
      <c r="F80" s="4183"/>
      <c r="G80" s="4183"/>
      <c r="H80" s="4183"/>
      <c r="I80" s="4183"/>
      <c r="J80" s="4183"/>
      <c r="K80" s="4183"/>
      <c r="L80" s="4183"/>
      <c r="M80" s="4184"/>
      <c r="N80" s="4188"/>
      <c r="O80" s="4188"/>
      <c r="P80" s="4186"/>
      <c r="Q80" s="2335"/>
      <c r="R80" s="2336"/>
      <c r="S80" s="2335"/>
      <c r="T80" s="2335"/>
      <c r="U80" s="2341"/>
      <c r="V80" s="2445" t="s">
        <v>174</v>
      </c>
      <c r="W80" s="2169"/>
      <c r="X80" s="2169"/>
      <c r="Y80" s="2169"/>
      <c r="Z80" s="2169"/>
      <c r="AA80" s="2169"/>
      <c r="AB80" s="2169"/>
      <c r="AC80" s="2169"/>
      <c r="AD80" s="2169"/>
      <c r="AE80" s="2169"/>
      <c r="AF80" s="2169"/>
      <c r="AG80" s="2169"/>
      <c r="AH80" s="2169"/>
      <c r="AI80" s="2169"/>
      <c r="AJ80" s="2169"/>
      <c r="AK80" s="2169"/>
      <c r="AL80" s="2169"/>
      <c r="AM80" s="2169"/>
      <c r="AN80" s="2169"/>
      <c r="AO80" s="2169"/>
      <c r="AP80" s="2169"/>
      <c r="AQ80" s="2169"/>
      <c r="AR80" s="2169"/>
      <c r="AS80" s="2169"/>
      <c r="AT80" s="2169"/>
      <c r="AU80" s="2169"/>
      <c r="AV80" s="2169"/>
      <c r="AW80" s="2169"/>
      <c r="AX80" s="2169"/>
      <c r="AY80" s="2169"/>
      <c r="AZ80" s="2169"/>
      <c r="BA80" s="2182"/>
      <c r="BB80" s="2221"/>
      <c r="BC80" s="2221" t="str">
        <f t="shared" si="3"/>
        <v>Добавить территорию для дифференциации</v>
      </c>
      <c r="BD80" s="2221"/>
      <c r="BE80" s="2221"/>
    </row>
    <row r="81" spans="1:57" s="4190" customFormat="1" ht="21" customHeight="1">
      <c r="A81" s="1869" t="s">
        <v>280</v>
      </c>
      <c r="B81" s="1869"/>
      <c r="C81" s="1869"/>
      <c r="D81" s="1869"/>
      <c r="E81" s="5344" t="s">
        <v>85</v>
      </c>
      <c r="F81" s="1869"/>
      <c r="G81" s="1869"/>
      <c r="H81" s="1869"/>
      <c r="I81" s="1869"/>
      <c r="J81" s="1869"/>
      <c r="K81" s="1869"/>
      <c r="L81" s="1869"/>
      <c r="M81" s="4082"/>
      <c r="N81" s="4083"/>
      <c r="O81" s="4083"/>
      <c r="P81" s="4083"/>
      <c r="Q81" s="2344"/>
      <c r="R81" s="2299"/>
      <c r="S81" s="2299"/>
      <c r="T81" s="2301"/>
      <c r="U81" s="2217" t="str">
        <f>INDEX(PT_DIFFERENTIATION_NUM_NTAR,MATCH(A81,PT_DIFFERENTIATION_NTAR_ID,0))</f>
        <v>3</v>
      </c>
      <c r="V81" s="2345" t="s">
        <v>127</v>
      </c>
      <c r="W81" s="2219"/>
      <c r="X81" s="5300"/>
      <c r="Y81" s="5301"/>
      <c r="Z81" s="5301"/>
      <c r="AA81" s="5301"/>
      <c r="AB81" s="5301"/>
      <c r="AC81" s="5301"/>
      <c r="AD81" s="5301"/>
      <c r="AE81" s="5301"/>
      <c r="AF81" s="5302"/>
      <c r="AG81" s="5300" t="str">
        <f>INDEX(PT_DIFFERENTIATION_NTAR,MATCH(A81,PT_DIFFERENTIATION_NTAR_ID,0))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AH81" s="5301"/>
      <c r="AI81" s="5301"/>
      <c r="AJ81" s="5301"/>
      <c r="AK81" s="5301"/>
      <c r="AL81" s="5301"/>
      <c r="AM81" s="5301"/>
      <c r="AN81" s="5301"/>
      <c r="AO81" s="5301"/>
      <c r="AP81" s="5300"/>
      <c r="AQ81" s="5301"/>
      <c r="AR81" s="5301"/>
      <c r="AS81" s="5301"/>
      <c r="AT81" s="5301"/>
      <c r="AU81" s="5301"/>
      <c r="AV81" s="5301"/>
      <c r="AW81" s="5301"/>
      <c r="AX81" s="5302"/>
      <c r="AY81" s="5302"/>
      <c r="AZ81" s="2220" t="s">
        <v>515</v>
      </c>
      <c r="BA81" s="2182"/>
      <c r="BB81" s="2221"/>
      <c r="BC81" s="2221" t="str">
        <f t="shared" si="3"/>
        <v>Наименование тарифа</v>
      </c>
      <c r="BD81" s="2221"/>
      <c r="BE81" s="2221"/>
    </row>
    <row r="82" spans="1:57" s="4191" customFormat="1" ht="21" customHeight="1">
      <c r="A82" s="1869"/>
      <c r="B82" s="1869" t="s">
        <v>281</v>
      </c>
      <c r="C82" s="1869"/>
      <c r="D82" s="1869"/>
      <c r="E82" s="5345" t="s">
        <v>98</v>
      </c>
      <c r="F82" s="5344">
        <v>1</v>
      </c>
      <c r="G82" s="1869"/>
      <c r="H82" s="1869"/>
      <c r="I82" s="1869"/>
      <c r="J82" s="1869"/>
      <c r="K82" s="1869"/>
      <c r="L82" s="1869"/>
      <c r="M82" s="4082"/>
      <c r="N82" s="4083"/>
      <c r="O82" s="4083"/>
      <c r="P82" s="4083"/>
      <c r="Q82" s="2214"/>
      <c r="R82" s="2215"/>
      <c r="S82" s="2138"/>
      <c r="T82" s="2216"/>
      <c r="U82" s="2217" t="str">
        <f>INDEX(PT_DIFFERENTIATION_NUM_TER,MATCH(B82,PT_DIFFERENTIATION_TER_ID,0))</f>
        <v>3.1</v>
      </c>
      <c r="V82" s="2218" t="s">
        <v>516</v>
      </c>
      <c r="W82" s="2219"/>
      <c r="X82" s="5300"/>
      <c r="Y82" s="5301"/>
      <c r="Z82" s="5301"/>
      <c r="AA82" s="5301"/>
      <c r="AB82" s="5301"/>
      <c r="AC82" s="5301"/>
      <c r="AD82" s="5301"/>
      <c r="AE82" s="5301"/>
      <c r="AF82" s="5302"/>
      <c r="AG82" s="5300" t="str">
        <f>INDEX(PT_DIFFERENTIATION_TER,MATCH(B82,PT_DIFFERENTIATION_TER_ID,0))</f>
        <v>Территория 1</v>
      </c>
      <c r="AH82" s="5301"/>
      <c r="AI82" s="5301"/>
      <c r="AJ82" s="5301"/>
      <c r="AK82" s="5301"/>
      <c r="AL82" s="5301"/>
      <c r="AM82" s="5301"/>
      <c r="AN82" s="5301"/>
      <c r="AO82" s="5301"/>
      <c r="AP82" s="5300"/>
      <c r="AQ82" s="5301"/>
      <c r="AR82" s="5301"/>
      <c r="AS82" s="5301"/>
      <c r="AT82" s="5301"/>
      <c r="AU82" s="5301"/>
      <c r="AV82" s="5301"/>
      <c r="AW82" s="5301"/>
      <c r="AX82" s="5302"/>
      <c r="AY82" s="5302"/>
      <c r="AZ82" s="2220" t="s">
        <v>517</v>
      </c>
      <c r="BA82" s="2182"/>
      <c r="BB82" s="2221"/>
      <c r="BC82" s="2221" t="str">
        <f t="shared" si="3"/>
        <v>Территория действия тарифа</v>
      </c>
      <c r="BD82" s="2221"/>
      <c r="BE82" s="2221"/>
    </row>
    <row r="83" spans="1:57" s="4192" customFormat="1" ht="22.5" customHeight="1">
      <c r="A83" s="1869"/>
      <c r="B83" s="1869"/>
      <c r="C83" s="1869" t="s">
        <v>282</v>
      </c>
      <c r="D83" s="1869"/>
      <c r="E83" s="5345" t="s">
        <v>98</v>
      </c>
      <c r="F83" s="5345"/>
      <c r="G83" s="5344">
        <v>1</v>
      </c>
      <c r="H83" s="1869"/>
      <c r="I83" s="1869"/>
      <c r="J83" s="1869"/>
      <c r="K83" s="1869"/>
      <c r="L83" s="1869"/>
      <c r="M83" s="4082"/>
      <c r="N83" s="4083"/>
      <c r="O83" s="4083"/>
      <c r="P83" s="4083"/>
      <c r="Q83" s="2223"/>
      <c r="R83" s="2215"/>
      <c r="S83" s="2138"/>
      <c r="T83" s="2216"/>
      <c r="U83" s="2217" t="str">
        <f>INDEX(PT_DIFFERENTIATION_NUM_CS,MATCH(C83,PT_DIFFERENTIATION_CS_ID,0))</f>
        <v>3.1.1</v>
      </c>
      <c r="V83" s="2224" t="s">
        <v>518</v>
      </c>
      <c r="W83" s="2219"/>
      <c r="X83" s="5300"/>
      <c r="Y83" s="5301"/>
      <c r="Z83" s="5301"/>
      <c r="AA83" s="5301"/>
      <c r="AB83" s="5301"/>
      <c r="AC83" s="5301"/>
      <c r="AD83" s="5301"/>
      <c r="AE83" s="5301"/>
      <c r="AF83" s="5302"/>
      <c r="AG83" s="5300" t="str">
        <f>INDEX(PT_DIFFERENTIATION_CS,MATCH(C83,PT_DIFFERENTIATION_CS_ID,0))</f>
        <v xml:space="preserve">открытая система теплоснабжения г. Апатиты
</v>
      </c>
      <c r="AH83" s="5301"/>
      <c r="AI83" s="5301"/>
      <c r="AJ83" s="5301"/>
      <c r="AK83" s="5301"/>
      <c r="AL83" s="5301"/>
      <c r="AM83" s="5301"/>
      <c r="AN83" s="5301"/>
      <c r="AO83" s="5301"/>
      <c r="AP83" s="5300"/>
      <c r="AQ83" s="5301"/>
      <c r="AR83" s="5301"/>
      <c r="AS83" s="5301"/>
      <c r="AT83" s="5301"/>
      <c r="AU83" s="5301"/>
      <c r="AV83" s="5301"/>
      <c r="AW83" s="5301"/>
      <c r="AX83" s="5302"/>
      <c r="AY83" s="5302"/>
      <c r="AZ83" s="2220" t="s">
        <v>519</v>
      </c>
      <c r="BA83" s="2182"/>
      <c r="BB83" s="2221"/>
      <c r="BC83" s="2221" t="str">
        <f t="shared" si="3"/>
        <v xml:space="preserve">Наименование системы теплоснабжения </v>
      </c>
      <c r="BD83" s="2221"/>
      <c r="BE83" s="2221"/>
    </row>
    <row r="84" spans="1:57" s="4193" customFormat="1" ht="21" customHeight="1">
      <c r="A84" s="1869"/>
      <c r="B84" s="1869"/>
      <c r="C84" s="1869"/>
      <c r="D84" s="1869" t="s">
        <v>283</v>
      </c>
      <c r="E84" s="5345" t="s">
        <v>98</v>
      </c>
      <c r="F84" s="5345"/>
      <c r="G84" s="5345"/>
      <c r="H84" s="5344">
        <v>1</v>
      </c>
      <c r="I84" s="1869"/>
      <c r="J84" s="1869"/>
      <c r="K84" s="1869"/>
      <c r="L84" s="1869"/>
      <c r="M84" s="4082"/>
      <c r="N84" s="4083"/>
      <c r="O84" s="4083"/>
      <c r="P84" s="4083"/>
      <c r="Q84" s="2223"/>
      <c r="R84" s="2215"/>
      <c r="S84" s="2138"/>
      <c r="T84" s="2216"/>
      <c r="U84" s="2217" t="str">
        <f>INDEX(PT_DIFFERENTIATION_NUM_IST_TE,MATCH(D84,PT_DIFFERENTIATION_IST_TE_ID,0))</f>
        <v>3.1.1.1</v>
      </c>
      <c r="V84" s="2226" t="s">
        <v>520</v>
      </c>
      <c r="W84" s="2219"/>
      <c r="X84" s="5300"/>
      <c r="Y84" s="5301"/>
      <c r="Z84" s="5301"/>
      <c r="AA84" s="5301"/>
      <c r="AB84" s="5301"/>
      <c r="AC84" s="5301"/>
      <c r="AD84" s="5301"/>
      <c r="AE84" s="5301"/>
      <c r="AF84" s="5302"/>
      <c r="AG84" s="5300" t="str">
        <f>INDEX(PT_DIFFERENTIATION_IST_TE,MATCH(D84,PT_DIFFERENTIATION_IST_TE_ID,0))</f>
        <v>Апатитская ТЭЦ</v>
      </c>
      <c r="AH84" s="5301"/>
      <c r="AI84" s="5301"/>
      <c r="AJ84" s="5301"/>
      <c r="AK84" s="5301"/>
      <c r="AL84" s="5301"/>
      <c r="AM84" s="5301"/>
      <c r="AN84" s="5301"/>
      <c r="AO84" s="5301"/>
      <c r="AP84" s="5300"/>
      <c r="AQ84" s="5301"/>
      <c r="AR84" s="5301"/>
      <c r="AS84" s="5301"/>
      <c r="AT84" s="5301"/>
      <c r="AU84" s="5301"/>
      <c r="AV84" s="5301"/>
      <c r="AW84" s="5301"/>
      <c r="AX84" s="5302"/>
      <c r="AY84" s="5302"/>
      <c r="AZ84" s="2220" t="s">
        <v>521</v>
      </c>
      <c r="BA84" s="2182"/>
      <c r="BB84" s="2221"/>
      <c r="BC84" s="2221" t="str">
        <f t="shared" si="3"/>
        <v xml:space="preserve">Источник тепловой энергии  </v>
      </c>
      <c r="BD84" s="2221"/>
      <c r="BE84" s="2221"/>
    </row>
    <row r="85" spans="1:57" s="4194" customFormat="1" ht="14.25" customHeight="1">
      <c r="A85" s="1869"/>
      <c r="B85" s="1869"/>
      <c r="C85" s="1869"/>
      <c r="D85" s="1869"/>
      <c r="E85" s="5345" t="s">
        <v>98</v>
      </c>
      <c r="F85" s="5345"/>
      <c r="G85" s="5345"/>
      <c r="H85" s="5345"/>
      <c r="I85" s="5180" t="str">
        <f>U84&amp;".1"</f>
        <v>3.1.1.1.1</v>
      </c>
      <c r="J85" s="1869"/>
      <c r="K85" s="1869"/>
      <c r="L85" s="1869"/>
      <c r="M85" s="4082" t="s">
        <v>522</v>
      </c>
      <c r="N85" s="2138"/>
      <c r="O85" s="2344"/>
      <c r="P85" s="2344"/>
      <c r="Q85" s="5313">
        <v>1</v>
      </c>
      <c r="R85" s="2229"/>
      <c r="S85" s="2229"/>
      <c r="T85" s="2230"/>
      <c r="U85" s="3785"/>
      <c r="V85" s="3786"/>
      <c r="W85" s="3787"/>
      <c r="X85" s="5341"/>
      <c r="Y85" s="5342"/>
      <c r="Z85" s="5342"/>
      <c r="AA85" s="5342"/>
      <c r="AB85" s="5342"/>
      <c r="AC85" s="5342"/>
      <c r="AD85" s="5342"/>
      <c r="AE85" s="5342"/>
      <c r="AF85" s="5343"/>
      <c r="AG85" s="5341"/>
      <c r="AH85" s="5342"/>
      <c r="AI85" s="5342"/>
      <c r="AJ85" s="5342"/>
      <c r="AK85" s="5342"/>
      <c r="AL85" s="5342"/>
      <c r="AM85" s="5342"/>
      <c r="AN85" s="5342"/>
      <c r="AO85" s="5342"/>
      <c r="AP85" s="5341"/>
      <c r="AQ85" s="5342"/>
      <c r="AR85" s="5342"/>
      <c r="AS85" s="5342"/>
      <c r="AT85" s="5342"/>
      <c r="AU85" s="5342"/>
      <c r="AV85" s="5342"/>
      <c r="AW85" s="5342"/>
      <c r="AX85" s="5343"/>
      <c r="AY85" s="5343"/>
      <c r="AZ85" s="3788"/>
      <c r="BA85" s="2182"/>
      <c r="BB85" s="2221"/>
      <c r="BC85" s="2221" t="str">
        <f t="shared" si="3"/>
        <v/>
      </c>
      <c r="BD85" s="2221"/>
      <c r="BE85" s="2221"/>
    </row>
    <row r="86" spans="1:57" s="4195" customFormat="1" ht="21" customHeight="1">
      <c r="A86" s="1869"/>
      <c r="B86" s="1869"/>
      <c r="C86" s="1869"/>
      <c r="D86" s="1869"/>
      <c r="E86" s="5345" t="s">
        <v>98</v>
      </c>
      <c r="F86" s="5345"/>
      <c r="G86" s="5345"/>
      <c r="H86" s="5345"/>
      <c r="I86" s="5151"/>
      <c r="J86" s="5180" t="str">
        <f>I85&amp;".1"</f>
        <v>3.1.1.1.1.1</v>
      </c>
      <c r="K86" s="1869"/>
      <c r="L86" s="1869"/>
      <c r="M86" s="4082" t="s">
        <v>525</v>
      </c>
      <c r="N86" s="2138"/>
      <c r="O86" s="2138"/>
      <c r="P86" s="2344"/>
      <c r="Q86" s="5313"/>
      <c r="R86" s="5313">
        <v>1</v>
      </c>
      <c r="S86" s="2182"/>
      <c r="T86" s="2233"/>
      <c r="U86" s="2217" t="str">
        <f>$J86</f>
        <v>3.1.1.1.1.1</v>
      </c>
      <c r="V86" s="2234" t="s">
        <v>526</v>
      </c>
      <c r="W86" s="2219"/>
      <c r="X86" s="5303"/>
      <c r="Y86" s="5304"/>
      <c r="Z86" s="5304"/>
      <c r="AA86" s="5304"/>
      <c r="AB86" s="5304"/>
      <c r="AC86" s="5296"/>
      <c r="AD86" s="5296"/>
      <c r="AE86" s="5296"/>
      <c r="AF86" s="5346"/>
      <c r="AG86" s="5303" t="s">
        <v>565</v>
      </c>
      <c r="AH86" s="5304"/>
      <c r="AI86" s="5304"/>
      <c r="AJ86" s="5304"/>
      <c r="AK86" s="5304"/>
      <c r="AL86" s="5304"/>
      <c r="AM86" s="5304"/>
      <c r="AN86" s="5304"/>
      <c r="AO86" s="5304"/>
      <c r="AP86" s="5303"/>
      <c r="AQ86" s="5304"/>
      <c r="AR86" s="5304"/>
      <c r="AS86" s="5304"/>
      <c r="AT86" s="5304"/>
      <c r="AU86" s="5296"/>
      <c r="AV86" s="5296"/>
      <c r="AW86" s="5296"/>
      <c r="AX86" s="5346"/>
      <c r="AY86" s="5305"/>
      <c r="AZ86" s="2220" t="s">
        <v>527</v>
      </c>
      <c r="BA86" s="2182"/>
      <c r="BB86" s="2221"/>
      <c r="BC86" s="2221" t="str">
        <f t="shared" si="3"/>
        <v>Группа потребителей</v>
      </c>
      <c r="BD86" s="2221"/>
      <c r="BE86" s="2221"/>
    </row>
    <row r="87" spans="1:57" s="4196" customFormat="1" ht="21" customHeight="1">
      <c r="A87" s="1869"/>
      <c r="B87" s="1869"/>
      <c r="C87" s="1869"/>
      <c r="D87" s="1869"/>
      <c r="E87" s="5345" t="s">
        <v>98</v>
      </c>
      <c r="F87" s="5345"/>
      <c r="G87" s="5345"/>
      <c r="H87" s="5345"/>
      <c r="I87" s="5151"/>
      <c r="J87" s="5151"/>
      <c r="K87" s="5180" t="str">
        <f>J86&amp;".1"</f>
        <v>3.1.1.1.1.1.1</v>
      </c>
      <c r="L87" s="2214"/>
      <c r="M87" s="4082" t="s">
        <v>528</v>
      </c>
      <c r="N87" s="2138"/>
      <c r="O87" s="2138"/>
      <c r="P87" s="2138"/>
      <c r="Q87" s="5313"/>
      <c r="R87" s="5313"/>
      <c r="S87" s="5313">
        <v>1</v>
      </c>
      <c r="T87" s="2233"/>
      <c r="U87" s="2217" t="str">
        <f>$K87</f>
        <v>3.1.1.1.1.1.1</v>
      </c>
      <c r="V87" s="2236" t="s">
        <v>584</v>
      </c>
      <c r="W87" s="2219"/>
      <c r="X87" s="2139"/>
      <c r="Y87" s="2139"/>
      <c r="Z87" s="2139"/>
      <c r="AA87" s="2139"/>
      <c r="AB87" s="4030"/>
      <c r="AC87" s="5317"/>
      <c r="AD87" s="5161" t="s">
        <v>62</v>
      </c>
      <c r="AE87" s="5317"/>
      <c r="AF87" s="5161" t="s">
        <v>62</v>
      </c>
      <c r="AG87" s="4090"/>
      <c r="AH87" s="2139">
        <v>26.8</v>
      </c>
      <c r="AI87" s="2139">
        <v>2543.02</v>
      </c>
      <c r="AJ87" s="2139"/>
      <c r="AK87" s="2141"/>
      <c r="AL87" s="5317">
        <v>45658.58797453704</v>
      </c>
      <c r="AM87" s="5161" t="s">
        <v>62</v>
      </c>
      <c r="AN87" s="5317">
        <v>45838.588020833333</v>
      </c>
      <c r="AO87" s="5161" t="s">
        <v>62</v>
      </c>
      <c r="AP87" s="2139"/>
      <c r="AQ87" s="2139">
        <v>53.82</v>
      </c>
      <c r="AR87" s="2139">
        <v>3520.61</v>
      </c>
      <c r="AS87" s="2139"/>
      <c r="AT87" s="4030"/>
      <c r="AU87" s="5317">
        <v>45839.588287037041</v>
      </c>
      <c r="AV87" s="5161" t="s">
        <v>62</v>
      </c>
      <c r="AW87" s="5317">
        <v>46022.588368055556</v>
      </c>
      <c r="AX87" s="5161" t="s">
        <v>62</v>
      </c>
      <c r="AY87" s="2140"/>
      <c r="AZ87" s="4091" t="s">
        <v>572</v>
      </c>
      <c r="BA87" s="2182" t="e">
        <f ca="1">STRCHECKDATE(X89:AY89)</f>
        <v>#NAME?</v>
      </c>
      <c r="BB87" s="2221"/>
      <c r="BC87" s="2221" t="str">
        <f t="shared" si="3"/>
        <v>горячая вода в системе централизованного теплоснабжения на горячее водоснабжение</v>
      </c>
      <c r="BD87" s="2221"/>
      <c r="BE87" s="2221"/>
    </row>
    <row r="88" spans="1:57" s="4197" customFormat="1" ht="21" customHeight="1">
      <c r="A88" s="1869"/>
      <c r="B88" s="1869"/>
      <c r="C88" s="1869"/>
      <c r="D88" s="1869"/>
      <c r="E88" s="5345" t="s">
        <v>98</v>
      </c>
      <c r="F88" s="5345"/>
      <c r="G88" s="5345"/>
      <c r="H88" s="5345"/>
      <c r="I88" s="5151"/>
      <c r="J88" s="5151"/>
      <c r="K88" s="5151"/>
      <c r="L88" s="5180" t="str">
        <f>K87&amp;".1"</f>
        <v>3.1.1.1.1.1.1.1</v>
      </c>
      <c r="M88" s="4082"/>
      <c r="N88" s="2138"/>
      <c r="O88" s="2138"/>
      <c r="P88" s="2138"/>
      <c r="Q88" s="5313"/>
      <c r="R88" s="5313"/>
      <c r="S88" s="5313"/>
      <c r="T88" s="2233"/>
      <c r="U88" s="2217" t="str">
        <f>$L88</f>
        <v>3.1.1.1.1.1.1.1</v>
      </c>
      <c r="V88" s="4093"/>
      <c r="W88" s="2219"/>
      <c r="X88" s="2140"/>
      <c r="Y88" s="2139"/>
      <c r="Z88" s="2139"/>
      <c r="AA88" s="2139"/>
      <c r="AB88" s="4030"/>
      <c r="AC88" s="5318"/>
      <c r="AD88" s="5161"/>
      <c r="AE88" s="5318"/>
      <c r="AF88" s="5161"/>
      <c r="AG88" s="4090"/>
      <c r="AH88" s="2139"/>
      <c r="AI88" s="2139"/>
      <c r="AJ88" s="2139"/>
      <c r="AK88" s="2141"/>
      <c r="AL88" s="5318"/>
      <c r="AM88" s="5161"/>
      <c r="AN88" s="5318"/>
      <c r="AO88" s="5161"/>
      <c r="AP88" s="2140"/>
      <c r="AQ88" s="2139"/>
      <c r="AR88" s="2139"/>
      <c r="AS88" s="2139"/>
      <c r="AT88" s="4030"/>
      <c r="AU88" s="5318"/>
      <c r="AV88" s="5161"/>
      <c r="AW88" s="5318"/>
      <c r="AX88" s="5161"/>
      <c r="AY88" s="2140"/>
      <c r="AZ88" s="5309" t="s">
        <v>573</v>
      </c>
      <c r="BA88" s="2182"/>
      <c r="BB88" s="2221"/>
      <c r="BC88" s="2221"/>
      <c r="BD88" s="2221"/>
      <c r="BE88" s="2221"/>
    </row>
    <row r="89" spans="1:57" s="4198" customFormat="1" ht="14.25" customHeight="1">
      <c r="A89" s="1869"/>
      <c r="B89" s="1869"/>
      <c r="C89" s="1869"/>
      <c r="D89" s="1869"/>
      <c r="E89" s="5345" t="s">
        <v>98</v>
      </c>
      <c r="F89" s="5345"/>
      <c r="G89" s="5345"/>
      <c r="H89" s="5345"/>
      <c r="I89" s="5151"/>
      <c r="J89" s="5151"/>
      <c r="K89" s="5151"/>
      <c r="L89" s="5180"/>
      <c r="M89" s="4082"/>
      <c r="N89" s="2138"/>
      <c r="O89" s="2138"/>
      <c r="P89" s="2138"/>
      <c r="Q89" s="5313"/>
      <c r="R89" s="5313"/>
      <c r="S89" s="5313"/>
      <c r="T89" s="2233"/>
      <c r="U89" s="2238"/>
      <c r="V89" s="2219"/>
      <c r="W89" s="2219"/>
      <c r="X89" s="2140"/>
      <c r="Y89" s="2140"/>
      <c r="Z89" s="2140"/>
      <c r="AA89" s="2140"/>
      <c r="AB89" s="4031" t="str">
        <f>AC87&amp;"-"&amp;AE87</f>
        <v>-</v>
      </c>
      <c r="AC89" s="5318"/>
      <c r="AD89" s="5161"/>
      <c r="AE89" s="5318"/>
      <c r="AF89" s="5161"/>
      <c r="AG89" s="4095"/>
      <c r="AH89" s="2140"/>
      <c r="AI89" s="2140"/>
      <c r="AJ89" s="2140"/>
      <c r="AK89" s="2142" t="str">
        <f>AL87&amp;"-"&amp;AN87</f>
        <v>45658,587974537-45838,5880208333</v>
      </c>
      <c r="AL89" s="5318"/>
      <c r="AM89" s="5161"/>
      <c r="AN89" s="5318"/>
      <c r="AO89" s="5161"/>
      <c r="AP89" s="2140"/>
      <c r="AQ89" s="2140"/>
      <c r="AR89" s="2140"/>
      <c r="AS89" s="2140"/>
      <c r="AT89" s="4031" t="str">
        <f>AU87&amp;"-"&amp;AW87</f>
        <v>45839,588287037-46022,5883680556</v>
      </c>
      <c r="AU89" s="5318"/>
      <c r="AV89" s="5161"/>
      <c r="AW89" s="5318"/>
      <c r="AX89" s="5161"/>
      <c r="AY89" s="2140"/>
      <c r="AZ89" s="5310"/>
      <c r="BA89" s="2182"/>
      <c r="BB89" s="2221"/>
      <c r="BC89" s="2221" t="str">
        <f>IF(V89="","",V89)</f>
        <v/>
      </c>
      <c r="BD89" s="2221"/>
      <c r="BE89" s="2221"/>
    </row>
    <row r="90" spans="1:57" s="4199" customFormat="1" ht="11.25" customHeight="1">
      <c r="A90" s="1869"/>
      <c r="B90" s="1869"/>
      <c r="C90" s="1869"/>
      <c r="D90" s="1869"/>
      <c r="E90" s="5345" t="s">
        <v>98</v>
      </c>
      <c r="F90" s="5345"/>
      <c r="G90" s="5345"/>
      <c r="H90" s="5345"/>
      <c r="I90" s="5151"/>
      <c r="J90" s="5151"/>
      <c r="K90" s="5180"/>
      <c r="L90" s="1869"/>
      <c r="M90" s="4082"/>
      <c r="N90" s="2138"/>
      <c r="O90" s="2138"/>
      <c r="P90" s="2138"/>
      <c r="Q90" s="5313"/>
      <c r="R90" s="5313"/>
      <c r="S90" s="5313"/>
      <c r="T90" s="2233"/>
      <c r="U90" s="4200"/>
      <c r="V90" s="4201" t="s">
        <v>574</v>
      </c>
      <c r="W90" s="4202"/>
      <c r="X90" s="4203"/>
      <c r="Y90" s="4204"/>
      <c r="Z90" s="4205"/>
      <c r="AA90" s="4206"/>
      <c r="AB90" s="4207"/>
      <c r="AC90" s="5318"/>
      <c r="AD90" s="5161"/>
      <c r="AE90" s="5318"/>
      <c r="AF90" s="5161"/>
      <c r="AG90" s="4208"/>
      <c r="AH90" s="4209"/>
      <c r="AI90" s="4210"/>
      <c r="AJ90" s="4211"/>
      <c r="AK90" s="4212"/>
      <c r="AL90" s="5318"/>
      <c r="AM90" s="5161"/>
      <c r="AN90" s="5318"/>
      <c r="AO90" s="5161"/>
      <c r="AP90" s="4213"/>
      <c r="AQ90" s="4214"/>
      <c r="AR90" s="4215"/>
      <c r="AS90" s="4216"/>
      <c r="AT90" s="4217"/>
      <c r="AU90" s="5318"/>
      <c r="AV90" s="5161"/>
      <c r="AW90" s="5318"/>
      <c r="AX90" s="5161"/>
      <c r="AY90" s="4218"/>
      <c r="AZ90" s="5310"/>
      <c r="BA90" s="2182"/>
      <c r="BB90" s="2221"/>
      <c r="BC90" s="2221"/>
      <c r="BD90" s="2221"/>
      <c r="BE90" s="2221"/>
    </row>
    <row r="91" spans="1:57" s="4219" customFormat="1" ht="15" customHeight="1">
      <c r="A91" s="1869"/>
      <c r="B91" s="1869"/>
      <c r="C91" s="1869"/>
      <c r="D91" s="1869"/>
      <c r="E91" s="5345" t="s">
        <v>98</v>
      </c>
      <c r="F91" s="5345"/>
      <c r="G91" s="5345"/>
      <c r="H91" s="5345"/>
      <c r="I91" s="5151"/>
      <c r="J91" s="5180"/>
      <c r="K91" s="1869"/>
      <c r="L91" s="1869"/>
      <c r="M91" s="4082"/>
      <c r="N91" s="2138"/>
      <c r="O91" s="2138"/>
      <c r="P91" s="2344"/>
      <c r="Q91" s="5313"/>
      <c r="R91" s="5313"/>
      <c r="S91" s="2229"/>
      <c r="T91" s="2230"/>
      <c r="U91" s="4220"/>
      <c r="V91" s="4221" t="s">
        <v>530</v>
      </c>
      <c r="W91" s="4222"/>
      <c r="X91" s="4223"/>
      <c r="Y91" s="4224"/>
      <c r="Z91" s="4225"/>
      <c r="AA91" s="4226"/>
      <c r="AB91" s="4227"/>
      <c r="AC91" s="4228"/>
      <c r="AD91" s="4229"/>
      <c r="AE91" s="4230"/>
      <c r="AF91" s="4231"/>
      <c r="AG91" s="4232"/>
      <c r="AH91" s="4233"/>
      <c r="AI91" s="4234"/>
      <c r="AJ91" s="4235"/>
      <c r="AK91" s="4236"/>
      <c r="AL91" s="4237"/>
      <c r="AM91" s="4238"/>
      <c r="AN91" s="4239"/>
      <c r="AO91" s="4240"/>
      <c r="AP91" s="4241"/>
      <c r="AQ91" s="4242"/>
      <c r="AR91" s="4243"/>
      <c r="AS91" s="4244"/>
      <c r="AT91" s="4245"/>
      <c r="AU91" s="4246"/>
      <c r="AV91" s="4247"/>
      <c r="AW91" s="4248"/>
      <c r="AX91" s="4249"/>
      <c r="AY91" s="4250"/>
      <c r="AZ91" s="5311"/>
      <c r="BA91" s="2182"/>
      <c r="BB91" s="2221"/>
      <c r="BC91" s="2221" t="str">
        <f t="shared" ref="BC91:BC103" si="4">IF(V91="","",V91)</f>
        <v>Добавить вид теплоносителя (параметры теплоносителя)</v>
      </c>
      <c r="BD91" s="2221"/>
      <c r="BE91" s="2221"/>
    </row>
    <row r="92" spans="1:57" s="4251" customFormat="1" ht="11.25" customHeight="1">
      <c r="A92" s="1869"/>
      <c r="B92" s="1869"/>
      <c r="C92" s="1869"/>
      <c r="D92" s="1869"/>
      <c r="E92" s="5345" t="s">
        <v>98</v>
      </c>
      <c r="F92" s="5345"/>
      <c r="G92" s="5345"/>
      <c r="H92" s="5345"/>
      <c r="I92" s="5180"/>
      <c r="J92" s="1869"/>
      <c r="K92" s="1869"/>
      <c r="L92" s="1869"/>
      <c r="M92" s="4082"/>
      <c r="N92" s="2138"/>
      <c r="O92" s="2344"/>
      <c r="P92" s="2344"/>
      <c r="Q92" s="5313"/>
      <c r="R92" s="2229"/>
      <c r="S92" s="2229"/>
      <c r="T92" s="2230"/>
      <c r="U92" s="4252"/>
      <c r="V92" s="4253" t="s">
        <v>531</v>
      </c>
      <c r="W92" s="4254"/>
      <c r="X92" s="4255"/>
      <c r="Y92" s="4256"/>
      <c r="Z92" s="4257"/>
      <c r="AA92" s="4258"/>
      <c r="AB92" s="4259"/>
      <c r="AC92" s="4260"/>
      <c r="AD92" s="4261"/>
      <c r="AE92" s="4262"/>
      <c r="AF92" s="4263"/>
      <c r="AG92" s="4264"/>
      <c r="AH92" s="4265"/>
      <c r="AI92" s="4266"/>
      <c r="AJ92" s="4267"/>
      <c r="AK92" s="4268"/>
      <c r="AL92" s="4269"/>
      <c r="AM92" s="4270"/>
      <c r="AN92" s="4271"/>
      <c r="AO92" s="4272"/>
      <c r="AP92" s="4273"/>
      <c r="AQ92" s="4274"/>
      <c r="AR92" s="4275"/>
      <c r="AS92" s="4276"/>
      <c r="AT92" s="4277"/>
      <c r="AU92" s="4278"/>
      <c r="AV92" s="4279"/>
      <c r="AW92" s="4280"/>
      <c r="AX92" s="4281"/>
      <c r="AY92" s="4282"/>
      <c r="AZ92" s="4283"/>
      <c r="BA92" s="2182"/>
      <c r="BB92" s="2221"/>
      <c r="BC92" s="2221" t="str">
        <f t="shared" si="4"/>
        <v>Добавить группу потребителей</v>
      </c>
      <c r="BD92" s="2221"/>
      <c r="BE92" s="2221"/>
    </row>
    <row r="93" spans="1:57" s="4284" customFormat="1" ht="14.25" customHeight="1">
      <c r="A93" s="1869"/>
      <c r="B93" s="1869"/>
      <c r="C93" s="1869"/>
      <c r="D93" s="1869"/>
      <c r="E93" s="5345" t="s">
        <v>98</v>
      </c>
      <c r="F93" s="5345"/>
      <c r="G93" s="5345"/>
      <c r="H93" s="5344"/>
      <c r="I93" s="1869"/>
      <c r="J93" s="1869"/>
      <c r="K93" s="1869"/>
      <c r="L93" s="1869"/>
      <c r="M93" s="4082"/>
      <c r="N93" s="4083"/>
      <c r="O93" s="4083"/>
      <c r="P93" s="2138"/>
      <c r="Q93" s="2299"/>
      <c r="R93" s="2300"/>
      <c r="S93" s="2301"/>
      <c r="T93" s="2299"/>
      <c r="U93" s="3852"/>
      <c r="V93" s="3853"/>
      <c r="W93" s="3763"/>
      <c r="X93" s="3763"/>
      <c r="Y93" s="3763"/>
      <c r="Z93" s="3763"/>
      <c r="AA93" s="3763"/>
      <c r="AB93" s="3763"/>
      <c r="AC93" s="3763"/>
      <c r="AD93" s="3763"/>
      <c r="AE93" s="3763"/>
      <c r="AF93" s="3763"/>
      <c r="AG93" s="3763"/>
      <c r="AH93" s="3763"/>
      <c r="AI93" s="3763"/>
      <c r="AJ93" s="3763"/>
      <c r="AK93" s="3763"/>
      <c r="AL93" s="3763"/>
      <c r="AM93" s="3763"/>
      <c r="AN93" s="3763"/>
      <c r="AO93" s="3763"/>
      <c r="AP93" s="3763"/>
      <c r="AQ93" s="3763"/>
      <c r="AR93" s="3763"/>
      <c r="AS93" s="3763"/>
      <c r="AT93" s="3763"/>
      <c r="AU93" s="3763"/>
      <c r="AV93" s="3763"/>
      <c r="AW93" s="3763"/>
      <c r="AX93" s="3763"/>
      <c r="AY93" s="3763"/>
      <c r="AZ93" s="3854"/>
      <c r="BA93" s="2182"/>
      <c r="BB93" s="2221"/>
      <c r="BC93" s="2221" t="str">
        <f t="shared" si="4"/>
        <v/>
      </c>
      <c r="BD93" s="2221"/>
      <c r="BE93" s="2221"/>
    </row>
    <row r="94" spans="1:57" s="4285" customFormat="1" ht="14.25" customHeight="1">
      <c r="A94" s="4183"/>
      <c r="B94" s="4183"/>
      <c r="C94" s="4183"/>
      <c r="D94" s="4183"/>
      <c r="E94" s="5345" t="s">
        <v>98</v>
      </c>
      <c r="F94" s="5345"/>
      <c r="G94" s="5344"/>
      <c r="H94" s="4183"/>
      <c r="I94" s="4183"/>
      <c r="J94" s="4183"/>
      <c r="K94" s="4183"/>
      <c r="L94" s="4183"/>
      <c r="M94" s="4184"/>
      <c r="N94" s="4185"/>
      <c r="O94" s="4185"/>
      <c r="P94" s="4186"/>
      <c r="Q94" s="2335"/>
      <c r="R94" s="2336"/>
      <c r="S94" s="2335"/>
      <c r="T94" s="2335"/>
      <c r="U94" s="2337"/>
      <c r="V94" s="2338" t="s">
        <v>168</v>
      </c>
      <c r="W94" s="2168"/>
      <c r="X94" s="2168"/>
      <c r="Y94" s="2168"/>
      <c r="Z94" s="2168"/>
      <c r="AA94" s="2168"/>
      <c r="AB94" s="2168"/>
      <c r="AC94" s="2168"/>
      <c r="AD94" s="2168"/>
      <c r="AE94" s="2168"/>
      <c r="AF94" s="2168"/>
      <c r="AG94" s="2168"/>
      <c r="AH94" s="2168"/>
      <c r="AI94" s="2168"/>
      <c r="AJ94" s="2168"/>
      <c r="AK94" s="2168"/>
      <c r="AL94" s="2168"/>
      <c r="AM94" s="2168"/>
      <c r="AN94" s="2168"/>
      <c r="AO94" s="2168"/>
      <c r="AP94" s="2168"/>
      <c r="AQ94" s="2168"/>
      <c r="AR94" s="2168"/>
      <c r="AS94" s="2168"/>
      <c r="AT94" s="2168"/>
      <c r="AU94" s="2168"/>
      <c r="AV94" s="2168"/>
      <c r="AW94" s="2168"/>
      <c r="AX94" s="2168"/>
      <c r="AY94" s="2168"/>
      <c r="AZ94" s="2168"/>
      <c r="BA94" s="2182"/>
      <c r="BB94" s="2221"/>
      <c r="BC94" s="2221" t="str">
        <f t="shared" si="4"/>
        <v>Добавить источник для дифференциации</v>
      </c>
      <c r="BD94" s="2221"/>
      <c r="BE94" s="2221"/>
    </row>
    <row r="95" spans="1:57" s="4286" customFormat="1" ht="14.25" customHeight="1">
      <c r="A95" s="4183"/>
      <c r="B95" s="4183"/>
      <c r="C95" s="4183"/>
      <c r="D95" s="4183"/>
      <c r="E95" s="5345" t="s">
        <v>98</v>
      </c>
      <c r="F95" s="5344"/>
      <c r="G95" s="4183"/>
      <c r="H95" s="4183"/>
      <c r="I95" s="4183"/>
      <c r="J95" s="4183"/>
      <c r="K95" s="4183"/>
      <c r="L95" s="4183"/>
      <c r="M95" s="4184"/>
      <c r="N95" s="4188"/>
      <c r="O95" s="4188"/>
      <c r="P95" s="4186"/>
      <c r="Q95" s="2335"/>
      <c r="R95" s="2336"/>
      <c r="S95" s="2335"/>
      <c r="T95" s="2335"/>
      <c r="U95" s="2341"/>
      <c r="V95" s="2342" t="s">
        <v>169</v>
      </c>
      <c r="W95" s="2169"/>
      <c r="X95" s="2169"/>
      <c r="Y95" s="2169"/>
      <c r="Z95" s="2169"/>
      <c r="AA95" s="2169"/>
      <c r="AB95" s="2169"/>
      <c r="AC95" s="2169"/>
      <c r="AD95" s="2169"/>
      <c r="AE95" s="2169"/>
      <c r="AF95" s="2169"/>
      <c r="AG95" s="2169"/>
      <c r="AH95" s="2169"/>
      <c r="AI95" s="2169"/>
      <c r="AJ95" s="2169"/>
      <c r="AK95" s="2169"/>
      <c r="AL95" s="2169"/>
      <c r="AM95" s="2169"/>
      <c r="AN95" s="2169"/>
      <c r="AO95" s="2169"/>
      <c r="AP95" s="2169"/>
      <c r="AQ95" s="2169"/>
      <c r="AR95" s="2169"/>
      <c r="AS95" s="2169"/>
      <c r="AT95" s="2169"/>
      <c r="AU95" s="2169"/>
      <c r="AV95" s="2169"/>
      <c r="AW95" s="2169"/>
      <c r="AX95" s="2169"/>
      <c r="AY95" s="2169"/>
      <c r="AZ95" s="2169"/>
      <c r="BA95" s="2182"/>
      <c r="BB95" s="2221"/>
      <c r="BC95" s="2221" t="str">
        <f t="shared" si="4"/>
        <v>Добавить централизованную систему для дифференциации</v>
      </c>
      <c r="BD95" s="2221"/>
      <c r="BE95" s="2221"/>
    </row>
    <row r="96" spans="1:57" s="4287" customFormat="1" ht="14.25" customHeight="1">
      <c r="A96" s="4183"/>
      <c r="B96" s="4183"/>
      <c r="C96" s="4183"/>
      <c r="D96" s="4183"/>
      <c r="E96" s="5344" t="s">
        <v>98</v>
      </c>
      <c r="F96" s="4183"/>
      <c r="G96" s="4183"/>
      <c r="H96" s="4183"/>
      <c r="I96" s="4183"/>
      <c r="J96" s="4183"/>
      <c r="K96" s="4183"/>
      <c r="L96" s="4183"/>
      <c r="M96" s="4184"/>
      <c r="N96" s="4188"/>
      <c r="O96" s="4188"/>
      <c r="P96" s="4186"/>
      <c r="Q96" s="2335"/>
      <c r="R96" s="2336"/>
      <c r="S96" s="2335"/>
      <c r="T96" s="2335"/>
      <c r="U96" s="2341"/>
      <c r="V96" s="2445" t="s">
        <v>174</v>
      </c>
      <c r="W96" s="2169"/>
      <c r="X96" s="2169"/>
      <c r="Y96" s="2169"/>
      <c r="Z96" s="2169"/>
      <c r="AA96" s="2169"/>
      <c r="AB96" s="2169"/>
      <c r="AC96" s="2169"/>
      <c r="AD96" s="2169"/>
      <c r="AE96" s="2169"/>
      <c r="AF96" s="2169"/>
      <c r="AG96" s="2169"/>
      <c r="AH96" s="2169"/>
      <c r="AI96" s="2169"/>
      <c r="AJ96" s="2169"/>
      <c r="AK96" s="2169"/>
      <c r="AL96" s="2169"/>
      <c r="AM96" s="2169"/>
      <c r="AN96" s="2169"/>
      <c r="AO96" s="2169"/>
      <c r="AP96" s="2169"/>
      <c r="AQ96" s="2169"/>
      <c r="AR96" s="2169"/>
      <c r="AS96" s="2169"/>
      <c r="AT96" s="2169"/>
      <c r="AU96" s="2169"/>
      <c r="AV96" s="2169"/>
      <c r="AW96" s="2169"/>
      <c r="AX96" s="2169"/>
      <c r="AY96" s="2169"/>
      <c r="AZ96" s="2169"/>
      <c r="BA96" s="2182"/>
      <c r="BB96" s="2221"/>
      <c r="BC96" s="2221" t="str">
        <f t="shared" si="4"/>
        <v>Добавить территорию для дифференциации</v>
      </c>
      <c r="BD96" s="2221"/>
      <c r="BE96" s="2221"/>
    </row>
    <row r="97" spans="1:57" s="4288" customFormat="1" ht="21" customHeight="1">
      <c r="A97" s="1869" t="s">
        <v>285</v>
      </c>
      <c r="B97" s="1869"/>
      <c r="C97" s="1869"/>
      <c r="D97" s="1869"/>
      <c r="E97" s="5344" t="s">
        <v>86</v>
      </c>
      <c r="F97" s="1869"/>
      <c r="G97" s="1869"/>
      <c r="H97" s="1869"/>
      <c r="I97" s="1869"/>
      <c r="J97" s="1869"/>
      <c r="K97" s="1869"/>
      <c r="L97" s="1869"/>
      <c r="M97" s="4082"/>
      <c r="N97" s="4083"/>
      <c r="O97" s="4083"/>
      <c r="P97" s="4083"/>
      <c r="Q97" s="2344"/>
      <c r="R97" s="2299"/>
      <c r="S97" s="2299"/>
      <c r="T97" s="2301"/>
      <c r="U97" s="2217" t="str">
        <f>INDEX(PT_DIFFERENTIATION_NUM_NTAR,MATCH(A97,PT_DIFFERENTIATION_NTAR_ID,0))</f>
        <v>4</v>
      </c>
      <c r="V97" s="2345" t="s">
        <v>127</v>
      </c>
      <c r="W97" s="2219"/>
      <c r="X97" s="5300"/>
      <c r="Y97" s="5301"/>
      <c r="Z97" s="5301"/>
      <c r="AA97" s="5301"/>
      <c r="AB97" s="5301"/>
      <c r="AC97" s="5301"/>
      <c r="AD97" s="5301"/>
      <c r="AE97" s="5301"/>
      <c r="AF97" s="5302"/>
      <c r="AG97" s="5300" t="str">
        <f>INDEX(PT_DIFFERENTIATION_NTAR,MATCH(A97,PT_DIFFERENTIATION_NTAR_ID,0))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AH97" s="5301"/>
      <c r="AI97" s="5301"/>
      <c r="AJ97" s="5301"/>
      <c r="AK97" s="5301"/>
      <c r="AL97" s="5301"/>
      <c r="AM97" s="5301"/>
      <c r="AN97" s="5301"/>
      <c r="AO97" s="5301"/>
      <c r="AP97" s="5300"/>
      <c r="AQ97" s="5301"/>
      <c r="AR97" s="5301"/>
      <c r="AS97" s="5301"/>
      <c r="AT97" s="5301"/>
      <c r="AU97" s="5301"/>
      <c r="AV97" s="5301"/>
      <c r="AW97" s="5301"/>
      <c r="AX97" s="5302"/>
      <c r="AY97" s="5302"/>
      <c r="AZ97" s="2220" t="s">
        <v>515</v>
      </c>
      <c r="BA97" s="2182"/>
      <c r="BB97" s="2221"/>
      <c r="BC97" s="2221" t="str">
        <f t="shared" si="4"/>
        <v>Наименование тарифа</v>
      </c>
      <c r="BD97" s="2221"/>
      <c r="BE97" s="2221"/>
    </row>
    <row r="98" spans="1:57" s="4289" customFormat="1" ht="21" customHeight="1">
      <c r="A98" s="1869"/>
      <c r="B98" s="1869" t="s">
        <v>286</v>
      </c>
      <c r="C98" s="1869"/>
      <c r="D98" s="1869"/>
      <c r="E98" s="5345" t="s">
        <v>85</v>
      </c>
      <c r="F98" s="5344">
        <v>1</v>
      </c>
      <c r="G98" s="1869"/>
      <c r="H98" s="1869"/>
      <c r="I98" s="1869"/>
      <c r="J98" s="1869"/>
      <c r="K98" s="1869"/>
      <c r="L98" s="1869"/>
      <c r="M98" s="4082"/>
      <c r="N98" s="4083"/>
      <c r="O98" s="4083"/>
      <c r="P98" s="4083"/>
      <c r="Q98" s="2214"/>
      <c r="R98" s="2215"/>
      <c r="S98" s="2138"/>
      <c r="T98" s="2216"/>
      <c r="U98" s="2217" t="str">
        <f>INDEX(PT_DIFFERENTIATION_NUM_TER,MATCH(B98,PT_DIFFERENTIATION_TER_ID,0))</f>
        <v>4.1</v>
      </c>
      <c r="V98" s="2218" t="s">
        <v>516</v>
      </c>
      <c r="W98" s="2219"/>
      <c r="X98" s="5300"/>
      <c r="Y98" s="5301"/>
      <c r="Z98" s="5301"/>
      <c r="AA98" s="5301"/>
      <c r="AB98" s="5301"/>
      <c r="AC98" s="5301"/>
      <c r="AD98" s="5301"/>
      <c r="AE98" s="5301"/>
      <c r="AF98" s="5302"/>
      <c r="AG98" s="5300" t="str">
        <f>INDEX(PT_DIFFERENTIATION_TER,MATCH(B98,PT_DIFFERENTIATION_TER_ID,0))</f>
        <v>Территория 2</v>
      </c>
      <c r="AH98" s="5301"/>
      <c r="AI98" s="5301"/>
      <c r="AJ98" s="5301"/>
      <c r="AK98" s="5301"/>
      <c r="AL98" s="5301"/>
      <c r="AM98" s="5301"/>
      <c r="AN98" s="5301"/>
      <c r="AO98" s="5301"/>
      <c r="AP98" s="5300"/>
      <c r="AQ98" s="5301"/>
      <c r="AR98" s="5301"/>
      <c r="AS98" s="5301"/>
      <c r="AT98" s="5301"/>
      <c r="AU98" s="5301"/>
      <c r="AV98" s="5301"/>
      <c r="AW98" s="5301"/>
      <c r="AX98" s="5302"/>
      <c r="AY98" s="5302"/>
      <c r="AZ98" s="2220" t="s">
        <v>517</v>
      </c>
      <c r="BA98" s="2182"/>
      <c r="BB98" s="2221"/>
      <c r="BC98" s="2221" t="str">
        <f t="shared" si="4"/>
        <v>Территория действия тарифа</v>
      </c>
      <c r="BD98" s="2221"/>
      <c r="BE98" s="2221"/>
    </row>
    <row r="99" spans="1:57" s="4290" customFormat="1" ht="22.5" customHeight="1">
      <c r="A99" s="1869"/>
      <c r="B99" s="1869"/>
      <c r="C99" s="1869" t="s">
        <v>287</v>
      </c>
      <c r="D99" s="1869"/>
      <c r="E99" s="5345" t="s">
        <v>85</v>
      </c>
      <c r="F99" s="5345"/>
      <c r="G99" s="5344">
        <v>1</v>
      </c>
      <c r="H99" s="1869"/>
      <c r="I99" s="1869"/>
      <c r="J99" s="1869"/>
      <c r="K99" s="1869"/>
      <c r="L99" s="1869"/>
      <c r="M99" s="4082"/>
      <c r="N99" s="4083"/>
      <c r="O99" s="4083"/>
      <c r="P99" s="4083"/>
      <c r="Q99" s="2223"/>
      <c r="R99" s="2215"/>
      <c r="S99" s="2138"/>
      <c r="T99" s="2216"/>
      <c r="U99" s="2217" t="str">
        <f>INDEX(PT_DIFFERENTIATION_NUM_CS,MATCH(C99,PT_DIFFERENTIATION_CS_ID,0))</f>
        <v>4.1.1</v>
      </c>
      <c r="V99" s="2224" t="s">
        <v>518</v>
      </c>
      <c r="W99" s="2219"/>
      <c r="X99" s="5300"/>
      <c r="Y99" s="5301"/>
      <c r="Z99" s="5301"/>
      <c r="AA99" s="5301"/>
      <c r="AB99" s="5301"/>
      <c r="AC99" s="5301"/>
      <c r="AD99" s="5301"/>
      <c r="AE99" s="5301"/>
      <c r="AF99" s="5302"/>
      <c r="AG99" s="5300" t="str">
        <f>INDEX(PT_DIFFERENTIATION_CS,MATCH(C99,PT_DIFFERENTIATION_CS_ID,0))</f>
        <v>открытая система теплоснабжения г. Кировск</v>
      </c>
      <c r="AH99" s="5301"/>
      <c r="AI99" s="5301"/>
      <c r="AJ99" s="5301"/>
      <c r="AK99" s="5301"/>
      <c r="AL99" s="5301"/>
      <c r="AM99" s="5301"/>
      <c r="AN99" s="5301"/>
      <c r="AO99" s="5301"/>
      <c r="AP99" s="5300"/>
      <c r="AQ99" s="5301"/>
      <c r="AR99" s="5301"/>
      <c r="AS99" s="5301"/>
      <c r="AT99" s="5301"/>
      <c r="AU99" s="5301"/>
      <c r="AV99" s="5301"/>
      <c r="AW99" s="5301"/>
      <c r="AX99" s="5302"/>
      <c r="AY99" s="5302"/>
      <c r="AZ99" s="2220" t="s">
        <v>519</v>
      </c>
      <c r="BA99" s="2182"/>
      <c r="BB99" s="2221"/>
      <c r="BC99" s="2221" t="str">
        <f t="shared" si="4"/>
        <v xml:space="preserve">Наименование системы теплоснабжения </v>
      </c>
      <c r="BD99" s="2221"/>
      <c r="BE99" s="2221"/>
    </row>
    <row r="100" spans="1:57" s="4291" customFormat="1" ht="21" customHeight="1">
      <c r="A100" s="1869"/>
      <c r="B100" s="1869"/>
      <c r="C100" s="1869"/>
      <c r="D100" s="1869" t="s">
        <v>288</v>
      </c>
      <c r="E100" s="5345" t="s">
        <v>85</v>
      </c>
      <c r="F100" s="5345"/>
      <c r="G100" s="5345"/>
      <c r="H100" s="5344">
        <v>1</v>
      </c>
      <c r="I100" s="1869"/>
      <c r="J100" s="1869"/>
      <c r="K100" s="1869"/>
      <c r="L100" s="1869"/>
      <c r="M100" s="4082"/>
      <c r="N100" s="4083"/>
      <c r="O100" s="4083"/>
      <c r="P100" s="4083"/>
      <c r="Q100" s="2223"/>
      <c r="R100" s="2215"/>
      <c r="S100" s="2138"/>
      <c r="T100" s="2216"/>
      <c r="U100" s="2217" t="str">
        <f>INDEX(PT_DIFFERENTIATION_NUM_IST_TE,MATCH(D100,PT_DIFFERENTIATION_IST_TE_ID,0))</f>
        <v>4.1.1.1</v>
      </c>
      <c r="V100" s="2226" t="s">
        <v>520</v>
      </c>
      <c r="W100" s="2219"/>
      <c r="X100" s="5300"/>
      <c r="Y100" s="5301"/>
      <c r="Z100" s="5301"/>
      <c r="AA100" s="5301"/>
      <c r="AB100" s="5301"/>
      <c r="AC100" s="5301"/>
      <c r="AD100" s="5301"/>
      <c r="AE100" s="5301"/>
      <c r="AF100" s="5302"/>
      <c r="AG100" s="5300" t="str">
        <f>INDEX(PT_DIFFERENTIATION_IST_TE,MATCH(D100,PT_DIFFERENTIATION_IST_TE_ID,0))</f>
        <v>Апатитская ТЭЦ</v>
      </c>
      <c r="AH100" s="5301"/>
      <c r="AI100" s="5301"/>
      <c r="AJ100" s="5301"/>
      <c r="AK100" s="5301"/>
      <c r="AL100" s="5301"/>
      <c r="AM100" s="5301"/>
      <c r="AN100" s="5301"/>
      <c r="AO100" s="5301"/>
      <c r="AP100" s="5300"/>
      <c r="AQ100" s="5301"/>
      <c r="AR100" s="5301"/>
      <c r="AS100" s="5301"/>
      <c r="AT100" s="5301"/>
      <c r="AU100" s="5301"/>
      <c r="AV100" s="5301"/>
      <c r="AW100" s="5301"/>
      <c r="AX100" s="5302"/>
      <c r="AY100" s="5302"/>
      <c r="AZ100" s="2220" t="s">
        <v>521</v>
      </c>
      <c r="BA100" s="2182"/>
      <c r="BB100" s="2221"/>
      <c r="BC100" s="2221" t="str">
        <f t="shared" si="4"/>
        <v xml:space="preserve">Источник тепловой энергии  </v>
      </c>
      <c r="BD100" s="2221"/>
      <c r="BE100" s="2221"/>
    </row>
    <row r="101" spans="1:57" s="4292" customFormat="1" ht="14.25" customHeight="1">
      <c r="A101" s="1869"/>
      <c r="B101" s="1869"/>
      <c r="C101" s="1869"/>
      <c r="D101" s="1869"/>
      <c r="E101" s="5345" t="s">
        <v>85</v>
      </c>
      <c r="F101" s="5345"/>
      <c r="G101" s="5345"/>
      <c r="H101" s="5345"/>
      <c r="I101" s="5180" t="str">
        <f>U100&amp;".1"</f>
        <v>4.1.1.1.1</v>
      </c>
      <c r="J101" s="1869"/>
      <c r="K101" s="1869"/>
      <c r="L101" s="1869"/>
      <c r="M101" s="4082" t="s">
        <v>522</v>
      </c>
      <c r="N101" s="2138"/>
      <c r="O101" s="2344"/>
      <c r="P101" s="2344"/>
      <c r="Q101" s="5313">
        <v>1</v>
      </c>
      <c r="R101" s="2229"/>
      <c r="S101" s="2229"/>
      <c r="T101" s="2230"/>
      <c r="U101" s="3785"/>
      <c r="V101" s="3786"/>
      <c r="W101" s="3787"/>
      <c r="X101" s="5341"/>
      <c r="Y101" s="5342"/>
      <c r="Z101" s="5342"/>
      <c r="AA101" s="5342"/>
      <c r="AB101" s="5342"/>
      <c r="AC101" s="5342"/>
      <c r="AD101" s="5342"/>
      <c r="AE101" s="5342"/>
      <c r="AF101" s="5343"/>
      <c r="AG101" s="5341"/>
      <c r="AH101" s="5342"/>
      <c r="AI101" s="5342"/>
      <c r="AJ101" s="5342"/>
      <c r="AK101" s="5342"/>
      <c r="AL101" s="5342"/>
      <c r="AM101" s="5342"/>
      <c r="AN101" s="5342"/>
      <c r="AO101" s="5342"/>
      <c r="AP101" s="5341"/>
      <c r="AQ101" s="5342"/>
      <c r="AR101" s="5342"/>
      <c r="AS101" s="5342"/>
      <c r="AT101" s="5342"/>
      <c r="AU101" s="5342"/>
      <c r="AV101" s="5342"/>
      <c r="AW101" s="5342"/>
      <c r="AX101" s="5343"/>
      <c r="AY101" s="5343"/>
      <c r="AZ101" s="3788"/>
      <c r="BA101" s="2182"/>
      <c r="BB101" s="2221"/>
      <c r="BC101" s="2221" t="str">
        <f t="shared" si="4"/>
        <v/>
      </c>
      <c r="BD101" s="2221"/>
      <c r="BE101" s="2221"/>
    </row>
    <row r="102" spans="1:57" s="4293" customFormat="1" ht="21" customHeight="1">
      <c r="A102" s="1869"/>
      <c r="B102" s="1869"/>
      <c r="C102" s="1869"/>
      <c r="D102" s="1869"/>
      <c r="E102" s="5345" t="s">
        <v>85</v>
      </c>
      <c r="F102" s="5345"/>
      <c r="G102" s="5345"/>
      <c r="H102" s="5345"/>
      <c r="I102" s="5151"/>
      <c r="J102" s="5180" t="str">
        <f>I101&amp;".1"</f>
        <v>4.1.1.1.1.1</v>
      </c>
      <c r="K102" s="1869"/>
      <c r="L102" s="1869"/>
      <c r="M102" s="4082" t="s">
        <v>525</v>
      </c>
      <c r="N102" s="2138"/>
      <c r="O102" s="2138"/>
      <c r="P102" s="2344"/>
      <c r="Q102" s="5313"/>
      <c r="R102" s="5313">
        <v>1</v>
      </c>
      <c r="S102" s="2182"/>
      <c r="T102" s="2233"/>
      <c r="U102" s="2217" t="str">
        <f>$J102</f>
        <v>4.1.1.1.1.1</v>
      </c>
      <c r="V102" s="2234" t="s">
        <v>526</v>
      </c>
      <c r="W102" s="2219"/>
      <c r="X102" s="5303"/>
      <c r="Y102" s="5304"/>
      <c r="Z102" s="5304"/>
      <c r="AA102" s="5304"/>
      <c r="AB102" s="5304"/>
      <c r="AC102" s="5296"/>
      <c r="AD102" s="5296"/>
      <c r="AE102" s="5296"/>
      <c r="AF102" s="5346"/>
      <c r="AG102" s="5303" t="s">
        <v>565</v>
      </c>
      <c r="AH102" s="5304"/>
      <c r="AI102" s="5304"/>
      <c r="AJ102" s="5304"/>
      <c r="AK102" s="5304"/>
      <c r="AL102" s="5304"/>
      <c r="AM102" s="5304"/>
      <c r="AN102" s="5304"/>
      <c r="AO102" s="5304"/>
      <c r="AP102" s="5303"/>
      <c r="AQ102" s="5304"/>
      <c r="AR102" s="5304"/>
      <c r="AS102" s="5304"/>
      <c r="AT102" s="5304"/>
      <c r="AU102" s="5296"/>
      <c r="AV102" s="5296"/>
      <c r="AW102" s="5296"/>
      <c r="AX102" s="5346"/>
      <c r="AY102" s="5305"/>
      <c r="AZ102" s="2220" t="s">
        <v>527</v>
      </c>
      <c r="BA102" s="2182"/>
      <c r="BB102" s="2221"/>
      <c r="BC102" s="2221" t="str">
        <f t="shared" si="4"/>
        <v>Группа потребителей</v>
      </c>
      <c r="BD102" s="2221"/>
      <c r="BE102" s="2221"/>
    </row>
    <row r="103" spans="1:57" s="4294" customFormat="1" ht="21" customHeight="1">
      <c r="A103" s="1869"/>
      <c r="B103" s="1869"/>
      <c r="C103" s="1869"/>
      <c r="D103" s="1869"/>
      <c r="E103" s="5345" t="s">
        <v>85</v>
      </c>
      <c r="F103" s="5345"/>
      <c r="G103" s="5345"/>
      <c r="H103" s="5345"/>
      <c r="I103" s="5151"/>
      <c r="J103" s="5151"/>
      <c r="K103" s="5180" t="str">
        <f>J102&amp;".1"</f>
        <v>4.1.1.1.1.1.1</v>
      </c>
      <c r="L103" s="2214"/>
      <c r="M103" s="4082" t="s">
        <v>528</v>
      </c>
      <c r="N103" s="2138"/>
      <c r="O103" s="2138"/>
      <c r="P103" s="2138"/>
      <c r="Q103" s="5313"/>
      <c r="R103" s="5313"/>
      <c r="S103" s="5313">
        <v>1</v>
      </c>
      <c r="T103" s="2233"/>
      <c r="U103" s="2217" t="str">
        <f>$K103</f>
        <v>4.1.1.1.1.1.1</v>
      </c>
      <c r="V103" s="2236" t="s">
        <v>584</v>
      </c>
      <c r="W103" s="2219"/>
      <c r="X103" s="2139"/>
      <c r="Y103" s="2139"/>
      <c r="Z103" s="2139"/>
      <c r="AA103" s="2139"/>
      <c r="AB103" s="4030"/>
      <c r="AC103" s="5317"/>
      <c r="AD103" s="5161" t="s">
        <v>62</v>
      </c>
      <c r="AE103" s="5317"/>
      <c r="AF103" s="5161" t="s">
        <v>62</v>
      </c>
      <c r="AG103" s="4090"/>
      <c r="AH103" s="2139">
        <v>26.8</v>
      </c>
      <c r="AI103" s="2139">
        <v>3052.14</v>
      </c>
      <c r="AJ103" s="2139"/>
      <c r="AK103" s="2141"/>
      <c r="AL103" s="5317">
        <v>45658.588842592595</v>
      </c>
      <c r="AM103" s="5161" t="s">
        <v>62</v>
      </c>
      <c r="AN103" s="5317">
        <v>45838.588877314818</v>
      </c>
      <c r="AO103" s="5161" t="s">
        <v>62</v>
      </c>
      <c r="AP103" s="2139"/>
      <c r="AQ103" s="2139">
        <v>53.82</v>
      </c>
      <c r="AR103" s="2139">
        <v>3717.61</v>
      </c>
      <c r="AS103" s="2139"/>
      <c r="AT103" s="4030"/>
      <c r="AU103" s="5317">
        <v>45839.589131944442</v>
      </c>
      <c r="AV103" s="5161" t="s">
        <v>62</v>
      </c>
      <c r="AW103" s="5317">
        <v>46022.589212962965</v>
      </c>
      <c r="AX103" s="5161" t="s">
        <v>62</v>
      </c>
      <c r="AY103" s="2140"/>
      <c r="AZ103" s="4091" t="s">
        <v>572</v>
      </c>
      <c r="BA103" s="2182" t="e">
        <f ca="1">STRCHECKDATE(X105:AY105)</f>
        <v>#NAME?</v>
      </c>
      <c r="BB103" s="2221"/>
      <c r="BC103" s="2221" t="str">
        <f t="shared" si="4"/>
        <v>горячая вода в системе централизованного теплоснабжения на горячее водоснабжение</v>
      </c>
      <c r="BD103" s="2221"/>
      <c r="BE103" s="2221"/>
    </row>
    <row r="104" spans="1:57" s="4295" customFormat="1" ht="21" customHeight="1">
      <c r="A104" s="1869"/>
      <c r="B104" s="1869"/>
      <c r="C104" s="1869"/>
      <c r="D104" s="1869"/>
      <c r="E104" s="5345" t="s">
        <v>85</v>
      </c>
      <c r="F104" s="5345"/>
      <c r="G104" s="5345"/>
      <c r="H104" s="5345"/>
      <c r="I104" s="5151"/>
      <c r="J104" s="5151"/>
      <c r="K104" s="5151"/>
      <c r="L104" s="5180" t="str">
        <f>K103&amp;".1"</f>
        <v>4.1.1.1.1.1.1.1</v>
      </c>
      <c r="M104" s="4082"/>
      <c r="N104" s="2138"/>
      <c r="O104" s="2138"/>
      <c r="P104" s="2138"/>
      <c r="Q104" s="5313"/>
      <c r="R104" s="5313"/>
      <c r="S104" s="5313"/>
      <c r="T104" s="2233"/>
      <c r="U104" s="2217" t="str">
        <f>$L104</f>
        <v>4.1.1.1.1.1.1.1</v>
      </c>
      <c r="V104" s="4093"/>
      <c r="W104" s="2219"/>
      <c r="X104" s="2140"/>
      <c r="Y104" s="2139"/>
      <c r="Z104" s="2139"/>
      <c r="AA104" s="2139"/>
      <c r="AB104" s="4030"/>
      <c r="AC104" s="5318"/>
      <c r="AD104" s="5161"/>
      <c r="AE104" s="5318"/>
      <c r="AF104" s="5161"/>
      <c r="AG104" s="4090"/>
      <c r="AH104" s="2139"/>
      <c r="AI104" s="2139"/>
      <c r="AJ104" s="2139"/>
      <c r="AK104" s="2141"/>
      <c r="AL104" s="5318"/>
      <c r="AM104" s="5161"/>
      <c r="AN104" s="5318"/>
      <c r="AO104" s="5161"/>
      <c r="AP104" s="2140"/>
      <c r="AQ104" s="2139"/>
      <c r="AR104" s="2139"/>
      <c r="AS104" s="2139"/>
      <c r="AT104" s="4030"/>
      <c r="AU104" s="5318"/>
      <c r="AV104" s="5161"/>
      <c r="AW104" s="5318"/>
      <c r="AX104" s="5161"/>
      <c r="AY104" s="2140"/>
      <c r="AZ104" s="5309" t="s">
        <v>573</v>
      </c>
      <c r="BA104" s="2182"/>
      <c r="BB104" s="2221"/>
      <c r="BC104" s="2221"/>
      <c r="BD104" s="2221"/>
      <c r="BE104" s="2221"/>
    </row>
    <row r="105" spans="1:57" s="4296" customFormat="1" ht="14.25" customHeight="1">
      <c r="A105" s="1869"/>
      <c r="B105" s="1869"/>
      <c r="C105" s="1869"/>
      <c r="D105" s="1869"/>
      <c r="E105" s="5345" t="s">
        <v>85</v>
      </c>
      <c r="F105" s="5345"/>
      <c r="G105" s="5345"/>
      <c r="H105" s="5345"/>
      <c r="I105" s="5151"/>
      <c r="J105" s="5151"/>
      <c r="K105" s="5151"/>
      <c r="L105" s="5180"/>
      <c r="M105" s="4082"/>
      <c r="N105" s="2138"/>
      <c r="O105" s="2138"/>
      <c r="P105" s="2138"/>
      <c r="Q105" s="5313"/>
      <c r="R105" s="5313"/>
      <c r="S105" s="5313"/>
      <c r="T105" s="2233"/>
      <c r="U105" s="2238"/>
      <c r="V105" s="2219"/>
      <c r="W105" s="2219"/>
      <c r="X105" s="2140"/>
      <c r="Y105" s="2140"/>
      <c r="Z105" s="2140"/>
      <c r="AA105" s="2140"/>
      <c r="AB105" s="4031" t="str">
        <f>AC103&amp;"-"&amp;AE103</f>
        <v>-</v>
      </c>
      <c r="AC105" s="5318"/>
      <c r="AD105" s="5161"/>
      <c r="AE105" s="5318"/>
      <c r="AF105" s="5161"/>
      <c r="AG105" s="4095"/>
      <c r="AH105" s="2140"/>
      <c r="AI105" s="2140"/>
      <c r="AJ105" s="2140"/>
      <c r="AK105" s="2142" t="str">
        <f>AL103&amp;"-"&amp;AN103</f>
        <v>45658,5888425926-45838,5888773148</v>
      </c>
      <c r="AL105" s="5318"/>
      <c r="AM105" s="5161"/>
      <c r="AN105" s="5318"/>
      <c r="AO105" s="5161"/>
      <c r="AP105" s="2140"/>
      <c r="AQ105" s="2140"/>
      <c r="AR105" s="2140"/>
      <c r="AS105" s="2140"/>
      <c r="AT105" s="4031" t="str">
        <f>AU103&amp;"-"&amp;AW103</f>
        <v>45839,5891319444-46022,589212963</v>
      </c>
      <c r="AU105" s="5318"/>
      <c r="AV105" s="5161"/>
      <c r="AW105" s="5318"/>
      <c r="AX105" s="5161"/>
      <c r="AY105" s="2140"/>
      <c r="AZ105" s="5310"/>
      <c r="BA105" s="2182"/>
      <c r="BB105" s="2221"/>
      <c r="BC105" s="2221" t="str">
        <f>IF(V105="","",V105)</f>
        <v/>
      </c>
      <c r="BD105" s="2221"/>
      <c r="BE105" s="2221"/>
    </row>
    <row r="106" spans="1:57" s="4297" customFormat="1" ht="11.25" customHeight="1">
      <c r="A106" s="1869"/>
      <c r="B106" s="1869"/>
      <c r="C106" s="1869"/>
      <c r="D106" s="1869"/>
      <c r="E106" s="5345" t="s">
        <v>85</v>
      </c>
      <c r="F106" s="5345"/>
      <c r="G106" s="5345"/>
      <c r="H106" s="5345"/>
      <c r="I106" s="5151"/>
      <c r="J106" s="5151"/>
      <c r="K106" s="5180"/>
      <c r="L106" s="1869"/>
      <c r="M106" s="4082"/>
      <c r="N106" s="2138"/>
      <c r="O106" s="2138"/>
      <c r="P106" s="2138"/>
      <c r="Q106" s="5313"/>
      <c r="R106" s="5313"/>
      <c r="S106" s="5313"/>
      <c r="T106" s="2233"/>
      <c r="U106" s="4298"/>
      <c r="V106" s="4299" t="s">
        <v>574</v>
      </c>
      <c r="W106" s="4300"/>
      <c r="X106" s="4301"/>
      <c r="Y106" s="4302"/>
      <c r="Z106" s="4303"/>
      <c r="AA106" s="4304"/>
      <c r="AB106" s="4305"/>
      <c r="AC106" s="5318"/>
      <c r="AD106" s="5161"/>
      <c r="AE106" s="5318"/>
      <c r="AF106" s="5161"/>
      <c r="AG106" s="4306"/>
      <c r="AH106" s="4307"/>
      <c r="AI106" s="4308"/>
      <c r="AJ106" s="4309"/>
      <c r="AK106" s="4310"/>
      <c r="AL106" s="5318"/>
      <c r="AM106" s="5161"/>
      <c r="AN106" s="5318"/>
      <c r="AO106" s="5161"/>
      <c r="AP106" s="4311"/>
      <c r="AQ106" s="4312"/>
      <c r="AR106" s="4313"/>
      <c r="AS106" s="4314"/>
      <c r="AT106" s="4315"/>
      <c r="AU106" s="5318"/>
      <c r="AV106" s="5161"/>
      <c r="AW106" s="5318"/>
      <c r="AX106" s="5161"/>
      <c r="AY106" s="4316"/>
      <c r="AZ106" s="5310"/>
      <c r="BA106" s="2182"/>
      <c r="BB106" s="2221"/>
      <c r="BC106" s="2221"/>
      <c r="BD106" s="2221"/>
      <c r="BE106" s="2221"/>
    </row>
    <row r="107" spans="1:57" s="4317" customFormat="1" ht="15" customHeight="1">
      <c r="A107" s="1869"/>
      <c r="B107" s="1869"/>
      <c r="C107" s="1869"/>
      <c r="D107" s="1869"/>
      <c r="E107" s="5345" t="s">
        <v>85</v>
      </c>
      <c r="F107" s="5345"/>
      <c r="G107" s="5345"/>
      <c r="H107" s="5345"/>
      <c r="I107" s="5151"/>
      <c r="J107" s="5180"/>
      <c r="K107" s="1869"/>
      <c r="L107" s="1869"/>
      <c r="M107" s="4082"/>
      <c r="N107" s="2138"/>
      <c r="O107" s="2138"/>
      <c r="P107" s="2344"/>
      <c r="Q107" s="5313"/>
      <c r="R107" s="5313"/>
      <c r="S107" s="2229"/>
      <c r="T107" s="2230"/>
      <c r="U107" s="4318"/>
      <c r="V107" s="4319" t="s">
        <v>530</v>
      </c>
      <c r="W107" s="4320"/>
      <c r="X107" s="4321"/>
      <c r="Y107" s="4322"/>
      <c r="Z107" s="4323"/>
      <c r="AA107" s="4324"/>
      <c r="AB107" s="4325"/>
      <c r="AC107" s="4326"/>
      <c r="AD107" s="4327"/>
      <c r="AE107" s="4328"/>
      <c r="AF107" s="4329"/>
      <c r="AG107" s="4330"/>
      <c r="AH107" s="4331"/>
      <c r="AI107" s="4332"/>
      <c r="AJ107" s="4333"/>
      <c r="AK107" s="4334"/>
      <c r="AL107" s="4335"/>
      <c r="AM107" s="4336"/>
      <c r="AN107" s="4337"/>
      <c r="AO107" s="4338"/>
      <c r="AP107" s="4339"/>
      <c r="AQ107" s="4340"/>
      <c r="AR107" s="4341"/>
      <c r="AS107" s="4342"/>
      <c r="AT107" s="4343"/>
      <c r="AU107" s="4344"/>
      <c r="AV107" s="4345"/>
      <c r="AW107" s="4346"/>
      <c r="AX107" s="4347"/>
      <c r="AY107" s="4348"/>
      <c r="AZ107" s="5311"/>
      <c r="BA107" s="2182"/>
      <c r="BB107" s="2221"/>
      <c r="BC107" s="2221" t="str">
        <f t="shared" ref="BC107:BC119" si="5">IF(V107="","",V107)</f>
        <v>Добавить вид теплоносителя (параметры теплоносителя)</v>
      </c>
      <c r="BD107" s="2221"/>
      <c r="BE107" s="2221"/>
    </row>
    <row r="108" spans="1:57" s="4349" customFormat="1" ht="11.25" customHeight="1">
      <c r="A108" s="1869"/>
      <c r="B108" s="1869"/>
      <c r="C108" s="1869"/>
      <c r="D108" s="1869"/>
      <c r="E108" s="5345" t="s">
        <v>85</v>
      </c>
      <c r="F108" s="5345"/>
      <c r="G108" s="5345"/>
      <c r="H108" s="5345"/>
      <c r="I108" s="5180"/>
      <c r="J108" s="1869"/>
      <c r="K108" s="1869"/>
      <c r="L108" s="1869"/>
      <c r="M108" s="4082"/>
      <c r="N108" s="2138"/>
      <c r="O108" s="2344"/>
      <c r="P108" s="2344"/>
      <c r="Q108" s="5313"/>
      <c r="R108" s="2229"/>
      <c r="S108" s="2229"/>
      <c r="T108" s="2230"/>
      <c r="U108" s="4350"/>
      <c r="V108" s="4351" t="s">
        <v>531</v>
      </c>
      <c r="W108" s="4352"/>
      <c r="X108" s="4353"/>
      <c r="Y108" s="4354"/>
      <c r="Z108" s="4355"/>
      <c r="AA108" s="4356"/>
      <c r="AB108" s="4357"/>
      <c r="AC108" s="4358"/>
      <c r="AD108" s="4359"/>
      <c r="AE108" s="4360"/>
      <c r="AF108" s="4361"/>
      <c r="AG108" s="4362"/>
      <c r="AH108" s="4363"/>
      <c r="AI108" s="4364"/>
      <c r="AJ108" s="4365"/>
      <c r="AK108" s="4366"/>
      <c r="AL108" s="4367"/>
      <c r="AM108" s="4368"/>
      <c r="AN108" s="4369"/>
      <c r="AO108" s="4370"/>
      <c r="AP108" s="4371"/>
      <c r="AQ108" s="4372"/>
      <c r="AR108" s="4373"/>
      <c r="AS108" s="4374"/>
      <c r="AT108" s="4375"/>
      <c r="AU108" s="4376"/>
      <c r="AV108" s="4377"/>
      <c r="AW108" s="4378"/>
      <c r="AX108" s="4379"/>
      <c r="AY108" s="4380"/>
      <c r="AZ108" s="4381"/>
      <c r="BA108" s="2182"/>
      <c r="BB108" s="2221"/>
      <c r="BC108" s="2221" t="str">
        <f t="shared" si="5"/>
        <v>Добавить группу потребителей</v>
      </c>
      <c r="BD108" s="2221"/>
      <c r="BE108" s="2221"/>
    </row>
    <row r="109" spans="1:57" s="4382" customFormat="1" ht="14.25" customHeight="1">
      <c r="A109" s="1869"/>
      <c r="B109" s="1869"/>
      <c r="C109" s="1869"/>
      <c r="D109" s="1869"/>
      <c r="E109" s="5345" t="s">
        <v>85</v>
      </c>
      <c r="F109" s="5345"/>
      <c r="G109" s="5345"/>
      <c r="H109" s="5344"/>
      <c r="I109" s="1869"/>
      <c r="J109" s="1869"/>
      <c r="K109" s="1869"/>
      <c r="L109" s="1869"/>
      <c r="M109" s="4082"/>
      <c r="N109" s="4083"/>
      <c r="O109" s="4083"/>
      <c r="P109" s="2138"/>
      <c r="Q109" s="2299"/>
      <c r="R109" s="2300"/>
      <c r="S109" s="2301"/>
      <c r="T109" s="2299"/>
      <c r="U109" s="3852"/>
      <c r="V109" s="3853"/>
      <c r="W109" s="3763"/>
      <c r="X109" s="3763"/>
      <c r="Y109" s="3763"/>
      <c r="Z109" s="3763"/>
      <c r="AA109" s="3763"/>
      <c r="AB109" s="3763"/>
      <c r="AC109" s="3763"/>
      <c r="AD109" s="3763"/>
      <c r="AE109" s="3763"/>
      <c r="AF109" s="3763"/>
      <c r="AG109" s="3763"/>
      <c r="AH109" s="3763"/>
      <c r="AI109" s="3763"/>
      <c r="AJ109" s="3763"/>
      <c r="AK109" s="3763"/>
      <c r="AL109" s="3763"/>
      <c r="AM109" s="3763"/>
      <c r="AN109" s="3763"/>
      <c r="AO109" s="3763"/>
      <c r="AP109" s="3763"/>
      <c r="AQ109" s="3763"/>
      <c r="AR109" s="3763"/>
      <c r="AS109" s="3763"/>
      <c r="AT109" s="3763"/>
      <c r="AU109" s="3763"/>
      <c r="AV109" s="3763"/>
      <c r="AW109" s="3763"/>
      <c r="AX109" s="3763"/>
      <c r="AY109" s="3763"/>
      <c r="AZ109" s="3854"/>
      <c r="BA109" s="2182"/>
      <c r="BB109" s="2221"/>
      <c r="BC109" s="2221" t="str">
        <f t="shared" si="5"/>
        <v/>
      </c>
      <c r="BD109" s="2221"/>
      <c r="BE109" s="2221"/>
    </row>
    <row r="110" spans="1:57" s="4383" customFormat="1" ht="14.25" customHeight="1">
      <c r="A110" s="4183"/>
      <c r="B110" s="4183"/>
      <c r="C110" s="4183"/>
      <c r="D110" s="4183"/>
      <c r="E110" s="5345" t="s">
        <v>85</v>
      </c>
      <c r="F110" s="5345"/>
      <c r="G110" s="5344"/>
      <c r="H110" s="4183"/>
      <c r="I110" s="4183"/>
      <c r="J110" s="4183"/>
      <c r="K110" s="4183"/>
      <c r="L110" s="4183"/>
      <c r="M110" s="4184"/>
      <c r="N110" s="4185"/>
      <c r="O110" s="4185"/>
      <c r="P110" s="4186"/>
      <c r="Q110" s="2335"/>
      <c r="R110" s="2336"/>
      <c r="S110" s="2335"/>
      <c r="T110" s="2335"/>
      <c r="U110" s="2337"/>
      <c r="V110" s="2338" t="s">
        <v>168</v>
      </c>
      <c r="W110" s="2168"/>
      <c r="X110" s="2168"/>
      <c r="Y110" s="2168"/>
      <c r="Z110" s="2168"/>
      <c r="AA110" s="2168"/>
      <c r="AB110" s="2168"/>
      <c r="AC110" s="2168"/>
      <c r="AD110" s="2168"/>
      <c r="AE110" s="2168"/>
      <c r="AF110" s="2168"/>
      <c r="AG110" s="2168"/>
      <c r="AH110" s="2168"/>
      <c r="AI110" s="2168"/>
      <c r="AJ110" s="2168"/>
      <c r="AK110" s="2168"/>
      <c r="AL110" s="2168"/>
      <c r="AM110" s="2168"/>
      <c r="AN110" s="2168"/>
      <c r="AO110" s="2168"/>
      <c r="AP110" s="2168"/>
      <c r="AQ110" s="2168"/>
      <c r="AR110" s="2168"/>
      <c r="AS110" s="2168"/>
      <c r="AT110" s="2168"/>
      <c r="AU110" s="2168"/>
      <c r="AV110" s="2168"/>
      <c r="AW110" s="2168"/>
      <c r="AX110" s="2168"/>
      <c r="AY110" s="2168"/>
      <c r="AZ110" s="2168"/>
      <c r="BA110" s="2182"/>
      <c r="BB110" s="2221"/>
      <c r="BC110" s="2221" t="str">
        <f t="shared" si="5"/>
        <v>Добавить источник для дифференциации</v>
      </c>
      <c r="BD110" s="2221"/>
      <c r="BE110" s="2221"/>
    </row>
    <row r="111" spans="1:57" s="4384" customFormat="1" ht="14.25" customHeight="1">
      <c r="A111" s="4183"/>
      <c r="B111" s="4183"/>
      <c r="C111" s="4183"/>
      <c r="D111" s="4183"/>
      <c r="E111" s="5345" t="s">
        <v>85</v>
      </c>
      <c r="F111" s="5344"/>
      <c r="G111" s="4183"/>
      <c r="H111" s="4183"/>
      <c r="I111" s="4183"/>
      <c r="J111" s="4183"/>
      <c r="K111" s="4183"/>
      <c r="L111" s="4183"/>
      <c r="M111" s="4184"/>
      <c r="N111" s="4188"/>
      <c r="O111" s="4188"/>
      <c r="P111" s="4186"/>
      <c r="Q111" s="2335"/>
      <c r="R111" s="2336"/>
      <c r="S111" s="2335"/>
      <c r="T111" s="2335"/>
      <c r="U111" s="2341"/>
      <c r="V111" s="2342" t="s">
        <v>169</v>
      </c>
      <c r="W111" s="2169"/>
      <c r="X111" s="2169"/>
      <c r="Y111" s="2169"/>
      <c r="Z111" s="2169"/>
      <c r="AA111" s="2169"/>
      <c r="AB111" s="2169"/>
      <c r="AC111" s="2169"/>
      <c r="AD111" s="2169"/>
      <c r="AE111" s="2169"/>
      <c r="AF111" s="2169"/>
      <c r="AG111" s="2169"/>
      <c r="AH111" s="2169"/>
      <c r="AI111" s="2169"/>
      <c r="AJ111" s="2169"/>
      <c r="AK111" s="2169"/>
      <c r="AL111" s="2169"/>
      <c r="AM111" s="2169"/>
      <c r="AN111" s="2169"/>
      <c r="AO111" s="2169"/>
      <c r="AP111" s="2169"/>
      <c r="AQ111" s="2169"/>
      <c r="AR111" s="2169"/>
      <c r="AS111" s="2169"/>
      <c r="AT111" s="2169"/>
      <c r="AU111" s="2169"/>
      <c r="AV111" s="2169"/>
      <c r="AW111" s="2169"/>
      <c r="AX111" s="2169"/>
      <c r="AY111" s="2169"/>
      <c r="AZ111" s="2169"/>
      <c r="BA111" s="2182"/>
      <c r="BB111" s="2221"/>
      <c r="BC111" s="2221" t="str">
        <f t="shared" si="5"/>
        <v>Добавить централизованную систему для дифференциации</v>
      </c>
      <c r="BD111" s="2221"/>
      <c r="BE111" s="2221"/>
    </row>
    <row r="112" spans="1:57" s="4385" customFormat="1" ht="14.25" customHeight="1">
      <c r="A112" s="4183"/>
      <c r="B112" s="4183"/>
      <c r="C112" s="4183"/>
      <c r="D112" s="4183"/>
      <c r="E112" s="5344" t="s">
        <v>85</v>
      </c>
      <c r="F112" s="4183"/>
      <c r="G112" s="4183"/>
      <c r="H112" s="4183"/>
      <c r="I112" s="4183"/>
      <c r="J112" s="4183"/>
      <c r="K112" s="4183"/>
      <c r="L112" s="4183"/>
      <c r="M112" s="4184"/>
      <c r="N112" s="4188"/>
      <c r="O112" s="4188"/>
      <c r="P112" s="4186"/>
      <c r="Q112" s="2335"/>
      <c r="R112" s="2336"/>
      <c r="S112" s="2335"/>
      <c r="T112" s="2335"/>
      <c r="U112" s="2341"/>
      <c r="V112" s="2445" t="s">
        <v>174</v>
      </c>
      <c r="W112" s="2169"/>
      <c r="X112" s="2169"/>
      <c r="Y112" s="2169"/>
      <c r="Z112" s="2169"/>
      <c r="AA112" s="2169"/>
      <c r="AB112" s="2169"/>
      <c r="AC112" s="2169"/>
      <c r="AD112" s="2169"/>
      <c r="AE112" s="2169"/>
      <c r="AF112" s="2169"/>
      <c r="AG112" s="2169"/>
      <c r="AH112" s="2169"/>
      <c r="AI112" s="2169"/>
      <c r="AJ112" s="2169"/>
      <c r="AK112" s="2169"/>
      <c r="AL112" s="2169"/>
      <c r="AM112" s="2169"/>
      <c r="AN112" s="2169"/>
      <c r="AO112" s="2169"/>
      <c r="AP112" s="2169"/>
      <c r="AQ112" s="2169"/>
      <c r="AR112" s="2169"/>
      <c r="AS112" s="2169"/>
      <c r="AT112" s="2169"/>
      <c r="AU112" s="2169"/>
      <c r="AV112" s="2169"/>
      <c r="AW112" s="2169"/>
      <c r="AX112" s="2169"/>
      <c r="AY112" s="2169"/>
      <c r="AZ112" s="2169"/>
      <c r="BA112" s="2182"/>
      <c r="BB112" s="2221"/>
      <c r="BC112" s="2221" t="str">
        <f t="shared" si="5"/>
        <v>Добавить территорию для дифференциации</v>
      </c>
      <c r="BD112" s="2221"/>
      <c r="BE112" s="2221"/>
    </row>
    <row r="113" spans="1:57" s="4386" customFormat="1" ht="21" customHeight="1">
      <c r="A113" s="1869" t="s">
        <v>290</v>
      </c>
      <c r="B113" s="1869"/>
      <c r="C113" s="1869"/>
      <c r="D113" s="1869"/>
      <c r="E113" s="5344" t="s">
        <v>115</v>
      </c>
      <c r="F113" s="1869"/>
      <c r="G113" s="1869"/>
      <c r="H113" s="1869"/>
      <c r="I113" s="1869"/>
      <c r="J113" s="1869"/>
      <c r="K113" s="1869"/>
      <c r="L113" s="1869"/>
      <c r="M113" s="4082"/>
      <c r="N113" s="4083"/>
      <c r="O113" s="4083"/>
      <c r="P113" s="4083"/>
      <c r="Q113" s="2344"/>
      <c r="R113" s="2299"/>
      <c r="S113" s="2299"/>
      <c r="T113" s="2301"/>
      <c r="U113" s="2217" t="str">
        <f>INDEX(PT_DIFFERENTIATION_NUM_NTAR,MATCH(A113,PT_DIFFERENTIATION_NTAR_ID,0))</f>
        <v>5</v>
      </c>
      <c r="V113" s="2345" t="s">
        <v>127</v>
      </c>
      <c r="W113" s="2219"/>
      <c r="X113" s="5300"/>
      <c r="Y113" s="5301"/>
      <c r="Z113" s="5301"/>
      <c r="AA113" s="5301"/>
      <c r="AB113" s="5301"/>
      <c r="AC113" s="5301"/>
      <c r="AD113" s="5301"/>
      <c r="AE113" s="5301"/>
      <c r="AF113" s="5302"/>
      <c r="AG113" s="5300" t="str">
        <f>INDEX(PT_DIFFERENTIATION_NTAR,MATCH(A113,PT_DIFFERENTIATION_NTAR_ID,0))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AH113" s="5301"/>
      <c r="AI113" s="5301"/>
      <c r="AJ113" s="5301"/>
      <c r="AK113" s="5301"/>
      <c r="AL113" s="5301"/>
      <c r="AM113" s="5301"/>
      <c r="AN113" s="5301"/>
      <c r="AO113" s="5301"/>
      <c r="AP113" s="5300"/>
      <c r="AQ113" s="5301"/>
      <c r="AR113" s="5301"/>
      <c r="AS113" s="5301"/>
      <c r="AT113" s="5301"/>
      <c r="AU113" s="5301"/>
      <c r="AV113" s="5301"/>
      <c r="AW113" s="5301"/>
      <c r="AX113" s="5302"/>
      <c r="AY113" s="5302"/>
      <c r="AZ113" s="2220" t="s">
        <v>515</v>
      </c>
      <c r="BA113" s="2182"/>
      <c r="BB113" s="2221"/>
      <c r="BC113" s="2221" t="str">
        <f t="shared" si="5"/>
        <v>Наименование тарифа</v>
      </c>
      <c r="BD113" s="2221"/>
      <c r="BE113" s="2221"/>
    </row>
    <row r="114" spans="1:57" s="4387" customFormat="1" ht="21" customHeight="1">
      <c r="A114" s="1869"/>
      <c r="B114" s="1869" t="s">
        <v>291</v>
      </c>
      <c r="C114" s="1869"/>
      <c r="D114" s="1869"/>
      <c r="E114" s="5345" t="s">
        <v>86</v>
      </c>
      <c r="F114" s="5344">
        <v>1</v>
      </c>
      <c r="G114" s="1869"/>
      <c r="H114" s="1869"/>
      <c r="I114" s="1869"/>
      <c r="J114" s="1869"/>
      <c r="K114" s="1869"/>
      <c r="L114" s="1869"/>
      <c r="M114" s="4082"/>
      <c r="N114" s="4083"/>
      <c r="O114" s="4083"/>
      <c r="P114" s="4083"/>
      <c r="Q114" s="2214"/>
      <c r="R114" s="2215"/>
      <c r="S114" s="2138"/>
      <c r="T114" s="2216"/>
      <c r="U114" s="2217" t="str">
        <f>INDEX(PT_DIFFERENTIATION_NUM_TER,MATCH(B114,PT_DIFFERENTIATION_TER_ID,0))</f>
        <v>5.1</v>
      </c>
      <c r="V114" s="2218" t="s">
        <v>516</v>
      </c>
      <c r="W114" s="2219"/>
      <c r="X114" s="5300"/>
      <c r="Y114" s="5301"/>
      <c r="Z114" s="5301"/>
      <c r="AA114" s="5301"/>
      <c r="AB114" s="5301"/>
      <c r="AC114" s="5301"/>
      <c r="AD114" s="5301"/>
      <c r="AE114" s="5301"/>
      <c r="AF114" s="5302"/>
      <c r="AG114" s="5300" t="str">
        <f>INDEX(PT_DIFFERENTIATION_TER,MATCH(B114,PT_DIFFERENTIATION_TER_ID,0))</f>
        <v>Территория 1</v>
      </c>
      <c r="AH114" s="5301"/>
      <c r="AI114" s="5301"/>
      <c r="AJ114" s="5301"/>
      <c r="AK114" s="5301"/>
      <c r="AL114" s="5301"/>
      <c r="AM114" s="5301"/>
      <c r="AN114" s="5301"/>
      <c r="AO114" s="5301"/>
      <c r="AP114" s="5300"/>
      <c r="AQ114" s="5301"/>
      <c r="AR114" s="5301"/>
      <c r="AS114" s="5301"/>
      <c r="AT114" s="5301"/>
      <c r="AU114" s="5301"/>
      <c r="AV114" s="5301"/>
      <c r="AW114" s="5301"/>
      <c r="AX114" s="5302"/>
      <c r="AY114" s="5302"/>
      <c r="AZ114" s="2220" t="s">
        <v>517</v>
      </c>
      <c r="BA114" s="2182"/>
      <c r="BB114" s="2221"/>
      <c r="BC114" s="2221" t="str">
        <f t="shared" si="5"/>
        <v>Территория действия тарифа</v>
      </c>
      <c r="BD114" s="2221"/>
      <c r="BE114" s="2221"/>
    </row>
    <row r="115" spans="1:57" s="4388" customFormat="1" ht="22.5" customHeight="1">
      <c r="A115" s="1869"/>
      <c r="B115" s="1869"/>
      <c r="C115" s="1869" t="s">
        <v>292</v>
      </c>
      <c r="D115" s="1869"/>
      <c r="E115" s="5345" t="s">
        <v>86</v>
      </c>
      <c r="F115" s="5345"/>
      <c r="G115" s="5344">
        <v>1</v>
      </c>
      <c r="H115" s="1869"/>
      <c r="I115" s="1869"/>
      <c r="J115" s="1869"/>
      <c r="K115" s="1869"/>
      <c r="L115" s="1869"/>
      <c r="M115" s="4082"/>
      <c r="N115" s="4083"/>
      <c r="O115" s="4083"/>
      <c r="P115" s="4083"/>
      <c r="Q115" s="2223"/>
      <c r="R115" s="2215"/>
      <c r="S115" s="2138"/>
      <c r="T115" s="2216"/>
      <c r="U115" s="2217" t="str">
        <f>INDEX(PT_DIFFERENTIATION_NUM_CS,MATCH(C115,PT_DIFFERENTIATION_CS_ID,0))</f>
        <v>5.1.1</v>
      </c>
      <c r="V115" s="2224" t="s">
        <v>518</v>
      </c>
      <c r="W115" s="2219"/>
      <c r="X115" s="5300"/>
      <c r="Y115" s="5301"/>
      <c r="Z115" s="5301"/>
      <c r="AA115" s="5301"/>
      <c r="AB115" s="5301"/>
      <c r="AC115" s="5301"/>
      <c r="AD115" s="5301"/>
      <c r="AE115" s="5301"/>
      <c r="AF115" s="5302"/>
      <c r="AG115" s="5300" t="str">
        <f>INDEX(PT_DIFFERENTIATION_CS,MATCH(C115,PT_DIFFERENTIATION_CS_ID,0))</f>
        <v xml:space="preserve">открытая система теплоснабжения г. Апатиты
</v>
      </c>
      <c r="AH115" s="5301"/>
      <c r="AI115" s="5301"/>
      <c r="AJ115" s="5301"/>
      <c r="AK115" s="5301"/>
      <c r="AL115" s="5301"/>
      <c r="AM115" s="5301"/>
      <c r="AN115" s="5301"/>
      <c r="AO115" s="5301"/>
      <c r="AP115" s="5300"/>
      <c r="AQ115" s="5301"/>
      <c r="AR115" s="5301"/>
      <c r="AS115" s="5301"/>
      <c r="AT115" s="5301"/>
      <c r="AU115" s="5301"/>
      <c r="AV115" s="5301"/>
      <c r="AW115" s="5301"/>
      <c r="AX115" s="5302"/>
      <c r="AY115" s="5302"/>
      <c r="AZ115" s="2220" t="s">
        <v>519</v>
      </c>
      <c r="BA115" s="2182"/>
      <c r="BB115" s="2221"/>
      <c r="BC115" s="2221" t="str">
        <f t="shared" si="5"/>
        <v xml:space="preserve">Наименование системы теплоснабжения </v>
      </c>
      <c r="BD115" s="2221"/>
      <c r="BE115" s="2221"/>
    </row>
    <row r="116" spans="1:57" s="4389" customFormat="1" ht="21" customHeight="1">
      <c r="A116" s="1869"/>
      <c r="B116" s="1869"/>
      <c r="C116" s="1869"/>
      <c r="D116" s="1869" t="s">
        <v>293</v>
      </c>
      <c r="E116" s="5345" t="s">
        <v>86</v>
      </c>
      <c r="F116" s="5345"/>
      <c r="G116" s="5345"/>
      <c r="H116" s="5344">
        <v>1</v>
      </c>
      <c r="I116" s="1869"/>
      <c r="J116" s="1869"/>
      <c r="K116" s="1869"/>
      <c r="L116" s="1869"/>
      <c r="M116" s="4082"/>
      <c r="N116" s="4083"/>
      <c r="O116" s="4083"/>
      <c r="P116" s="4083"/>
      <c r="Q116" s="2223"/>
      <c r="R116" s="2215"/>
      <c r="S116" s="2138"/>
      <c r="T116" s="2216"/>
      <c r="U116" s="2217" t="str">
        <f>INDEX(PT_DIFFERENTIATION_NUM_IST_TE,MATCH(D116,PT_DIFFERENTIATION_IST_TE_ID,0))</f>
        <v>5.1.1.1</v>
      </c>
      <c r="V116" s="2226" t="s">
        <v>520</v>
      </c>
      <c r="W116" s="2219"/>
      <c r="X116" s="5300"/>
      <c r="Y116" s="5301"/>
      <c r="Z116" s="5301"/>
      <c r="AA116" s="5301"/>
      <c r="AB116" s="5301"/>
      <c r="AC116" s="5301"/>
      <c r="AD116" s="5301"/>
      <c r="AE116" s="5301"/>
      <c r="AF116" s="5302"/>
      <c r="AG116" s="5300" t="str">
        <f>INDEX(PT_DIFFERENTIATION_IST_TE,MATCH(D116,PT_DIFFERENTIATION_IST_TE_ID,0))</f>
        <v>Апатитская ТЭЦ</v>
      </c>
      <c r="AH116" s="5301"/>
      <c r="AI116" s="5301"/>
      <c r="AJ116" s="5301"/>
      <c r="AK116" s="5301"/>
      <c r="AL116" s="5301"/>
      <c r="AM116" s="5301"/>
      <c r="AN116" s="5301"/>
      <c r="AO116" s="5301"/>
      <c r="AP116" s="5300"/>
      <c r="AQ116" s="5301"/>
      <c r="AR116" s="5301"/>
      <c r="AS116" s="5301"/>
      <c r="AT116" s="5301"/>
      <c r="AU116" s="5301"/>
      <c r="AV116" s="5301"/>
      <c r="AW116" s="5301"/>
      <c r="AX116" s="5302"/>
      <c r="AY116" s="5302"/>
      <c r="AZ116" s="2220" t="s">
        <v>521</v>
      </c>
      <c r="BA116" s="2182"/>
      <c r="BB116" s="2221"/>
      <c r="BC116" s="2221" t="str">
        <f t="shared" si="5"/>
        <v xml:space="preserve">Источник тепловой энергии  </v>
      </c>
      <c r="BD116" s="2221"/>
      <c r="BE116" s="2221"/>
    </row>
    <row r="117" spans="1:57" s="4390" customFormat="1" ht="14.25" customHeight="1">
      <c r="A117" s="1869"/>
      <c r="B117" s="1869"/>
      <c r="C117" s="1869"/>
      <c r="D117" s="1869"/>
      <c r="E117" s="5345" t="s">
        <v>86</v>
      </c>
      <c r="F117" s="5345"/>
      <c r="G117" s="5345"/>
      <c r="H117" s="5345"/>
      <c r="I117" s="5180" t="str">
        <f>U116&amp;".1"</f>
        <v>5.1.1.1.1</v>
      </c>
      <c r="J117" s="1869"/>
      <c r="K117" s="1869"/>
      <c r="L117" s="1869"/>
      <c r="M117" s="4082" t="s">
        <v>522</v>
      </c>
      <c r="N117" s="2138"/>
      <c r="O117" s="2344"/>
      <c r="P117" s="2344"/>
      <c r="Q117" s="5313">
        <v>1</v>
      </c>
      <c r="R117" s="2229"/>
      <c r="S117" s="2229"/>
      <c r="T117" s="2230"/>
      <c r="U117" s="3785"/>
      <c r="V117" s="3786"/>
      <c r="W117" s="3787"/>
      <c r="X117" s="5341"/>
      <c r="Y117" s="5342"/>
      <c r="Z117" s="5342"/>
      <c r="AA117" s="5342"/>
      <c r="AB117" s="5342"/>
      <c r="AC117" s="5342"/>
      <c r="AD117" s="5342"/>
      <c r="AE117" s="5342"/>
      <c r="AF117" s="5343"/>
      <c r="AG117" s="5341"/>
      <c r="AH117" s="5342"/>
      <c r="AI117" s="5342"/>
      <c r="AJ117" s="5342"/>
      <c r="AK117" s="5342"/>
      <c r="AL117" s="5342"/>
      <c r="AM117" s="5342"/>
      <c r="AN117" s="5342"/>
      <c r="AO117" s="5342"/>
      <c r="AP117" s="5341"/>
      <c r="AQ117" s="5342"/>
      <c r="AR117" s="5342"/>
      <c r="AS117" s="5342"/>
      <c r="AT117" s="5342"/>
      <c r="AU117" s="5342"/>
      <c r="AV117" s="5342"/>
      <c r="AW117" s="5342"/>
      <c r="AX117" s="5343"/>
      <c r="AY117" s="5343"/>
      <c r="AZ117" s="3788"/>
      <c r="BA117" s="2182"/>
      <c r="BB117" s="2221"/>
      <c r="BC117" s="2221" t="str">
        <f t="shared" si="5"/>
        <v/>
      </c>
      <c r="BD117" s="2221"/>
      <c r="BE117" s="2221"/>
    </row>
    <row r="118" spans="1:57" s="4391" customFormat="1" ht="21" customHeight="1">
      <c r="A118" s="1869"/>
      <c r="B118" s="1869"/>
      <c r="C118" s="1869"/>
      <c r="D118" s="1869"/>
      <c r="E118" s="5345" t="s">
        <v>86</v>
      </c>
      <c r="F118" s="5345"/>
      <c r="G118" s="5345"/>
      <c r="H118" s="5345"/>
      <c r="I118" s="5151"/>
      <c r="J118" s="5180" t="str">
        <f>I117&amp;".1"</f>
        <v>5.1.1.1.1.1</v>
      </c>
      <c r="K118" s="1869"/>
      <c r="L118" s="1869"/>
      <c r="M118" s="4082" t="s">
        <v>525</v>
      </c>
      <c r="N118" s="2138"/>
      <c r="O118" s="2138"/>
      <c r="P118" s="2344"/>
      <c r="Q118" s="5313"/>
      <c r="R118" s="5313">
        <v>1</v>
      </c>
      <c r="S118" s="2182"/>
      <c r="T118" s="2233"/>
      <c r="U118" s="2217" t="str">
        <f>$J118</f>
        <v>5.1.1.1.1.1</v>
      </c>
      <c r="V118" s="2234" t="s">
        <v>526</v>
      </c>
      <c r="W118" s="2219"/>
      <c r="X118" s="5303"/>
      <c r="Y118" s="5304"/>
      <c r="Z118" s="5304"/>
      <c r="AA118" s="5304"/>
      <c r="AB118" s="5304"/>
      <c r="AC118" s="5296"/>
      <c r="AD118" s="5296"/>
      <c r="AE118" s="5296"/>
      <c r="AF118" s="5346"/>
      <c r="AG118" s="5303" t="s">
        <v>567</v>
      </c>
      <c r="AH118" s="5304"/>
      <c r="AI118" s="5304"/>
      <c r="AJ118" s="5304"/>
      <c r="AK118" s="5304"/>
      <c r="AL118" s="5304"/>
      <c r="AM118" s="5304"/>
      <c r="AN118" s="5304"/>
      <c r="AO118" s="5304"/>
      <c r="AP118" s="5303"/>
      <c r="AQ118" s="5304"/>
      <c r="AR118" s="5304"/>
      <c r="AS118" s="5304"/>
      <c r="AT118" s="5304"/>
      <c r="AU118" s="5296"/>
      <c r="AV118" s="5296"/>
      <c r="AW118" s="5296"/>
      <c r="AX118" s="5346"/>
      <c r="AY118" s="5305"/>
      <c r="AZ118" s="2220" t="s">
        <v>527</v>
      </c>
      <c r="BA118" s="2182"/>
      <c r="BB118" s="2221"/>
      <c r="BC118" s="2221" t="str">
        <f t="shared" si="5"/>
        <v>Группа потребителей</v>
      </c>
      <c r="BD118" s="2221"/>
      <c r="BE118" s="2221"/>
    </row>
    <row r="119" spans="1:57" s="4392" customFormat="1" ht="21" customHeight="1">
      <c r="A119" s="1869"/>
      <c r="B119" s="1869"/>
      <c r="C119" s="1869"/>
      <c r="D119" s="1869"/>
      <c r="E119" s="5345" t="s">
        <v>86</v>
      </c>
      <c r="F119" s="5345"/>
      <c r="G119" s="5345"/>
      <c r="H119" s="5345"/>
      <c r="I119" s="5151"/>
      <c r="J119" s="5151"/>
      <c r="K119" s="5180" t="str">
        <f>J118&amp;".1"</f>
        <v>5.1.1.1.1.1.1</v>
      </c>
      <c r="L119" s="2214"/>
      <c r="M119" s="4082" t="s">
        <v>528</v>
      </c>
      <c r="N119" s="2138"/>
      <c r="O119" s="2138"/>
      <c r="P119" s="2138"/>
      <c r="Q119" s="5313"/>
      <c r="R119" s="5313"/>
      <c r="S119" s="5313">
        <v>1</v>
      </c>
      <c r="T119" s="2233"/>
      <c r="U119" s="2217" t="str">
        <f>$K119</f>
        <v>5.1.1.1.1.1.1</v>
      </c>
      <c r="V119" s="2236" t="s">
        <v>584</v>
      </c>
      <c r="W119" s="2219"/>
      <c r="X119" s="2139"/>
      <c r="Y119" s="2139"/>
      <c r="Z119" s="2139"/>
      <c r="AA119" s="2139"/>
      <c r="AB119" s="4030"/>
      <c r="AC119" s="5317"/>
      <c r="AD119" s="5161" t="s">
        <v>62</v>
      </c>
      <c r="AE119" s="5317"/>
      <c r="AF119" s="5161" t="s">
        <v>62</v>
      </c>
      <c r="AG119" s="4090"/>
      <c r="AH119" s="2139">
        <v>30.95</v>
      </c>
      <c r="AI119" s="2139">
        <v>3051.62</v>
      </c>
      <c r="AJ119" s="2139"/>
      <c r="AK119" s="2141"/>
      <c r="AL119" s="5317">
        <v>45658.590046296296</v>
      </c>
      <c r="AM119" s="5161" t="s">
        <v>62</v>
      </c>
      <c r="AN119" s="5317">
        <v>45838.590092592596</v>
      </c>
      <c r="AO119" s="5161" t="s">
        <v>62</v>
      </c>
      <c r="AP119" s="2139"/>
      <c r="AQ119" s="2139">
        <v>38.69</v>
      </c>
      <c r="AR119" s="2139">
        <v>3573.45</v>
      </c>
      <c r="AS119" s="2139"/>
      <c r="AT119" s="4030"/>
      <c r="AU119" s="5317">
        <v>45839.590312499997</v>
      </c>
      <c r="AV119" s="5161" t="s">
        <v>62</v>
      </c>
      <c r="AW119" s="5317">
        <v>46022.590416666666</v>
      </c>
      <c r="AX119" s="5161" t="s">
        <v>62</v>
      </c>
      <c r="AY119" s="2140"/>
      <c r="AZ119" s="4091" t="s">
        <v>572</v>
      </c>
      <c r="BA119" s="2182" t="e">
        <f ca="1">STRCHECKDATE(X121:AY121)</f>
        <v>#NAME?</v>
      </c>
      <c r="BB119" s="2221"/>
      <c r="BC119" s="2221" t="str">
        <f t="shared" si="5"/>
        <v>горячая вода в системе централизованного теплоснабжения на горячее водоснабжение</v>
      </c>
      <c r="BD119" s="2221"/>
      <c r="BE119" s="2221"/>
    </row>
    <row r="120" spans="1:57" s="4393" customFormat="1" ht="21" customHeight="1">
      <c r="A120" s="1869"/>
      <c r="B120" s="1869"/>
      <c r="C120" s="1869"/>
      <c r="D120" s="1869"/>
      <c r="E120" s="5345" t="s">
        <v>86</v>
      </c>
      <c r="F120" s="5345"/>
      <c r="G120" s="5345"/>
      <c r="H120" s="5345"/>
      <c r="I120" s="5151"/>
      <c r="J120" s="5151"/>
      <c r="K120" s="5151"/>
      <c r="L120" s="5180" t="str">
        <f>K119&amp;".1"</f>
        <v>5.1.1.1.1.1.1.1</v>
      </c>
      <c r="M120" s="4082"/>
      <c r="N120" s="2138"/>
      <c r="O120" s="2138"/>
      <c r="P120" s="2138"/>
      <c r="Q120" s="5313"/>
      <c r="R120" s="5313"/>
      <c r="S120" s="5313"/>
      <c r="T120" s="2233"/>
      <c r="U120" s="2217" t="str">
        <f>$L120</f>
        <v>5.1.1.1.1.1.1.1</v>
      </c>
      <c r="V120" s="4093"/>
      <c r="W120" s="2219"/>
      <c r="X120" s="2140"/>
      <c r="Y120" s="2139"/>
      <c r="Z120" s="2139"/>
      <c r="AA120" s="2139"/>
      <c r="AB120" s="4030"/>
      <c r="AC120" s="5318"/>
      <c r="AD120" s="5161"/>
      <c r="AE120" s="5318"/>
      <c r="AF120" s="5161"/>
      <c r="AG120" s="4090"/>
      <c r="AH120" s="2139"/>
      <c r="AI120" s="2139"/>
      <c r="AJ120" s="2139"/>
      <c r="AK120" s="2141"/>
      <c r="AL120" s="5318"/>
      <c r="AM120" s="5161"/>
      <c r="AN120" s="5318"/>
      <c r="AO120" s="5161"/>
      <c r="AP120" s="2140"/>
      <c r="AQ120" s="2139"/>
      <c r="AR120" s="2139"/>
      <c r="AS120" s="2139"/>
      <c r="AT120" s="4030"/>
      <c r="AU120" s="5318"/>
      <c r="AV120" s="5161"/>
      <c r="AW120" s="5318"/>
      <c r="AX120" s="5161"/>
      <c r="AY120" s="2140"/>
      <c r="AZ120" s="5309" t="s">
        <v>573</v>
      </c>
      <c r="BA120" s="2182"/>
      <c r="BB120" s="2221"/>
      <c r="BC120" s="2221"/>
      <c r="BD120" s="2221"/>
      <c r="BE120" s="2221"/>
    </row>
    <row r="121" spans="1:57" s="4394" customFormat="1" ht="14.25" customHeight="1">
      <c r="A121" s="1869"/>
      <c r="B121" s="1869"/>
      <c r="C121" s="1869"/>
      <c r="D121" s="1869"/>
      <c r="E121" s="5345" t="s">
        <v>86</v>
      </c>
      <c r="F121" s="5345"/>
      <c r="G121" s="5345"/>
      <c r="H121" s="5345"/>
      <c r="I121" s="5151"/>
      <c r="J121" s="5151"/>
      <c r="K121" s="5151"/>
      <c r="L121" s="5180"/>
      <c r="M121" s="4082"/>
      <c r="N121" s="2138"/>
      <c r="O121" s="2138"/>
      <c r="P121" s="2138"/>
      <c r="Q121" s="5313"/>
      <c r="R121" s="5313"/>
      <c r="S121" s="5313"/>
      <c r="T121" s="2233"/>
      <c r="U121" s="2238"/>
      <c r="V121" s="2219"/>
      <c r="W121" s="2219"/>
      <c r="X121" s="2140"/>
      <c r="Y121" s="2140"/>
      <c r="Z121" s="2140"/>
      <c r="AA121" s="2140"/>
      <c r="AB121" s="4031" t="str">
        <f>AC119&amp;"-"&amp;AE119</f>
        <v>-</v>
      </c>
      <c r="AC121" s="5318"/>
      <c r="AD121" s="5161"/>
      <c r="AE121" s="5318"/>
      <c r="AF121" s="5161"/>
      <c r="AG121" s="4095"/>
      <c r="AH121" s="2140"/>
      <c r="AI121" s="2140"/>
      <c r="AJ121" s="2140"/>
      <c r="AK121" s="2142" t="str">
        <f>AL119&amp;"-"&amp;AN119</f>
        <v>45658,5900462963-45838,5900925926</v>
      </c>
      <c r="AL121" s="5318"/>
      <c r="AM121" s="5161"/>
      <c r="AN121" s="5318"/>
      <c r="AO121" s="5161"/>
      <c r="AP121" s="2140"/>
      <c r="AQ121" s="2140"/>
      <c r="AR121" s="2140"/>
      <c r="AS121" s="2140"/>
      <c r="AT121" s="4031" t="str">
        <f>AU119&amp;"-"&amp;AW119</f>
        <v>45839,5903125-46022,5904166667</v>
      </c>
      <c r="AU121" s="5318"/>
      <c r="AV121" s="5161"/>
      <c r="AW121" s="5318"/>
      <c r="AX121" s="5161"/>
      <c r="AY121" s="2140"/>
      <c r="AZ121" s="5310"/>
      <c r="BA121" s="2182"/>
      <c r="BB121" s="2221"/>
      <c r="BC121" s="2221" t="str">
        <f>IF(V121="","",V121)</f>
        <v/>
      </c>
      <c r="BD121" s="2221"/>
      <c r="BE121" s="2221"/>
    </row>
    <row r="122" spans="1:57" s="4395" customFormat="1" ht="11.25" customHeight="1">
      <c r="A122" s="1869"/>
      <c r="B122" s="1869"/>
      <c r="C122" s="1869"/>
      <c r="D122" s="1869"/>
      <c r="E122" s="5345" t="s">
        <v>86</v>
      </c>
      <c r="F122" s="5345"/>
      <c r="G122" s="5345"/>
      <c r="H122" s="5345"/>
      <c r="I122" s="5151"/>
      <c r="J122" s="5151"/>
      <c r="K122" s="5180"/>
      <c r="L122" s="1869"/>
      <c r="M122" s="4082"/>
      <c r="N122" s="2138"/>
      <c r="O122" s="2138"/>
      <c r="P122" s="2138"/>
      <c r="Q122" s="5313"/>
      <c r="R122" s="5313"/>
      <c r="S122" s="5313"/>
      <c r="T122" s="2233"/>
      <c r="U122" s="4396"/>
      <c r="V122" s="4397" t="s">
        <v>574</v>
      </c>
      <c r="W122" s="4398"/>
      <c r="X122" s="4399"/>
      <c r="Y122" s="4400"/>
      <c r="Z122" s="4401"/>
      <c r="AA122" s="4402"/>
      <c r="AB122" s="4403"/>
      <c r="AC122" s="5318"/>
      <c r="AD122" s="5161"/>
      <c r="AE122" s="5318"/>
      <c r="AF122" s="5161"/>
      <c r="AG122" s="4404"/>
      <c r="AH122" s="4405"/>
      <c r="AI122" s="4406"/>
      <c r="AJ122" s="4407"/>
      <c r="AK122" s="4408"/>
      <c r="AL122" s="5318"/>
      <c r="AM122" s="5161"/>
      <c r="AN122" s="5318"/>
      <c r="AO122" s="5161"/>
      <c r="AP122" s="4409"/>
      <c r="AQ122" s="4410"/>
      <c r="AR122" s="4411"/>
      <c r="AS122" s="4412"/>
      <c r="AT122" s="4413"/>
      <c r="AU122" s="5318"/>
      <c r="AV122" s="5161"/>
      <c r="AW122" s="5318"/>
      <c r="AX122" s="5161"/>
      <c r="AY122" s="4414"/>
      <c r="AZ122" s="5310"/>
      <c r="BA122" s="2182"/>
      <c r="BB122" s="2221"/>
      <c r="BC122" s="2221"/>
      <c r="BD122" s="2221"/>
      <c r="BE122" s="2221"/>
    </row>
    <row r="123" spans="1:57" s="4415" customFormat="1" ht="15" customHeight="1">
      <c r="A123" s="1869"/>
      <c r="B123" s="1869"/>
      <c r="C123" s="1869"/>
      <c r="D123" s="1869"/>
      <c r="E123" s="5345" t="s">
        <v>86</v>
      </c>
      <c r="F123" s="5345"/>
      <c r="G123" s="5345"/>
      <c r="H123" s="5345"/>
      <c r="I123" s="5151"/>
      <c r="J123" s="5180"/>
      <c r="K123" s="1869"/>
      <c r="L123" s="1869"/>
      <c r="M123" s="4082"/>
      <c r="N123" s="2138"/>
      <c r="O123" s="2138"/>
      <c r="P123" s="2344"/>
      <c r="Q123" s="5313"/>
      <c r="R123" s="5313"/>
      <c r="S123" s="2229"/>
      <c r="T123" s="2230"/>
      <c r="U123" s="4416"/>
      <c r="V123" s="4417" t="s">
        <v>530</v>
      </c>
      <c r="W123" s="4418"/>
      <c r="X123" s="4419"/>
      <c r="Y123" s="4420"/>
      <c r="Z123" s="4421"/>
      <c r="AA123" s="4422"/>
      <c r="AB123" s="4423"/>
      <c r="AC123" s="4424"/>
      <c r="AD123" s="4425"/>
      <c r="AE123" s="4426"/>
      <c r="AF123" s="4427"/>
      <c r="AG123" s="4428"/>
      <c r="AH123" s="4429"/>
      <c r="AI123" s="4430"/>
      <c r="AJ123" s="4431"/>
      <c r="AK123" s="4432"/>
      <c r="AL123" s="4433"/>
      <c r="AM123" s="4434"/>
      <c r="AN123" s="4435"/>
      <c r="AO123" s="4436"/>
      <c r="AP123" s="4437"/>
      <c r="AQ123" s="4438"/>
      <c r="AR123" s="4439"/>
      <c r="AS123" s="4440"/>
      <c r="AT123" s="4441"/>
      <c r="AU123" s="4442"/>
      <c r="AV123" s="4443"/>
      <c r="AW123" s="4444"/>
      <c r="AX123" s="4445"/>
      <c r="AY123" s="4446"/>
      <c r="AZ123" s="5311"/>
      <c r="BA123" s="2182"/>
      <c r="BB123" s="2221"/>
      <c r="BC123" s="2221" t="str">
        <f t="shared" ref="BC123:BC135" si="6">IF(V123="","",V123)</f>
        <v>Добавить вид теплоносителя (параметры теплоносителя)</v>
      </c>
      <c r="BD123" s="2221"/>
      <c r="BE123" s="2221"/>
    </row>
    <row r="124" spans="1:57" s="4447" customFormat="1" ht="11.25" customHeight="1">
      <c r="A124" s="1869"/>
      <c r="B124" s="1869"/>
      <c r="C124" s="1869"/>
      <c r="D124" s="1869"/>
      <c r="E124" s="5345" t="s">
        <v>86</v>
      </c>
      <c r="F124" s="5345"/>
      <c r="G124" s="5345"/>
      <c r="H124" s="5345"/>
      <c r="I124" s="5180"/>
      <c r="J124" s="1869"/>
      <c r="K124" s="1869"/>
      <c r="L124" s="1869"/>
      <c r="M124" s="4082"/>
      <c r="N124" s="2138"/>
      <c r="O124" s="2344"/>
      <c r="P124" s="2344"/>
      <c r="Q124" s="5313"/>
      <c r="R124" s="2229"/>
      <c r="S124" s="2229"/>
      <c r="T124" s="2230"/>
      <c r="U124" s="4448"/>
      <c r="V124" s="4449" t="s">
        <v>531</v>
      </c>
      <c r="W124" s="4450"/>
      <c r="X124" s="4451"/>
      <c r="Y124" s="4452"/>
      <c r="Z124" s="4453"/>
      <c r="AA124" s="4454"/>
      <c r="AB124" s="4455"/>
      <c r="AC124" s="4456"/>
      <c r="AD124" s="4457"/>
      <c r="AE124" s="4458"/>
      <c r="AF124" s="4459"/>
      <c r="AG124" s="4460"/>
      <c r="AH124" s="4461"/>
      <c r="AI124" s="4462"/>
      <c r="AJ124" s="4463"/>
      <c r="AK124" s="4464"/>
      <c r="AL124" s="4465"/>
      <c r="AM124" s="4466"/>
      <c r="AN124" s="4467"/>
      <c r="AO124" s="4468"/>
      <c r="AP124" s="4469"/>
      <c r="AQ124" s="4470"/>
      <c r="AR124" s="4471"/>
      <c r="AS124" s="4472"/>
      <c r="AT124" s="4473"/>
      <c r="AU124" s="4474"/>
      <c r="AV124" s="4475"/>
      <c r="AW124" s="4476"/>
      <c r="AX124" s="4477"/>
      <c r="AY124" s="4478"/>
      <c r="AZ124" s="4479"/>
      <c r="BA124" s="2182"/>
      <c r="BB124" s="2221"/>
      <c r="BC124" s="2221" t="str">
        <f t="shared" si="6"/>
        <v>Добавить группу потребителей</v>
      </c>
      <c r="BD124" s="2221"/>
      <c r="BE124" s="2221"/>
    </row>
    <row r="125" spans="1:57" s="4480" customFormat="1" ht="14.25" customHeight="1">
      <c r="A125" s="1869"/>
      <c r="B125" s="1869"/>
      <c r="C125" s="1869"/>
      <c r="D125" s="1869"/>
      <c r="E125" s="5345" t="s">
        <v>86</v>
      </c>
      <c r="F125" s="5345"/>
      <c r="G125" s="5345"/>
      <c r="H125" s="5344"/>
      <c r="I125" s="1869"/>
      <c r="J125" s="1869"/>
      <c r="K125" s="1869"/>
      <c r="L125" s="1869"/>
      <c r="M125" s="4082"/>
      <c r="N125" s="4083"/>
      <c r="O125" s="4083"/>
      <c r="P125" s="2138"/>
      <c r="Q125" s="2299"/>
      <c r="R125" s="2300"/>
      <c r="S125" s="2301"/>
      <c r="T125" s="2299"/>
      <c r="U125" s="3852"/>
      <c r="V125" s="3853"/>
      <c r="W125" s="3763"/>
      <c r="X125" s="3763"/>
      <c r="Y125" s="3763"/>
      <c r="Z125" s="3763"/>
      <c r="AA125" s="3763"/>
      <c r="AB125" s="3763"/>
      <c r="AC125" s="3763"/>
      <c r="AD125" s="3763"/>
      <c r="AE125" s="3763"/>
      <c r="AF125" s="3763"/>
      <c r="AG125" s="3763"/>
      <c r="AH125" s="3763"/>
      <c r="AI125" s="3763"/>
      <c r="AJ125" s="3763"/>
      <c r="AK125" s="3763"/>
      <c r="AL125" s="3763"/>
      <c r="AM125" s="3763"/>
      <c r="AN125" s="3763"/>
      <c r="AO125" s="3763"/>
      <c r="AP125" s="3763"/>
      <c r="AQ125" s="3763"/>
      <c r="AR125" s="3763"/>
      <c r="AS125" s="3763"/>
      <c r="AT125" s="3763"/>
      <c r="AU125" s="3763"/>
      <c r="AV125" s="3763"/>
      <c r="AW125" s="3763"/>
      <c r="AX125" s="3763"/>
      <c r="AY125" s="3763"/>
      <c r="AZ125" s="3854"/>
      <c r="BA125" s="2182"/>
      <c r="BB125" s="2221"/>
      <c r="BC125" s="2221" t="str">
        <f t="shared" si="6"/>
        <v/>
      </c>
      <c r="BD125" s="2221"/>
      <c r="BE125" s="2221"/>
    </row>
    <row r="126" spans="1:57" s="4481" customFormat="1" ht="14.25" customHeight="1">
      <c r="A126" s="4183"/>
      <c r="B126" s="4183"/>
      <c r="C126" s="4183"/>
      <c r="D126" s="4183"/>
      <c r="E126" s="5345" t="s">
        <v>86</v>
      </c>
      <c r="F126" s="5345"/>
      <c r="G126" s="5344"/>
      <c r="H126" s="4183"/>
      <c r="I126" s="4183"/>
      <c r="J126" s="4183"/>
      <c r="K126" s="4183"/>
      <c r="L126" s="4183"/>
      <c r="M126" s="4184"/>
      <c r="N126" s="4185"/>
      <c r="O126" s="4185"/>
      <c r="P126" s="4186"/>
      <c r="Q126" s="2335"/>
      <c r="R126" s="2336"/>
      <c r="S126" s="2335"/>
      <c r="T126" s="2335"/>
      <c r="U126" s="2337"/>
      <c r="V126" s="2338" t="s">
        <v>168</v>
      </c>
      <c r="W126" s="2168"/>
      <c r="X126" s="2168"/>
      <c r="Y126" s="2168"/>
      <c r="Z126" s="2168"/>
      <c r="AA126" s="2168"/>
      <c r="AB126" s="2168"/>
      <c r="AC126" s="2168"/>
      <c r="AD126" s="2168"/>
      <c r="AE126" s="2168"/>
      <c r="AF126" s="2168"/>
      <c r="AG126" s="2168"/>
      <c r="AH126" s="2168"/>
      <c r="AI126" s="2168"/>
      <c r="AJ126" s="2168"/>
      <c r="AK126" s="2168"/>
      <c r="AL126" s="2168"/>
      <c r="AM126" s="2168"/>
      <c r="AN126" s="2168"/>
      <c r="AO126" s="2168"/>
      <c r="AP126" s="2168"/>
      <c r="AQ126" s="2168"/>
      <c r="AR126" s="2168"/>
      <c r="AS126" s="2168"/>
      <c r="AT126" s="2168"/>
      <c r="AU126" s="2168"/>
      <c r="AV126" s="2168"/>
      <c r="AW126" s="2168"/>
      <c r="AX126" s="2168"/>
      <c r="AY126" s="2168"/>
      <c r="AZ126" s="2168"/>
      <c r="BA126" s="2182"/>
      <c r="BB126" s="2221"/>
      <c r="BC126" s="2221" t="str">
        <f t="shared" si="6"/>
        <v>Добавить источник для дифференциации</v>
      </c>
      <c r="BD126" s="2221"/>
      <c r="BE126" s="2221"/>
    </row>
    <row r="127" spans="1:57" s="4482" customFormat="1" ht="14.25" customHeight="1">
      <c r="A127" s="4183"/>
      <c r="B127" s="4183"/>
      <c r="C127" s="4183"/>
      <c r="D127" s="4183"/>
      <c r="E127" s="5345" t="s">
        <v>86</v>
      </c>
      <c r="F127" s="5344"/>
      <c r="G127" s="4183"/>
      <c r="H127" s="4183"/>
      <c r="I127" s="4183"/>
      <c r="J127" s="4183"/>
      <c r="K127" s="4183"/>
      <c r="L127" s="4183"/>
      <c r="M127" s="4184"/>
      <c r="N127" s="4188"/>
      <c r="O127" s="4188"/>
      <c r="P127" s="4186"/>
      <c r="Q127" s="2335"/>
      <c r="R127" s="2336"/>
      <c r="S127" s="2335"/>
      <c r="T127" s="2335"/>
      <c r="U127" s="2341"/>
      <c r="V127" s="2342" t="s">
        <v>169</v>
      </c>
      <c r="W127" s="2169"/>
      <c r="X127" s="2169"/>
      <c r="Y127" s="2169"/>
      <c r="Z127" s="2169"/>
      <c r="AA127" s="2169"/>
      <c r="AB127" s="2169"/>
      <c r="AC127" s="2169"/>
      <c r="AD127" s="2169"/>
      <c r="AE127" s="2169"/>
      <c r="AF127" s="2169"/>
      <c r="AG127" s="2169"/>
      <c r="AH127" s="2169"/>
      <c r="AI127" s="2169"/>
      <c r="AJ127" s="2169"/>
      <c r="AK127" s="2169"/>
      <c r="AL127" s="2169"/>
      <c r="AM127" s="2169"/>
      <c r="AN127" s="2169"/>
      <c r="AO127" s="2169"/>
      <c r="AP127" s="2169"/>
      <c r="AQ127" s="2169"/>
      <c r="AR127" s="2169"/>
      <c r="AS127" s="2169"/>
      <c r="AT127" s="2169"/>
      <c r="AU127" s="2169"/>
      <c r="AV127" s="2169"/>
      <c r="AW127" s="2169"/>
      <c r="AX127" s="2169"/>
      <c r="AY127" s="2169"/>
      <c r="AZ127" s="2169"/>
      <c r="BA127" s="2182"/>
      <c r="BB127" s="2221"/>
      <c r="BC127" s="2221" t="str">
        <f t="shared" si="6"/>
        <v>Добавить централизованную систему для дифференциации</v>
      </c>
      <c r="BD127" s="2221"/>
      <c r="BE127" s="2221"/>
    </row>
    <row r="128" spans="1:57" s="4483" customFormat="1" ht="14.25" customHeight="1">
      <c r="A128" s="4183"/>
      <c r="B128" s="4183"/>
      <c r="C128" s="4183"/>
      <c r="D128" s="4183"/>
      <c r="E128" s="5344" t="s">
        <v>86</v>
      </c>
      <c r="F128" s="4183"/>
      <c r="G128" s="4183"/>
      <c r="H128" s="4183"/>
      <c r="I128" s="4183"/>
      <c r="J128" s="4183"/>
      <c r="K128" s="4183"/>
      <c r="L128" s="4183"/>
      <c r="M128" s="4184"/>
      <c r="N128" s="4188"/>
      <c r="O128" s="4188"/>
      <c r="P128" s="4186"/>
      <c r="Q128" s="2335"/>
      <c r="R128" s="2336"/>
      <c r="S128" s="2335"/>
      <c r="T128" s="2335"/>
      <c r="U128" s="2341"/>
      <c r="V128" s="2445" t="s">
        <v>174</v>
      </c>
      <c r="W128" s="2169"/>
      <c r="X128" s="2169"/>
      <c r="Y128" s="2169"/>
      <c r="Z128" s="2169"/>
      <c r="AA128" s="2169"/>
      <c r="AB128" s="2169"/>
      <c r="AC128" s="2169"/>
      <c r="AD128" s="2169"/>
      <c r="AE128" s="2169"/>
      <c r="AF128" s="2169"/>
      <c r="AG128" s="2169"/>
      <c r="AH128" s="2169"/>
      <c r="AI128" s="2169"/>
      <c r="AJ128" s="2169"/>
      <c r="AK128" s="2169"/>
      <c r="AL128" s="2169"/>
      <c r="AM128" s="2169"/>
      <c r="AN128" s="2169"/>
      <c r="AO128" s="2169"/>
      <c r="AP128" s="2169"/>
      <c r="AQ128" s="2169"/>
      <c r="AR128" s="2169"/>
      <c r="AS128" s="2169"/>
      <c r="AT128" s="2169"/>
      <c r="AU128" s="2169"/>
      <c r="AV128" s="2169"/>
      <c r="AW128" s="2169"/>
      <c r="AX128" s="2169"/>
      <c r="AY128" s="2169"/>
      <c r="AZ128" s="2169"/>
      <c r="BA128" s="2182"/>
      <c r="BB128" s="2221"/>
      <c r="BC128" s="2221" t="str">
        <f t="shared" si="6"/>
        <v>Добавить территорию для дифференциации</v>
      </c>
      <c r="BD128" s="2221"/>
      <c r="BE128" s="2221"/>
    </row>
    <row r="129" spans="1:57" s="4484" customFormat="1" ht="21" customHeight="1">
      <c r="A129" s="1869" t="s">
        <v>295</v>
      </c>
      <c r="B129" s="1869"/>
      <c r="C129" s="1869"/>
      <c r="D129" s="1869"/>
      <c r="E129" s="5344" t="s">
        <v>87</v>
      </c>
      <c r="F129" s="1869"/>
      <c r="G129" s="1869"/>
      <c r="H129" s="1869"/>
      <c r="I129" s="1869"/>
      <c r="J129" s="1869"/>
      <c r="K129" s="1869"/>
      <c r="L129" s="1869"/>
      <c r="M129" s="4082"/>
      <c r="N129" s="4083"/>
      <c r="O129" s="4083"/>
      <c r="P129" s="4083"/>
      <c r="Q129" s="2344"/>
      <c r="R129" s="2299"/>
      <c r="S129" s="2299"/>
      <c r="T129" s="2301"/>
      <c r="U129" s="2217" t="str">
        <f>INDEX(PT_DIFFERENTIATION_NUM_NTAR,MATCH(A129,PT_DIFFERENTIATION_NTAR_ID,0))</f>
        <v>6</v>
      </c>
      <c r="V129" s="2345" t="s">
        <v>127</v>
      </c>
      <c r="W129" s="2219"/>
      <c r="X129" s="5300"/>
      <c r="Y129" s="5301"/>
      <c r="Z129" s="5301"/>
      <c r="AA129" s="5301"/>
      <c r="AB129" s="5301"/>
      <c r="AC129" s="5301"/>
      <c r="AD129" s="5301"/>
      <c r="AE129" s="5301"/>
      <c r="AF129" s="5302"/>
      <c r="AG129" s="5300" t="str">
        <f>INDEX(PT_DIFFERENTIATION_NTAR,MATCH(A129,PT_DIFFERENTIATION_NTAR_ID,0))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AH129" s="5301"/>
      <c r="AI129" s="5301"/>
      <c r="AJ129" s="5301"/>
      <c r="AK129" s="5301"/>
      <c r="AL129" s="5301"/>
      <c r="AM129" s="5301"/>
      <c r="AN129" s="5301"/>
      <c r="AO129" s="5301"/>
      <c r="AP129" s="5300"/>
      <c r="AQ129" s="5301"/>
      <c r="AR129" s="5301"/>
      <c r="AS129" s="5301"/>
      <c r="AT129" s="5301"/>
      <c r="AU129" s="5301"/>
      <c r="AV129" s="5301"/>
      <c r="AW129" s="5301"/>
      <c r="AX129" s="5302"/>
      <c r="AY129" s="5302"/>
      <c r="AZ129" s="2220" t="s">
        <v>515</v>
      </c>
      <c r="BA129" s="2182"/>
      <c r="BB129" s="2221"/>
      <c r="BC129" s="2221" t="str">
        <f t="shared" si="6"/>
        <v>Наименование тарифа</v>
      </c>
      <c r="BD129" s="2221"/>
      <c r="BE129" s="2221"/>
    </row>
    <row r="130" spans="1:57" s="4485" customFormat="1" ht="21" customHeight="1">
      <c r="A130" s="1869"/>
      <c r="B130" s="1869" t="s">
        <v>296</v>
      </c>
      <c r="C130" s="1869"/>
      <c r="D130" s="1869"/>
      <c r="E130" s="5345" t="s">
        <v>115</v>
      </c>
      <c r="F130" s="5344">
        <v>1</v>
      </c>
      <c r="G130" s="1869"/>
      <c r="H130" s="1869"/>
      <c r="I130" s="1869"/>
      <c r="J130" s="1869"/>
      <c r="K130" s="1869"/>
      <c r="L130" s="1869"/>
      <c r="M130" s="4082"/>
      <c r="N130" s="4083"/>
      <c r="O130" s="4083"/>
      <c r="P130" s="4083"/>
      <c r="Q130" s="2214"/>
      <c r="R130" s="2215"/>
      <c r="S130" s="2138"/>
      <c r="T130" s="2216"/>
      <c r="U130" s="2217" t="str">
        <f>INDEX(PT_DIFFERENTIATION_NUM_TER,MATCH(B130,PT_DIFFERENTIATION_TER_ID,0))</f>
        <v>6.1</v>
      </c>
      <c r="V130" s="2218" t="s">
        <v>516</v>
      </c>
      <c r="W130" s="2219"/>
      <c r="X130" s="5300"/>
      <c r="Y130" s="5301"/>
      <c r="Z130" s="5301"/>
      <c r="AA130" s="5301"/>
      <c r="AB130" s="5301"/>
      <c r="AC130" s="5301"/>
      <c r="AD130" s="5301"/>
      <c r="AE130" s="5301"/>
      <c r="AF130" s="5302"/>
      <c r="AG130" s="5300" t="str">
        <f>INDEX(PT_DIFFERENTIATION_TER,MATCH(B130,PT_DIFFERENTIATION_TER_ID,0))</f>
        <v>Территория 2</v>
      </c>
      <c r="AH130" s="5301"/>
      <c r="AI130" s="5301"/>
      <c r="AJ130" s="5301"/>
      <c r="AK130" s="5301"/>
      <c r="AL130" s="5301"/>
      <c r="AM130" s="5301"/>
      <c r="AN130" s="5301"/>
      <c r="AO130" s="5301"/>
      <c r="AP130" s="5300"/>
      <c r="AQ130" s="5301"/>
      <c r="AR130" s="5301"/>
      <c r="AS130" s="5301"/>
      <c r="AT130" s="5301"/>
      <c r="AU130" s="5301"/>
      <c r="AV130" s="5301"/>
      <c r="AW130" s="5301"/>
      <c r="AX130" s="5302"/>
      <c r="AY130" s="5302"/>
      <c r="AZ130" s="2220" t="s">
        <v>517</v>
      </c>
      <c r="BA130" s="2182"/>
      <c r="BB130" s="2221"/>
      <c r="BC130" s="2221" t="str">
        <f t="shared" si="6"/>
        <v>Территория действия тарифа</v>
      </c>
      <c r="BD130" s="2221"/>
      <c r="BE130" s="2221"/>
    </row>
    <row r="131" spans="1:57" s="4486" customFormat="1" ht="22.5" customHeight="1">
      <c r="A131" s="1869"/>
      <c r="B131" s="1869"/>
      <c r="C131" s="1869" t="s">
        <v>297</v>
      </c>
      <c r="D131" s="1869"/>
      <c r="E131" s="5345" t="s">
        <v>115</v>
      </c>
      <c r="F131" s="5345"/>
      <c r="G131" s="5344">
        <v>1</v>
      </c>
      <c r="H131" s="1869"/>
      <c r="I131" s="1869"/>
      <c r="J131" s="1869"/>
      <c r="K131" s="1869"/>
      <c r="L131" s="1869"/>
      <c r="M131" s="4082"/>
      <c r="N131" s="4083"/>
      <c r="O131" s="4083"/>
      <c r="P131" s="4083"/>
      <c r="Q131" s="2223"/>
      <c r="R131" s="2215"/>
      <c r="S131" s="2138"/>
      <c r="T131" s="2216"/>
      <c r="U131" s="2217" t="str">
        <f>INDEX(PT_DIFFERENTIATION_NUM_CS,MATCH(C131,PT_DIFFERENTIATION_CS_ID,0))</f>
        <v>6.1.1</v>
      </c>
      <c r="V131" s="2224" t="s">
        <v>518</v>
      </c>
      <c r="W131" s="2219"/>
      <c r="X131" s="5300"/>
      <c r="Y131" s="5301"/>
      <c r="Z131" s="5301"/>
      <c r="AA131" s="5301"/>
      <c r="AB131" s="5301"/>
      <c r="AC131" s="5301"/>
      <c r="AD131" s="5301"/>
      <c r="AE131" s="5301"/>
      <c r="AF131" s="5302"/>
      <c r="AG131" s="5300" t="str">
        <f>INDEX(PT_DIFFERENTIATION_CS,MATCH(C131,PT_DIFFERENTIATION_CS_ID,0))</f>
        <v>открытая система теплоснабжения г. Кировск</v>
      </c>
      <c r="AH131" s="5301"/>
      <c r="AI131" s="5301"/>
      <c r="AJ131" s="5301"/>
      <c r="AK131" s="5301"/>
      <c r="AL131" s="5301"/>
      <c r="AM131" s="5301"/>
      <c r="AN131" s="5301"/>
      <c r="AO131" s="5301"/>
      <c r="AP131" s="5300"/>
      <c r="AQ131" s="5301"/>
      <c r="AR131" s="5301"/>
      <c r="AS131" s="5301"/>
      <c r="AT131" s="5301"/>
      <c r="AU131" s="5301"/>
      <c r="AV131" s="5301"/>
      <c r="AW131" s="5301"/>
      <c r="AX131" s="5302"/>
      <c r="AY131" s="5302"/>
      <c r="AZ131" s="2220" t="s">
        <v>519</v>
      </c>
      <c r="BA131" s="2182"/>
      <c r="BB131" s="2221"/>
      <c r="BC131" s="2221" t="str">
        <f t="shared" si="6"/>
        <v xml:space="preserve">Наименование системы теплоснабжения </v>
      </c>
      <c r="BD131" s="2221"/>
      <c r="BE131" s="2221"/>
    </row>
    <row r="132" spans="1:57" s="4487" customFormat="1" ht="21" customHeight="1">
      <c r="A132" s="1869"/>
      <c r="B132" s="1869"/>
      <c r="C132" s="1869"/>
      <c r="D132" s="1869" t="s">
        <v>298</v>
      </c>
      <c r="E132" s="5345" t="s">
        <v>115</v>
      </c>
      <c r="F132" s="5345"/>
      <c r="G132" s="5345"/>
      <c r="H132" s="5344">
        <v>1</v>
      </c>
      <c r="I132" s="1869"/>
      <c r="J132" s="1869"/>
      <c r="K132" s="1869"/>
      <c r="L132" s="1869"/>
      <c r="M132" s="4082"/>
      <c r="N132" s="4083"/>
      <c r="O132" s="4083"/>
      <c r="P132" s="4083"/>
      <c r="Q132" s="2223"/>
      <c r="R132" s="2215"/>
      <c r="S132" s="2138"/>
      <c r="T132" s="2216"/>
      <c r="U132" s="2217" t="str">
        <f>INDEX(PT_DIFFERENTIATION_NUM_IST_TE,MATCH(D132,PT_DIFFERENTIATION_IST_TE_ID,0))</f>
        <v>6.1.1.1</v>
      </c>
      <c r="V132" s="2226" t="s">
        <v>520</v>
      </c>
      <c r="W132" s="2219"/>
      <c r="X132" s="5300"/>
      <c r="Y132" s="5301"/>
      <c r="Z132" s="5301"/>
      <c r="AA132" s="5301"/>
      <c r="AB132" s="5301"/>
      <c r="AC132" s="5301"/>
      <c r="AD132" s="5301"/>
      <c r="AE132" s="5301"/>
      <c r="AF132" s="5302"/>
      <c r="AG132" s="5300" t="str">
        <f>INDEX(PT_DIFFERENTIATION_IST_TE,MATCH(D132,PT_DIFFERENTIATION_IST_TE_ID,0))</f>
        <v>Апатитская ТЭЦ</v>
      </c>
      <c r="AH132" s="5301"/>
      <c r="AI132" s="5301"/>
      <c r="AJ132" s="5301"/>
      <c r="AK132" s="5301"/>
      <c r="AL132" s="5301"/>
      <c r="AM132" s="5301"/>
      <c r="AN132" s="5301"/>
      <c r="AO132" s="5301"/>
      <c r="AP132" s="5300"/>
      <c r="AQ132" s="5301"/>
      <c r="AR132" s="5301"/>
      <c r="AS132" s="5301"/>
      <c r="AT132" s="5301"/>
      <c r="AU132" s="5301"/>
      <c r="AV132" s="5301"/>
      <c r="AW132" s="5301"/>
      <c r="AX132" s="5302"/>
      <c r="AY132" s="5302"/>
      <c r="AZ132" s="2220" t="s">
        <v>521</v>
      </c>
      <c r="BA132" s="2182"/>
      <c r="BB132" s="2221"/>
      <c r="BC132" s="2221" t="str">
        <f t="shared" si="6"/>
        <v xml:space="preserve">Источник тепловой энергии  </v>
      </c>
      <c r="BD132" s="2221"/>
      <c r="BE132" s="2221"/>
    </row>
    <row r="133" spans="1:57" s="4488" customFormat="1" ht="14.25" customHeight="1">
      <c r="A133" s="1869"/>
      <c r="B133" s="1869"/>
      <c r="C133" s="1869"/>
      <c r="D133" s="1869"/>
      <c r="E133" s="5345" t="s">
        <v>115</v>
      </c>
      <c r="F133" s="5345"/>
      <c r="G133" s="5345"/>
      <c r="H133" s="5345"/>
      <c r="I133" s="5180" t="str">
        <f>U132&amp;".1"</f>
        <v>6.1.1.1.1</v>
      </c>
      <c r="J133" s="1869"/>
      <c r="K133" s="1869"/>
      <c r="L133" s="1869"/>
      <c r="M133" s="4082" t="s">
        <v>522</v>
      </c>
      <c r="N133" s="2138"/>
      <c r="O133" s="2344"/>
      <c r="P133" s="2344"/>
      <c r="Q133" s="5313">
        <v>1</v>
      </c>
      <c r="R133" s="2229"/>
      <c r="S133" s="2229"/>
      <c r="T133" s="2230"/>
      <c r="U133" s="3785"/>
      <c r="V133" s="3786"/>
      <c r="W133" s="3787"/>
      <c r="X133" s="5341"/>
      <c r="Y133" s="5342"/>
      <c r="Z133" s="5342"/>
      <c r="AA133" s="5342"/>
      <c r="AB133" s="5342"/>
      <c r="AC133" s="5342"/>
      <c r="AD133" s="5342"/>
      <c r="AE133" s="5342"/>
      <c r="AF133" s="5343"/>
      <c r="AG133" s="5341"/>
      <c r="AH133" s="5342"/>
      <c r="AI133" s="5342"/>
      <c r="AJ133" s="5342"/>
      <c r="AK133" s="5342"/>
      <c r="AL133" s="5342"/>
      <c r="AM133" s="5342"/>
      <c r="AN133" s="5342"/>
      <c r="AO133" s="5342"/>
      <c r="AP133" s="5341"/>
      <c r="AQ133" s="5342"/>
      <c r="AR133" s="5342"/>
      <c r="AS133" s="5342"/>
      <c r="AT133" s="5342"/>
      <c r="AU133" s="5342"/>
      <c r="AV133" s="5342"/>
      <c r="AW133" s="5342"/>
      <c r="AX133" s="5343"/>
      <c r="AY133" s="5343"/>
      <c r="AZ133" s="3788"/>
      <c r="BA133" s="2182"/>
      <c r="BB133" s="2221"/>
      <c r="BC133" s="2221" t="str">
        <f t="shared" si="6"/>
        <v/>
      </c>
      <c r="BD133" s="2221"/>
      <c r="BE133" s="2221"/>
    </row>
    <row r="134" spans="1:57" s="4489" customFormat="1" ht="21" customHeight="1">
      <c r="A134" s="1869"/>
      <c r="B134" s="1869"/>
      <c r="C134" s="1869"/>
      <c r="D134" s="1869"/>
      <c r="E134" s="5345" t="s">
        <v>115</v>
      </c>
      <c r="F134" s="5345"/>
      <c r="G134" s="5345"/>
      <c r="H134" s="5345"/>
      <c r="I134" s="5151"/>
      <c r="J134" s="5180" t="str">
        <f>I133&amp;".1"</f>
        <v>6.1.1.1.1.1</v>
      </c>
      <c r="K134" s="1869"/>
      <c r="L134" s="1869"/>
      <c r="M134" s="4082" t="s">
        <v>525</v>
      </c>
      <c r="N134" s="2138"/>
      <c r="O134" s="2138"/>
      <c r="P134" s="2344"/>
      <c r="Q134" s="5313"/>
      <c r="R134" s="5313">
        <v>1</v>
      </c>
      <c r="S134" s="2182"/>
      <c r="T134" s="2233"/>
      <c r="U134" s="2217" t="str">
        <f>$J134</f>
        <v>6.1.1.1.1.1</v>
      </c>
      <c r="V134" s="2234" t="s">
        <v>526</v>
      </c>
      <c r="W134" s="2219"/>
      <c r="X134" s="5303"/>
      <c r="Y134" s="5304"/>
      <c r="Z134" s="5304"/>
      <c r="AA134" s="5304"/>
      <c r="AB134" s="5304"/>
      <c r="AC134" s="5296"/>
      <c r="AD134" s="5296"/>
      <c r="AE134" s="5296"/>
      <c r="AF134" s="5346"/>
      <c r="AG134" s="5303" t="s">
        <v>567</v>
      </c>
      <c r="AH134" s="5304"/>
      <c r="AI134" s="5304"/>
      <c r="AJ134" s="5304"/>
      <c r="AK134" s="5304"/>
      <c r="AL134" s="5304"/>
      <c r="AM134" s="5304"/>
      <c r="AN134" s="5304"/>
      <c r="AO134" s="5304"/>
      <c r="AP134" s="5303"/>
      <c r="AQ134" s="5304"/>
      <c r="AR134" s="5304"/>
      <c r="AS134" s="5304"/>
      <c r="AT134" s="5304"/>
      <c r="AU134" s="5296"/>
      <c r="AV134" s="5296"/>
      <c r="AW134" s="5296"/>
      <c r="AX134" s="5346"/>
      <c r="AY134" s="5305"/>
      <c r="AZ134" s="2220" t="s">
        <v>527</v>
      </c>
      <c r="BA134" s="2182"/>
      <c r="BB134" s="2221"/>
      <c r="BC134" s="2221" t="str">
        <f t="shared" si="6"/>
        <v>Группа потребителей</v>
      </c>
      <c r="BD134" s="2221"/>
      <c r="BE134" s="2221"/>
    </row>
    <row r="135" spans="1:57" s="4490" customFormat="1" ht="21" customHeight="1">
      <c r="A135" s="1869"/>
      <c r="B135" s="1869"/>
      <c r="C135" s="1869"/>
      <c r="D135" s="1869"/>
      <c r="E135" s="5345" t="s">
        <v>115</v>
      </c>
      <c r="F135" s="5345"/>
      <c r="G135" s="5345"/>
      <c r="H135" s="5345"/>
      <c r="I135" s="5151"/>
      <c r="J135" s="5151"/>
      <c r="K135" s="5180" t="str">
        <f>J134&amp;".1"</f>
        <v>6.1.1.1.1.1.1</v>
      </c>
      <c r="L135" s="2214"/>
      <c r="M135" s="4082" t="s">
        <v>528</v>
      </c>
      <c r="N135" s="2138"/>
      <c r="O135" s="2138"/>
      <c r="P135" s="2138"/>
      <c r="Q135" s="5313"/>
      <c r="R135" s="5313"/>
      <c r="S135" s="5313">
        <v>1</v>
      </c>
      <c r="T135" s="2233"/>
      <c r="U135" s="2217" t="str">
        <f>$K135</f>
        <v>6.1.1.1.1.1.1</v>
      </c>
      <c r="V135" s="2236" t="s">
        <v>584</v>
      </c>
      <c r="W135" s="2219"/>
      <c r="X135" s="2139"/>
      <c r="Y135" s="2139"/>
      <c r="Z135" s="2139"/>
      <c r="AA135" s="2139"/>
      <c r="AB135" s="4030"/>
      <c r="AC135" s="5317"/>
      <c r="AD135" s="5161" t="s">
        <v>62</v>
      </c>
      <c r="AE135" s="5317"/>
      <c r="AF135" s="5161" t="s">
        <v>62</v>
      </c>
      <c r="AG135" s="4090"/>
      <c r="AH135" s="2139">
        <v>30.95</v>
      </c>
      <c r="AI135" s="2139">
        <v>3662.57</v>
      </c>
      <c r="AJ135" s="2139"/>
      <c r="AK135" s="2141"/>
      <c r="AL135" s="5317">
        <v>45658.591168981482</v>
      </c>
      <c r="AM135" s="5161" t="s">
        <v>62</v>
      </c>
      <c r="AN135" s="5317">
        <v>45838.591215277775</v>
      </c>
      <c r="AO135" s="5161" t="s">
        <v>62</v>
      </c>
      <c r="AP135" s="2139"/>
      <c r="AQ135" s="2139">
        <v>38.69</v>
      </c>
      <c r="AR135" s="2139">
        <v>4211.96</v>
      </c>
      <c r="AS135" s="2139"/>
      <c r="AT135" s="4030"/>
      <c r="AU135" s="5317">
        <v>45839.591469907406</v>
      </c>
      <c r="AV135" s="5161" t="s">
        <v>62</v>
      </c>
      <c r="AW135" s="5317">
        <v>46022.591539351852</v>
      </c>
      <c r="AX135" s="5161" t="s">
        <v>62</v>
      </c>
      <c r="AY135" s="2140"/>
      <c r="AZ135" s="4091" t="s">
        <v>572</v>
      </c>
      <c r="BA135" s="2182" t="e">
        <f ca="1">STRCHECKDATE(X137:AY137)</f>
        <v>#NAME?</v>
      </c>
      <c r="BB135" s="2221"/>
      <c r="BC135" s="2221" t="str">
        <f t="shared" si="6"/>
        <v>горячая вода в системе централизованного теплоснабжения на горячее водоснабжение</v>
      </c>
      <c r="BD135" s="2221"/>
      <c r="BE135" s="2221"/>
    </row>
    <row r="136" spans="1:57" s="4491" customFormat="1" ht="21" customHeight="1">
      <c r="A136" s="1869"/>
      <c r="B136" s="1869"/>
      <c r="C136" s="1869"/>
      <c r="D136" s="1869"/>
      <c r="E136" s="5345" t="s">
        <v>115</v>
      </c>
      <c r="F136" s="5345"/>
      <c r="G136" s="5345"/>
      <c r="H136" s="5345"/>
      <c r="I136" s="5151"/>
      <c r="J136" s="5151"/>
      <c r="K136" s="5151"/>
      <c r="L136" s="5180" t="str">
        <f>K135&amp;".1"</f>
        <v>6.1.1.1.1.1.1.1</v>
      </c>
      <c r="M136" s="4082"/>
      <c r="N136" s="2138"/>
      <c r="O136" s="2138"/>
      <c r="P136" s="2138"/>
      <c r="Q136" s="5313"/>
      <c r="R136" s="5313"/>
      <c r="S136" s="5313"/>
      <c r="T136" s="2233"/>
      <c r="U136" s="2217" t="str">
        <f>$L136</f>
        <v>6.1.1.1.1.1.1.1</v>
      </c>
      <c r="V136" s="4093"/>
      <c r="W136" s="2219"/>
      <c r="X136" s="2140"/>
      <c r="Y136" s="2139"/>
      <c r="Z136" s="2139"/>
      <c r="AA136" s="2139"/>
      <c r="AB136" s="4030"/>
      <c r="AC136" s="5318"/>
      <c r="AD136" s="5161"/>
      <c r="AE136" s="5318"/>
      <c r="AF136" s="5161"/>
      <c r="AG136" s="4090"/>
      <c r="AH136" s="2139"/>
      <c r="AI136" s="2139"/>
      <c r="AJ136" s="2139"/>
      <c r="AK136" s="2141"/>
      <c r="AL136" s="5318"/>
      <c r="AM136" s="5161"/>
      <c r="AN136" s="5318"/>
      <c r="AO136" s="5161"/>
      <c r="AP136" s="2140"/>
      <c r="AQ136" s="2139"/>
      <c r="AR136" s="2139"/>
      <c r="AS136" s="2139"/>
      <c r="AT136" s="4030"/>
      <c r="AU136" s="5318"/>
      <c r="AV136" s="5161"/>
      <c r="AW136" s="5318"/>
      <c r="AX136" s="5161"/>
      <c r="AY136" s="2140"/>
      <c r="AZ136" s="5309" t="s">
        <v>573</v>
      </c>
      <c r="BA136" s="2182"/>
      <c r="BB136" s="2221"/>
      <c r="BC136" s="2221"/>
      <c r="BD136" s="2221"/>
      <c r="BE136" s="2221"/>
    </row>
    <row r="137" spans="1:57" s="4492" customFormat="1" ht="14.25" customHeight="1">
      <c r="A137" s="1869"/>
      <c r="B137" s="1869"/>
      <c r="C137" s="1869"/>
      <c r="D137" s="1869"/>
      <c r="E137" s="5345" t="s">
        <v>115</v>
      </c>
      <c r="F137" s="5345"/>
      <c r="G137" s="5345"/>
      <c r="H137" s="5345"/>
      <c r="I137" s="5151"/>
      <c r="J137" s="5151"/>
      <c r="K137" s="5151"/>
      <c r="L137" s="5180"/>
      <c r="M137" s="4082"/>
      <c r="N137" s="2138"/>
      <c r="O137" s="2138"/>
      <c r="P137" s="2138"/>
      <c r="Q137" s="5313"/>
      <c r="R137" s="5313"/>
      <c r="S137" s="5313"/>
      <c r="T137" s="2233"/>
      <c r="U137" s="2238"/>
      <c r="V137" s="2219"/>
      <c r="W137" s="2219"/>
      <c r="X137" s="2140"/>
      <c r="Y137" s="2140"/>
      <c r="Z137" s="2140"/>
      <c r="AA137" s="2140"/>
      <c r="AB137" s="4031" t="str">
        <f>AC135&amp;"-"&amp;AE135</f>
        <v>-</v>
      </c>
      <c r="AC137" s="5318"/>
      <c r="AD137" s="5161"/>
      <c r="AE137" s="5318"/>
      <c r="AF137" s="5161"/>
      <c r="AG137" s="4095"/>
      <c r="AH137" s="2140"/>
      <c r="AI137" s="2140"/>
      <c r="AJ137" s="2140"/>
      <c r="AK137" s="2142" t="str">
        <f>AL135&amp;"-"&amp;AN135</f>
        <v>45658,5911689815-45838,5912152778</v>
      </c>
      <c r="AL137" s="5318"/>
      <c r="AM137" s="5161"/>
      <c r="AN137" s="5318"/>
      <c r="AO137" s="5161"/>
      <c r="AP137" s="2140"/>
      <c r="AQ137" s="2140"/>
      <c r="AR137" s="2140"/>
      <c r="AS137" s="2140"/>
      <c r="AT137" s="4031" t="str">
        <f>AU135&amp;"-"&amp;AW135</f>
        <v>45839,5914699074-46022,5915393519</v>
      </c>
      <c r="AU137" s="5318"/>
      <c r="AV137" s="5161"/>
      <c r="AW137" s="5318"/>
      <c r="AX137" s="5161"/>
      <c r="AY137" s="2140"/>
      <c r="AZ137" s="5310"/>
      <c r="BA137" s="2182"/>
      <c r="BB137" s="2221"/>
      <c r="BC137" s="2221" t="str">
        <f>IF(V137="","",V137)</f>
        <v/>
      </c>
      <c r="BD137" s="2221"/>
      <c r="BE137" s="2221"/>
    </row>
    <row r="138" spans="1:57" s="4493" customFormat="1" ht="11.25" customHeight="1">
      <c r="A138" s="1869"/>
      <c r="B138" s="1869"/>
      <c r="C138" s="1869"/>
      <c r="D138" s="1869"/>
      <c r="E138" s="5345" t="s">
        <v>115</v>
      </c>
      <c r="F138" s="5345"/>
      <c r="G138" s="5345"/>
      <c r="H138" s="5345"/>
      <c r="I138" s="5151"/>
      <c r="J138" s="5151"/>
      <c r="K138" s="5180"/>
      <c r="L138" s="1869"/>
      <c r="M138" s="4082"/>
      <c r="N138" s="2138"/>
      <c r="O138" s="2138"/>
      <c r="P138" s="2138"/>
      <c r="Q138" s="5313"/>
      <c r="R138" s="5313"/>
      <c r="S138" s="5313"/>
      <c r="T138" s="2233"/>
      <c r="U138" s="4494"/>
      <c r="V138" s="4495" t="s">
        <v>574</v>
      </c>
      <c r="W138" s="4496"/>
      <c r="X138" s="4497"/>
      <c r="Y138" s="4498"/>
      <c r="Z138" s="4499"/>
      <c r="AA138" s="4500"/>
      <c r="AB138" s="4501"/>
      <c r="AC138" s="5318"/>
      <c r="AD138" s="5161"/>
      <c r="AE138" s="5318"/>
      <c r="AF138" s="5161"/>
      <c r="AG138" s="4502"/>
      <c r="AH138" s="4503"/>
      <c r="AI138" s="4504"/>
      <c r="AJ138" s="4505"/>
      <c r="AK138" s="4506"/>
      <c r="AL138" s="5318"/>
      <c r="AM138" s="5161"/>
      <c r="AN138" s="5318"/>
      <c r="AO138" s="5161"/>
      <c r="AP138" s="4507"/>
      <c r="AQ138" s="4508"/>
      <c r="AR138" s="4509"/>
      <c r="AS138" s="4510"/>
      <c r="AT138" s="4511"/>
      <c r="AU138" s="5318"/>
      <c r="AV138" s="5161"/>
      <c r="AW138" s="5318"/>
      <c r="AX138" s="5161"/>
      <c r="AY138" s="4512"/>
      <c r="AZ138" s="5310"/>
      <c r="BA138" s="2182"/>
      <c r="BB138" s="2221"/>
      <c r="BC138" s="2221"/>
      <c r="BD138" s="2221"/>
      <c r="BE138" s="2221"/>
    </row>
    <row r="139" spans="1:57" s="4513" customFormat="1" ht="15" customHeight="1">
      <c r="A139" s="1869"/>
      <c r="B139" s="1869"/>
      <c r="C139" s="1869"/>
      <c r="D139" s="1869"/>
      <c r="E139" s="5345" t="s">
        <v>115</v>
      </c>
      <c r="F139" s="5345"/>
      <c r="G139" s="5345"/>
      <c r="H139" s="5345"/>
      <c r="I139" s="5151"/>
      <c r="J139" s="5180"/>
      <c r="K139" s="1869"/>
      <c r="L139" s="1869"/>
      <c r="M139" s="4082"/>
      <c r="N139" s="2138"/>
      <c r="O139" s="2138"/>
      <c r="P139" s="2344"/>
      <c r="Q139" s="5313"/>
      <c r="R139" s="5313"/>
      <c r="S139" s="2229"/>
      <c r="T139" s="2230"/>
      <c r="U139" s="4514"/>
      <c r="V139" s="4515" t="s">
        <v>530</v>
      </c>
      <c r="W139" s="4516"/>
      <c r="X139" s="4517"/>
      <c r="Y139" s="4518"/>
      <c r="Z139" s="4519"/>
      <c r="AA139" s="4520"/>
      <c r="AB139" s="4521"/>
      <c r="AC139" s="4522"/>
      <c r="AD139" s="4523"/>
      <c r="AE139" s="4524"/>
      <c r="AF139" s="4525"/>
      <c r="AG139" s="4526"/>
      <c r="AH139" s="4527"/>
      <c r="AI139" s="4528"/>
      <c r="AJ139" s="4529"/>
      <c r="AK139" s="4530"/>
      <c r="AL139" s="4531"/>
      <c r="AM139" s="4532"/>
      <c r="AN139" s="4533"/>
      <c r="AO139" s="4534"/>
      <c r="AP139" s="4535"/>
      <c r="AQ139" s="4536"/>
      <c r="AR139" s="4537"/>
      <c r="AS139" s="4538"/>
      <c r="AT139" s="4539"/>
      <c r="AU139" s="4540"/>
      <c r="AV139" s="4541"/>
      <c r="AW139" s="4542"/>
      <c r="AX139" s="4543"/>
      <c r="AY139" s="4544"/>
      <c r="AZ139" s="5311"/>
      <c r="BA139" s="2182"/>
      <c r="BB139" s="2221"/>
      <c r="BC139" s="2221" t="str">
        <f t="shared" ref="BC139:BC145" si="7">IF(V139="","",V139)</f>
        <v>Добавить вид теплоносителя (параметры теплоносителя)</v>
      </c>
      <c r="BD139" s="2221"/>
      <c r="BE139" s="2221"/>
    </row>
    <row r="140" spans="1:57" s="4545" customFormat="1" ht="11.25" customHeight="1">
      <c r="A140" s="1869"/>
      <c r="B140" s="1869"/>
      <c r="C140" s="1869"/>
      <c r="D140" s="1869"/>
      <c r="E140" s="5345" t="s">
        <v>115</v>
      </c>
      <c r="F140" s="5345"/>
      <c r="G140" s="5345"/>
      <c r="H140" s="5345"/>
      <c r="I140" s="5180"/>
      <c r="J140" s="1869"/>
      <c r="K140" s="1869"/>
      <c r="L140" s="1869"/>
      <c r="M140" s="4082"/>
      <c r="N140" s="2138"/>
      <c r="O140" s="2344"/>
      <c r="P140" s="2344"/>
      <c r="Q140" s="5313"/>
      <c r="R140" s="2229"/>
      <c r="S140" s="2229"/>
      <c r="T140" s="2230"/>
      <c r="U140" s="4546"/>
      <c r="V140" s="4547" t="s">
        <v>531</v>
      </c>
      <c r="W140" s="4548"/>
      <c r="X140" s="4549"/>
      <c r="Y140" s="4550"/>
      <c r="Z140" s="4551"/>
      <c r="AA140" s="4552"/>
      <c r="AB140" s="4553"/>
      <c r="AC140" s="4554"/>
      <c r="AD140" s="4555"/>
      <c r="AE140" s="4556"/>
      <c r="AF140" s="4557"/>
      <c r="AG140" s="4558"/>
      <c r="AH140" s="4559"/>
      <c r="AI140" s="4560"/>
      <c r="AJ140" s="4561"/>
      <c r="AK140" s="4562"/>
      <c r="AL140" s="4563"/>
      <c r="AM140" s="4564"/>
      <c r="AN140" s="4565"/>
      <c r="AO140" s="4566"/>
      <c r="AP140" s="4567"/>
      <c r="AQ140" s="4568"/>
      <c r="AR140" s="4569"/>
      <c r="AS140" s="4570"/>
      <c r="AT140" s="4571"/>
      <c r="AU140" s="4572"/>
      <c r="AV140" s="4573"/>
      <c r="AW140" s="4574"/>
      <c r="AX140" s="4575"/>
      <c r="AY140" s="4576"/>
      <c r="AZ140" s="4577"/>
      <c r="BA140" s="2182"/>
      <c r="BB140" s="2221"/>
      <c r="BC140" s="2221" t="str">
        <f t="shared" si="7"/>
        <v>Добавить группу потребителей</v>
      </c>
      <c r="BD140" s="2221"/>
      <c r="BE140" s="2221"/>
    </row>
    <row r="141" spans="1:57" s="4578" customFormat="1" ht="14.25" customHeight="1">
      <c r="A141" s="1869"/>
      <c r="B141" s="1869"/>
      <c r="C141" s="1869"/>
      <c r="D141" s="1869"/>
      <c r="E141" s="5345" t="s">
        <v>115</v>
      </c>
      <c r="F141" s="5345"/>
      <c r="G141" s="5345"/>
      <c r="H141" s="5344"/>
      <c r="I141" s="1869"/>
      <c r="J141" s="1869"/>
      <c r="K141" s="1869"/>
      <c r="L141" s="1869"/>
      <c r="M141" s="4082"/>
      <c r="N141" s="4083"/>
      <c r="O141" s="4083"/>
      <c r="P141" s="2138"/>
      <c r="Q141" s="2299"/>
      <c r="R141" s="2300"/>
      <c r="S141" s="2301"/>
      <c r="T141" s="2299"/>
      <c r="U141" s="3852"/>
      <c r="V141" s="3853"/>
      <c r="W141" s="3763"/>
      <c r="X141" s="3763"/>
      <c r="Y141" s="3763"/>
      <c r="Z141" s="3763"/>
      <c r="AA141" s="3763"/>
      <c r="AB141" s="3763"/>
      <c r="AC141" s="3763"/>
      <c r="AD141" s="3763"/>
      <c r="AE141" s="3763"/>
      <c r="AF141" s="3763"/>
      <c r="AG141" s="3763"/>
      <c r="AH141" s="3763"/>
      <c r="AI141" s="3763"/>
      <c r="AJ141" s="3763"/>
      <c r="AK141" s="3763"/>
      <c r="AL141" s="3763"/>
      <c r="AM141" s="3763"/>
      <c r="AN141" s="3763"/>
      <c r="AO141" s="3763"/>
      <c r="AP141" s="3763"/>
      <c r="AQ141" s="3763"/>
      <c r="AR141" s="3763"/>
      <c r="AS141" s="3763"/>
      <c r="AT141" s="3763"/>
      <c r="AU141" s="3763"/>
      <c r="AV141" s="3763"/>
      <c r="AW141" s="3763"/>
      <c r="AX141" s="3763"/>
      <c r="AY141" s="3763"/>
      <c r="AZ141" s="3854"/>
      <c r="BA141" s="2182"/>
      <c r="BB141" s="2221"/>
      <c r="BC141" s="2221" t="str">
        <f t="shared" si="7"/>
        <v/>
      </c>
      <c r="BD141" s="2221"/>
      <c r="BE141" s="2221"/>
    </row>
    <row r="142" spans="1:57" s="4579" customFormat="1" ht="14.25" customHeight="1">
      <c r="A142" s="4183"/>
      <c r="B142" s="4183"/>
      <c r="C142" s="4183"/>
      <c r="D142" s="4183"/>
      <c r="E142" s="5345" t="s">
        <v>115</v>
      </c>
      <c r="F142" s="5345"/>
      <c r="G142" s="5344"/>
      <c r="H142" s="4183"/>
      <c r="I142" s="4183"/>
      <c r="J142" s="4183"/>
      <c r="K142" s="4183"/>
      <c r="L142" s="4183"/>
      <c r="M142" s="4184"/>
      <c r="N142" s="4185"/>
      <c r="O142" s="4185"/>
      <c r="P142" s="4186"/>
      <c r="Q142" s="2335"/>
      <c r="R142" s="2336"/>
      <c r="S142" s="2335"/>
      <c r="T142" s="2335"/>
      <c r="U142" s="2337"/>
      <c r="V142" s="2338" t="s">
        <v>168</v>
      </c>
      <c r="W142" s="2168"/>
      <c r="X142" s="2168"/>
      <c r="Y142" s="2168"/>
      <c r="Z142" s="2168"/>
      <c r="AA142" s="2168"/>
      <c r="AB142" s="2168"/>
      <c r="AC142" s="2168"/>
      <c r="AD142" s="2168"/>
      <c r="AE142" s="2168"/>
      <c r="AF142" s="2168"/>
      <c r="AG142" s="2168"/>
      <c r="AH142" s="2168"/>
      <c r="AI142" s="2168"/>
      <c r="AJ142" s="2168"/>
      <c r="AK142" s="2168"/>
      <c r="AL142" s="2168"/>
      <c r="AM142" s="2168"/>
      <c r="AN142" s="2168"/>
      <c r="AO142" s="2168"/>
      <c r="AP142" s="2168"/>
      <c r="AQ142" s="2168"/>
      <c r="AR142" s="2168"/>
      <c r="AS142" s="2168"/>
      <c r="AT142" s="2168"/>
      <c r="AU142" s="2168"/>
      <c r="AV142" s="2168"/>
      <c r="AW142" s="2168"/>
      <c r="AX142" s="2168"/>
      <c r="AY142" s="2168"/>
      <c r="AZ142" s="2168"/>
      <c r="BA142" s="2182"/>
      <c r="BB142" s="2221"/>
      <c r="BC142" s="2221" t="str">
        <f t="shared" si="7"/>
        <v>Добавить источник для дифференциации</v>
      </c>
      <c r="BD142" s="2221"/>
      <c r="BE142" s="2221"/>
    </row>
    <row r="143" spans="1:57" s="4580" customFormat="1" ht="14.25" customHeight="1">
      <c r="A143" s="4183"/>
      <c r="B143" s="4183"/>
      <c r="C143" s="4183"/>
      <c r="D143" s="4183"/>
      <c r="E143" s="5345" t="s">
        <v>115</v>
      </c>
      <c r="F143" s="5344"/>
      <c r="G143" s="4183"/>
      <c r="H143" s="4183"/>
      <c r="I143" s="4183"/>
      <c r="J143" s="4183"/>
      <c r="K143" s="4183"/>
      <c r="L143" s="4183"/>
      <c r="M143" s="4184"/>
      <c r="N143" s="4188"/>
      <c r="O143" s="4188"/>
      <c r="P143" s="4186"/>
      <c r="Q143" s="2335"/>
      <c r="R143" s="2336"/>
      <c r="S143" s="2335"/>
      <c r="T143" s="2335"/>
      <c r="U143" s="2341"/>
      <c r="V143" s="2342" t="s">
        <v>169</v>
      </c>
      <c r="W143" s="2169"/>
      <c r="X143" s="2169"/>
      <c r="Y143" s="2169"/>
      <c r="Z143" s="2169"/>
      <c r="AA143" s="2169"/>
      <c r="AB143" s="2169"/>
      <c r="AC143" s="2169"/>
      <c r="AD143" s="2169"/>
      <c r="AE143" s="2169"/>
      <c r="AF143" s="2169"/>
      <c r="AG143" s="2169"/>
      <c r="AH143" s="2169"/>
      <c r="AI143" s="2169"/>
      <c r="AJ143" s="2169"/>
      <c r="AK143" s="2169"/>
      <c r="AL143" s="2169"/>
      <c r="AM143" s="2169"/>
      <c r="AN143" s="2169"/>
      <c r="AO143" s="2169"/>
      <c r="AP143" s="2169"/>
      <c r="AQ143" s="2169"/>
      <c r="AR143" s="2169"/>
      <c r="AS143" s="2169"/>
      <c r="AT143" s="2169"/>
      <c r="AU143" s="2169"/>
      <c r="AV143" s="2169"/>
      <c r="AW143" s="2169"/>
      <c r="AX143" s="2169"/>
      <c r="AY143" s="2169"/>
      <c r="AZ143" s="2169"/>
      <c r="BA143" s="2182"/>
      <c r="BB143" s="2221"/>
      <c r="BC143" s="2221" t="str">
        <f t="shared" si="7"/>
        <v>Добавить централизованную систему для дифференциации</v>
      </c>
      <c r="BD143" s="2221"/>
      <c r="BE143" s="2221"/>
    </row>
    <row r="144" spans="1:57" s="4581" customFormat="1" ht="14.25" customHeight="1">
      <c r="A144" s="4183"/>
      <c r="B144" s="4183"/>
      <c r="C144" s="4183"/>
      <c r="D144" s="4183"/>
      <c r="E144" s="5344" t="s">
        <v>115</v>
      </c>
      <c r="F144" s="4183"/>
      <c r="G144" s="4183"/>
      <c r="H144" s="4183"/>
      <c r="I144" s="4183"/>
      <c r="J144" s="4183"/>
      <c r="K144" s="4183"/>
      <c r="L144" s="4183"/>
      <c r="M144" s="4184"/>
      <c r="N144" s="4188"/>
      <c r="O144" s="4188"/>
      <c r="P144" s="4186"/>
      <c r="Q144" s="2335"/>
      <c r="R144" s="2336"/>
      <c r="S144" s="2335"/>
      <c r="T144" s="2335"/>
      <c r="U144" s="2341"/>
      <c r="V144" s="2445" t="s">
        <v>174</v>
      </c>
      <c r="W144" s="2169"/>
      <c r="X144" s="2169"/>
      <c r="Y144" s="2169"/>
      <c r="Z144" s="2169"/>
      <c r="AA144" s="2169"/>
      <c r="AB144" s="2169"/>
      <c r="AC144" s="2169"/>
      <c r="AD144" s="2169"/>
      <c r="AE144" s="2169"/>
      <c r="AF144" s="2169"/>
      <c r="AG144" s="2169"/>
      <c r="AH144" s="2169"/>
      <c r="AI144" s="2169"/>
      <c r="AJ144" s="2169"/>
      <c r="AK144" s="2169"/>
      <c r="AL144" s="2169"/>
      <c r="AM144" s="2169"/>
      <c r="AN144" s="2169"/>
      <c r="AO144" s="2169"/>
      <c r="AP144" s="2169"/>
      <c r="AQ144" s="2169"/>
      <c r="AR144" s="2169"/>
      <c r="AS144" s="2169"/>
      <c r="AT144" s="2169"/>
      <c r="AU144" s="2169"/>
      <c r="AV144" s="2169"/>
      <c r="AW144" s="2169"/>
      <c r="AX144" s="2169"/>
      <c r="AY144" s="2169"/>
      <c r="AZ144" s="2169"/>
      <c r="BA144" s="2182"/>
      <c r="BB144" s="2221"/>
      <c r="BC144" s="2221" t="str">
        <f t="shared" si="7"/>
        <v>Добавить территорию для дифференциации</v>
      </c>
      <c r="BD144" s="2221"/>
      <c r="BE144" s="2221"/>
    </row>
    <row r="145" spans="1:57" s="2167" customFormat="1" ht="5.25" customHeight="1">
      <c r="A145" s="1289"/>
      <c r="B145" s="1289"/>
      <c r="C145" s="1289"/>
      <c r="D145" s="1289"/>
      <c r="E145" s="1290"/>
      <c r="F145" s="1289"/>
      <c r="G145" s="1289"/>
      <c r="H145" s="1289"/>
      <c r="I145" s="1289"/>
      <c r="J145" s="1289"/>
      <c r="K145" s="1289"/>
      <c r="L145" s="1289"/>
      <c r="M145" s="1292"/>
      <c r="N145" s="1294"/>
      <c r="O145" s="1294"/>
      <c r="P145" s="275"/>
      <c r="Q145" s="1233"/>
      <c r="R145" s="1234"/>
      <c r="S145" s="1233"/>
      <c r="T145" s="1233"/>
      <c r="U145" s="1239"/>
      <c r="V145" s="1242" t="s">
        <v>215</v>
      </c>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2169"/>
      <c r="AQ145" s="2169"/>
      <c r="AR145" s="2169"/>
      <c r="AS145" s="2169"/>
      <c r="AT145" s="2169"/>
      <c r="AU145" s="2169"/>
      <c r="AV145" s="2169"/>
      <c r="AW145" s="2169"/>
      <c r="AX145" s="2169"/>
      <c r="AY145" s="1241"/>
      <c r="AZ145" s="1241"/>
      <c r="BB145" s="705"/>
      <c r="BC145" s="705" t="str">
        <f t="shared" si="7"/>
        <v>Добавить наименование тарифа</v>
      </c>
      <c r="BD145" s="705"/>
      <c r="BE145" s="705"/>
    </row>
    <row r="146" spans="1:57" ht="11.25" customHeight="1">
      <c r="N146" s="1054"/>
      <c r="O146" s="1054"/>
      <c r="P146" s="434"/>
      <c r="Q146" s="1054"/>
      <c r="R146" s="1054"/>
      <c r="S146" s="1054"/>
      <c r="T146" s="1054"/>
      <c r="U146" s="1054"/>
      <c r="AP146" s="2138"/>
      <c r="AQ146" s="2138"/>
      <c r="AR146" s="2138"/>
      <c r="AS146" s="2138"/>
      <c r="AT146" s="2138"/>
      <c r="AU146" s="2138"/>
      <c r="AV146" s="2138"/>
      <c r="AW146" s="2138"/>
      <c r="AX146" s="2138"/>
      <c r="BA146" s="1054"/>
      <c r="BB146" s="1054"/>
      <c r="BC146" s="1054"/>
      <c r="BD146" s="1054"/>
      <c r="BE146" s="1054"/>
    </row>
    <row r="147" spans="1:57" ht="33.75" customHeight="1">
      <c r="P147" s="434"/>
      <c r="U147" s="1163"/>
      <c r="V147" s="5334"/>
      <c r="W147" s="5334"/>
      <c r="X147" s="5334"/>
      <c r="Y147" s="5334"/>
      <c r="Z147" s="5334"/>
      <c r="AA147" s="5334"/>
      <c r="AB147" s="5334"/>
      <c r="AC147" s="5334"/>
      <c r="AD147" s="5334"/>
      <c r="AE147" s="5334"/>
      <c r="AF147" s="5334"/>
      <c r="AG147" s="5334"/>
      <c r="AH147" s="5334"/>
      <c r="AI147" s="5334"/>
      <c r="AJ147" s="5334"/>
      <c r="AK147" s="5334"/>
      <c r="AL147" s="5334"/>
      <c r="AM147" s="5334"/>
      <c r="AN147" s="5334"/>
      <c r="AO147" s="5334"/>
      <c r="AP147" s="5334"/>
      <c r="AQ147" s="5334"/>
      <c r="AR147" s="5334"/>
      <c r="AS147" s="5334"/>
      <c r="AT147" s="5334"/>
      <c r="AU147" s="5334"/>
      <c r="AV147" s="5334"/>
      <c r="AW147" s="5334"/>
      <c r="AX147" s="5334"/>
      <c r="AY147" s="5334"/>
      <c r="AZ147" s="5334"/>
    </row>
    <row r="148" spans="1:57" ht="19.5" customHeight="1">
      <c r="P148" s="434"/>
      <c r="V148" s="5334"/>
      <c r="W148" s="5334"/>
      <c r="X148" s="5334"/>
      <c r="Y148" s="5334"/>
      <c r="Z148" s="5334"/>
      <c r="AA148" s="5334"/>
      <c r="AB148" s="5334"/>
      <c r="AC148" s="5334"/>
      <c r="AD148" s="5334"/>
      <c r="AE148" s="5334"/>
      <c r="AF148" s="5334"/>
      <c r="AG148" s="5334"/>
      <c r="AH148" s="5334"/>
      <c r="AI148" s="5334"/>
      <c r="AJ148" s="5334"/>
      <c r="AK148" s="5334"/>
      <c r="AL148" s="5334"/>
      <c r="AM148" s="5334"/>
      <c r="AN148" s="5334"/>
      <c r="AO148" s="5334"/>
      <c r="AP148" s="5334"/>
      <c r="AQ148" s="5334"/>
      <c r="AR148" s="5334"/>
      <c r="AS148" s="5334"/>
      <c r="AT148" s="5334"/>
      <c r="AU148" s="5334"/>
      <c r="AV148" s="5334"/>
      <c r="AW148" s="5334"/>
      <c r="AX148" s="5334"/>
      <c r="AY148" s="5334"/>
      <c r="AZ148" s="5334"/>
    </row>
    <row r="149" spans="1:57" ht="14.25" customHeight="1">
      <c r="P149" s="434"/>
      <c r="AP149" s="2138"/>
      <c r="AQ149" s="2138"/>
      <c r="AR149" s="2138"/>
      <c r="AS149" s="2138"/>
      <c r="AT149" s="2138"/>
      <c r="AU149" s="2138"/>
      <c r="AV149" s="2138"/>
      <c r="AW149" s="2138"/>
      <c r="AX149" s="2138"/>
    </row>
    <row r="150" spans="1:57" ht="27" customHeight="1">
      <c r="P150" s="434"/>
      <c r="V150" s="5334"/>
      <c r="W150" s="5334"/>
      <c r="X150" s="5334"/>
      <c r="Y150" s="5334"/>
      <c r="Z150" s="5334"/>
      <c r="AA150" s="5334"/>
      <c r="AB150" s="5334"/>
      <c r="AC150" s="5334"/>
      <c r="AD150" s="5334"/>
      <c r="AE150" s="5334"/>
      <c r="AF150" s="5334"/>
      <c r="AG150" s="5334"/>
      <c r="AH150" s="5334"/>
      <c r="AI150" s="5334"/>
      <c r="AJ150" s="5334"/>
      <c r="AK150" s="5334"/>
      <c r="AL150" s="5334"/>
      <c r="AM150" s="5334"/>
      <c r="AN150" s="5334"/>
      <c r="AO150" s="5334"/>
      <c r="AP150" s="5334"/>
      <c r="AQ150" s="5334"/>
      <c r="AR150" s="5334"/>
      <c r="AS150" s="5334"/>
      <c r="AT150" s="5334"/>
      <c r="AU150" s="5334"/>
      <c r="AV150" s="5334"/>
      <c r="AW150" s="5334"/>
      <c r="AX150" s="5334"/>
      <c r="AY150" s="5334"/>
      <c r="AZ150" s="5334"/>
    </row>
    <row r="151" spans="1:57" ht="18" customHeight="1">
      <c r="P151" s="434"/>
      <c r="V151" s="5334"/>
      <c r="W151" s="5334"/>
      <c r="X151" s="5334"/>
      <c r="Y151" s="5334"/>
      <c r="Z151" s="5334"/>
      <c r="AA151" s="5334"/>
      <c r="AB151" s="5334"/>
      <c r="AC151" s="5334"/>
      <c r="AD151" s="5334"/>
      <c r="AE151" s="5334"/>
      <c r="AF151" s="5334"/>
      <c r="AG151" s="5334"/>
      <c r="AH151" s="5334"/>
      <c r="AI151" s="5334"/>
      <c r="AJ151" s="5334"/>
      <c r="AK151" s="5334"/>
      <c r="AL151" s="5334"/>
      <c r="AM151" s="5334"/>
      <c r="AN151" s="5334"/>
      <c r="AO151" s="5334"/>
      <c r="AP151" s="5334"/>
      <c r="AQ151" s="5334"/>
      <c r="AR151" s="5334"/>
      <c r="AS151" s="5334"/>
      <c r="AT151" s="5334"/>
      <c r="AU151" s="5334"/>
      <c r="AV151" s="5334"/>
      <c r="AW151" s="5334"/>
      <c r="AX151" s="5334"/>
      <c r="AY151" s="5334"/>
      <c r="AZ151" s="5334"/>
    </row>
  </sheetData>
  <sheetProtection formatColumns="0" formatRows="0" insertRows="0" deleteColumns="0" deleteRows="0" sort="0" autoFilter="0"/>
  <mergeCells count="329">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Z136:AZ139"/>
    <mergeCell ref="J134:J139"/>
    <mergeCell ref="R134:R139"/>
    <mergeCell ref="X134:AF134"/>
    <mergeCell ref="AG134:AY134"/>
    <mergeCell ref="S135:S138"/>
    <mergeCell ref="K135:K138"/>
    <mergeCell ref="L136:L137"/>
    <mergeCell ref="AC135:AC138"/>
    <mergeCell ref="AE135:AE138"/>
    <mergeCell ref="AD135:AD138"/>
    <mergeCell ref="AF135:AF138"/>
    <mergeCell ref="AL135:AL138"/>
    <mergeCell ref="AM135:AM138"/>
    <mergeCell ref="AN135:AN138"/>
    <mergeCell ref="AO135:AO138"/>
    <mergeCell ref="AU135:AU138"/>
    <mergeCell ref="AV135:AV138"/>
    <mergeCell ref="AW135:AW138"/>
    <mergeCell ref="AX135:AX138"/>
    <mergeCell ref="E129:E144"/>
    <mergeCell ref="X129:AF129"/>
    <mergeCell ref="AG129:AY129"/>
    <mergeCell ref="F130:F143"/>
    <mergeCell ref="X130:AF130"/>
    <mergeCell ref="AG130:AY130"/>
    <mergeCell ref="G131:G142"/>
    <mergeCell ref="X131:AF131"/>
    <mergeCell ref="AG131:AY131"/>
    <mergeCell ref="H132:H141"/>
    <mergeCell ref="X132:AF132"/>
    <mergeCell ref="AG132:AY132"/>
    <mergeCell ref="I133:I140"/>
    <mergeCell ref="Q133:Q140"/>
    <mergeCell ref="X133:AF133"/>
    <mergeCell ref="AG133:AY133"/>
    <mergeCell ref="AZ120:AZ123"/>
    <mergeCell ref="J118:J123"/>
    <mergeCell ref="R118:R123"/>
    <mergeCell ref="X118:AF118"/>
    <mergeCell ref="AG118:AY118"/>
    <mergeCell ref="S119:S122"/>
    <mergeCell ref="K119:K122"/>
    <mergeCell ref="L120:L121"/>
    <mergeCell ref="AC119:AC122"/>
    <mergeCell ref="AE119:AE122"/>
    <mergeCell ref="AD119:AD122"/>
    <mergeCell ref="AF119:AF122"/>
    <mergeCell ref="AL119:AL122"/>
    <mergeCell ref="AM119:AM122"/>
    <mergeCell ref="AN119:AN122"/>
    <mergeCell ref="AO119:AO122"/>
    <mergeCell ref="AU119:AU122"/>
    <mergeCell ref="AV119:AV122"/>
    <mergeCell ref="AW119:AW122"/>
    <mergeCell ref="AX119:AX122"/>
    <mergeCell ref="E113:E128"/>
    <mergeCell ref="X113:AF113"/>
    <mergeCell ref="AG113:AY113"/>
    <mergeCell ref="F114:F127"/>
    <mergeCell ref="X114:AF114"/>
    <mergeCell ref="AG114:AY114"/>
    <mergeCell ref="G115:G126"/>
    <mergeCell ref="X115:AF115"/>
    <mergeCell ref="AG115:AY115"/>
    <mergeCell ref="H116:H125"/>
    <mergeCell ref="X116:AF116"/>
    <mergeCell ref="AG116:AY116"/>
    <mergeCell ref="I117:I124"/>
    <mergeCell ref="Q117:Q124"/>
    <mergeCell ref="X117:AF117"/>
    <mergeCell ref="AG117:AY117"/>
    <mergeCell ref="AZ104:AZ107"/>
    <mergeCell ref="J102:J107"/>
    <mergeCell ref="R102:R107"/>
    <mergeCell ref="X102:AF102"/>
    <mergeCell ref="AG102:AY102"/>
    <mergeCell ref="S103:S106"/>
    <mergeCell ref="K103:K106"/>
    <mergeCell ref="L104:L105"/>
    <mergeCell ref="AC103:AC106"/>
    <mergeCell ref="AE103:AE106"/>
    <mergeCell ref="AD103:AD106"/>
    <mergeCell ref="AF103:AF106"/>
    <mergeCell ref="AL103:AL106"/>
    <mergeCell ref="AM103:AM106"/>
    <mergeCell ref="AN103:AN106"/>
    <mergeCell ref="AO103:AO106"/>
    <mergeCell ref="AU103:AU106"/>
    <mergeCell ref="AV103:AV106"/>
    <mergeCell ref="AW103:AW106"/>
    <mergeCell ref="AX103:AX106"/>
    <mergeCell ref="E97:E112"/>
    <mergeCell ref="X97:AF97"/>
    <mergeCell ref="AG97:AY97"/>
    <mergeCell ref="F98:F111"/>
    <mergeCell ref="X98:AF98"/>
    <mergeCell ref="AG98:AY98"/>
    <mergeCell ref="G99:G110"/>
    <mergeCell ref="X99:AF99"/>
    <mergeCell ref="AG99:AY99"/>
    <mergeCell ref="H100:H109"/>
    <mergeCell ref="X100:AF100"/>
    <mergeCell ref="AG100:AY100"/>
    <mergeCell ref="I101:I108"/>
    <mergeCell ref="Q101:Q108"/>
    <mergeCell ref="X101:AF101"/>
    <mergeCell ref="AG101:AY101"/>
    <mergeCell ref="AZ88:AZ91"/>
    <mergeCell ref="J86:J91"/>
    <mergeCell ref="R86:R91"/>
    <mergeCell ref="X86:AF86"/>
    <mergeCell ref="AG86:AY86"/>
    <mergeCell ref="S87:S90"/>
    <mergeCell ref="K87:K90"/>
    <mergeCell ref="L88:L89"/>
    <mergeCell ref="AC87:AC90"/>
    <mergeCell ref="AE87:AE90"/>
    <mergeCell ref="AD87:AD90"/>
    <mergeCell ref="AF87:AF90"/>
    <mergeCell ref="AL87:AL90"/>
    <mergeCell ref="AM87:AM90"/>
    <mergeCell ref="AN87:AN90"/>
    <mergeCell ref="AO87:AO90"/>
    <mergeCell ref="AU87:AU90"/>
    <mergeCell ref="AV87:AV90"/>
    <mergeCell ref="AW87:AW90"/>
    <mergeCell ref="AX87:AX90"/>
    <mergeCell ref="E81:E96"/>
    <mergeCell ref="X81:AF81"/>
    <mergeCell ref="AG81:AY81"/>
    <mergeCell ref="F82:F95"/>
    <mergeCell ref="X82:AF82"/>
    <mergeCell ref="AG82:AY82"/>
    <mergeCell ref="G83:G94"/>
    <mergeCell ref="X83:AF83"/>
    <mergeCell ref="AG83:AY83"/>
    <mergeCell ref="H84:H93"/>
    <mergeCell ref="X84:AF84"/>
    <mergeCell ref="AG84:AY84"/>
    <mergeCell ref="I85:I92"/>
    <mergeCell ref="Q85:Q92"/>
    <mergeCell ref="X85:AF85"/>
    <mergeCell ref="AG85:AY85"/>
    <mergeCell ref="AZ72:AZ75"/>
    <mergeCell ref="J70:J75"/>
    <mergeCell ref="R70:R75"/>
    <mergeCell ref="X70:AF70"/>
    <mergeCell ref="AG70:AY70"/>
    <mergeCell ref="S71:S74"/>
    <mergeCell ref="K71:K74"/>
    <mergeCell ref="L72:L73"/>
    <mergeCell ref="AC71:AC74"/>
    <mergeCell ref="AE71:AE74"/>
    <mergeCell ref="AD71:AD74"/>
    <mergeCell ref="AF71:AF74"/>
    <mergeCell ref="AL71:AL74"/>
    <mergeCell ref="AM71:AM74"/>
    <mergeCell ref="AN71:AN74"/>
    <mergeCell ref="AO71:AO74"/>
    <mergeCell ref="AU71:AU74"/>
    <mergeCell ref="AV71:AV74"/>
    <mergeCell ref="AW71:AW74"/>
    <mergeCell ref="AX71:AX74"/>
    <mergeCell ref="E65:E80"/>
    <mergeCell ref="X65:AF65"/>
    <mergeCell ref="AG65:AY65"/>
    <mergeCell ref="F66:F79"/>
    <mergeCell ref="X66:AF66"/>
    <mergeCell ref="AG66:AY66"/>
    <mergeCell ref="G67:G78"/>
    <mergeCell ref="X67:AF67"/>
    <mergeCell ref="AG67:AY67"/>
    <mergeCell ref="H68:H77"/>
    <mergeCell ref="X68:AF68"/>
    <mergeCell ref="AG68:AY68"/>
    <mergeCell ref="I69:I76"/>
    <mergeCell ref="Q69:Q76"/>
    <mergeCell ref="X69:AF69"/>
    <mergeCell ref="AG69:AY69"/>
    <mergeCell ref="V151:AZ151"/>
    <mergeCell ref="U39:V39"/>
    <mergeCell ref="X39:AE39"/>
    <mergeCell ref="AG39:AN39"/>
    <mergeCell ref="U38:V38"/>
    <mergeCell ref="X38:AE38"/>
    <mergeCell ref="AG38:AN38"/>
    <mergeCell ref="AL55:AL58"/>
    <mergeCell ref="AM55:AM58"/>
    <mergeCell ref="AN55:AN58"/>
    <mergeCell ref="AO55:AO58"/>
    <mergeCell ref="V150:AZ150"/>
    <mergeCell ref="AZ42:AZ47"/>
    <mergeCell ref="AZ56:AZ59"/>
    <mergeCell ref="V147:AZ147"/>
    <mergeCell ref="V148:AZ14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V48:AW48"/>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AU55:AU58"/>
    <mergeCell ref="AV55:AV58"/>
    <mergeCell ref="AW55:AW58"/>
    <mergeCell ref="AX55:AX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s>
  <dataValidations count="8">
    <dataValidation type="list" allowBlank="1" showInputMessage="1" showErrorMessage="1" errorTitle="Ошибка" error="Выберите значение из списка" sqref="V65672 V131208 V196744 V262280 V327816 V393352 V458888 V524424 V589960 V655496 V721032 V786568 V852104 V917640 V983176">
      <formula1>kind_of_heat_transfer</formula1>
    </dataValidation>
    <dataValidation type="list" allowBlank="1" showInputMessage="1" showErrorMessage="1" errorTitle="Ошибка" error="Выберите значение из списка" sqref="X983174:Z983174 X65670:Z65670 X131206:Z131206 X196742:Z196742 X262278:Z262278 X327814:Z327814 X393350:Z393350 X458886:Z458886 X524422:Z524422 X589958:Z589958 X655494:Z655494 X721030:Z721030 X786566:Z786566 X852102:Z852102 X917638:Z917638 AG983174:AI983174 AG65670:AI65670 AG131206:AI131206 AG196742:AI196742 AG262278:AI262278 AG327814:AI327814 AG393350:AI393350 AG458886:AI458886 AG524422:AI524422 AG589958:AI589958 AG655494:AI655494 AG721030:AI721030 AG786566:AI786566 AG852102:AI852102 AG917638:AI917638">
      <formula1>kind_of_scheme_in</formula1>
    </dataValidation>
    <dataValidation type="list" allowBlank="1" showInputMessage="1" errorTitle="Ошибка" error="Выберите значение из списка" prompt="Выберите значение из списка" sqref="X983175:AY983175 X65671:AY65671 X131207:AY131207 X196743:AY196743 X262279:AY262279 X327815:AY327815 X393351:AY393351 X458887:AY458887 X524423:AY524423 X589959:AY589959 X655495:AY655495 X721031:AY721031 X786567:AY786567 X852103:AY852103 X917639:AY917639">
      <formula1>kind_of_cons</formula1>
    </dataValidation>
    <dataValidation allowBlank="1" sqref="U131210:AZ131216 U196746:AZ196752 U262282:AZ262288 U327818:AZ327824 U393354:AZ393360 U458890:AZ458896 U524426:AZ524432 U589962:AZ589968 U655498:AZ655504 U721034:AZ721040 U786570:AZ786576 U852106:AZ852112 U917642:AZ917648 U983178:AZ983184 U65674:AZ65680"/>
    <dataValidation type="textLength" operator="lessThanOrEqual" allowBlank="1" showInputMessage="1" showErrorMessage="1" errorTitle="Ошибка" error="Допускается ввод не более 900 символов!" sqref="AZ65666:AZ65673 AZ131202:AZ131209 AZ196738:AZ196745 AZ262274:AZ262281 AZ327810:AZ327817 AZ393346:AZ393353 AZ458882:AZ458889 AZ524418:AZ524425 AZ589954:AZ589961 AZ655490:AZ655497 AZ721026:AZ721033 AZ786562:AZ786569 AZ852098:AZ852105 AZ917634:AZ917641 AZ983170:AZ98317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72 AC131208 AC196744 AC262280 AC327816 AC393352 AC458888 AC524424 AC589960 AC655496 AC721032 AC786568 AC852104 AC917640 AC983176 AE65672 AE131208 AE196744 AE262280 AE327816 AE393352 AE458888 AE524424 AE589960 AE655496 AE721032 AE786568 AE852104 AE917640 AE983176 AN55 AL65672 AL131208 AL196744 AL262280 AL327816 AL393352 AL458888 AL524424 AL589960 AL655496 AL721032 AL786568 AL852104 AL917640 AL983176 AN65672 AN131208 AN196744 AN262280 AN327816 AN393352 AN458888 AN524424 AN589960 AN655496 AN721032 AN786568 AN852104 AN917640 AN983176 AC55 AE55 AL55 AE8 AC8 AL19:AL21 AN19:AN21 AN8 AL8 AC71 AE71 AL71 AN71 AC87 AE87 AL87 AN87 AC103 AE103 AL103 AN103 AC119 AE119 AL119 AN119 AC135 AE135 AL135 AN135 AU8 AW8 AU55 AW55 AU71 AW71 AU87 AW87 AU103 AW103 AU119 AW119 AU135 AW135"/>
    <dataValidation allowBlank="1" promptTitle="checkPeriodRange" sqref="AB65673 AB131209 AB196745 AB262281 AB327817 AB393353 AB458889 AB524425 AB589961 AB655497 AB721033 AB786569 AB852105 AB917641 AB983177 AB10:AB11 AK65673 AK131209 AK196745 AK262281 AK327817 AK393353 AK458889 AK524425 AK589961 AK655497 AK721033 AK786569 AK852105 AK917641 AK983177 AK10:AK11 AK57 AK22 AB57 AB73 AK73 AB74 AK74 AB89 AK89 AB90 AK90 AB105 AK105 AB106 AK106 AB121 AK121 AB122 AK122 AB137 AK137 AB138 AK138 AT10 AT11 AT57 AT73 AT74 AT89 AT90 AT105 AT106 AT121 AT122 AT137 AT138"/>
    <dataValidation allowBlank="1" showInputMessage="1" showErrorMessage="1" prompt="Для выбора выполните двойной щелчок левой клавиши мыши по соответствующей ячейке." sqref="AD65672 AD131208 AD196744 AD262280 AD327816 AD393352 AD458888 AD524424 AD589960 AD655496 AD721032 AD786568 AD852104 AD917640 AD983176 AF131208 AF458888 AF196744 AF262280 AF327816 AF393352 AF524424 AF589960 AF655496 AF721032 AF786568 AF852104 AF917640 AF983176 AF65672 AM65672 AM131208 AM196744 AM262280 AM327816 AM393352 AM458888 AM524424 AM589960 AM655496 AM721032 AM786568 AM852104 AM917640 AM983176 AO393352:AX393352 AO327816:AX327816 AO524424:AX524424 AO55 AV55 AX55 AO589960:AX589960 AO655496:AX655496 AO19:AO21 AO721032:AX721032 AO786568:AX786568 AO852104:AX852104 AO917640:AX917640 AO983176:AX983176 AO65672:AX65672 AO131208:AX131208 AO458888:AX458888 AF55 AO196744:AX196744 AF8 AD8 AM55 AM19:AM21 AO262280:AX262280 AD55 AO8 AV8 AX8 AM8 AD71 AF71 AM71 AO71 AV71 AX71 AD87 AF87 AM87 AO87 AV87 AX87 AD103 AF103 AM103 AO103 AV103 AX103 AD119 AF119 AM119 AO119 AV119 AX119 AD135 AF135 AM135 AO135 AV135 AX1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170" hidden="1" customWidth="1"/>
    <col min="13" max="14" width="12.28515625" style="2171" hidden="1" customWidth="1"/>
    <col min="15" max="15" width="23.42578125" style="2171" hidden="1" customWidth="1"/>
    <col min="16" max="16" width="3.7109375" style="2171" hidden="1" customWidth="1"/>
    <col min="17" max="17" width="3.7109375" style="2172" hidden="1" customWidth="1"/>
    <col min="18" max="18" width="3.7109375" style="3147" customWidth="1"/>
    <col min="19" max="19" width="12.7109375" style="3148" customWidth="1"/>
    <col min="20" max="20" width="32" style="2112" customWidth="1"/>
    <col min="21" max="21" width="0.140625" style="2112" customWidth="1"/>
    <col min="22" max="23" width="21.7109375" style="2112" hidden="1" customWidth="1"/>
    <col min="24" max="24" width="11.7109375" style="2112" hidden="1" customWidth="1"/>
    <col min="25" max="25" width="3.7109375" style="2112" hidden="1" customWidth="1"/>
    <col min="26" max="26" width="11.7109375" style="2112" hidden="1" customWidth="1"/>
    <col min="27" max="27" width="8.5703125" style="2112" hidden="1" customWidth="1"/>
    <col min="28" max="28" width="5.42578125" style="2112" customWidth="1"/>
    <col min="29" max="30" width="3.7109375" style="2112" customWidth="1"/>
    <col min="31" max="31" width="24.7109375" style="2112" customWidth="1"/>
    <col min="32" max="34" width="3.7109375" style="2112" customWidth="1"/>
    <col min="35" max="35" width="24.7109375" style="2112" customWidth="1"/>
    <col min="36" max="38" width="3.7109375" style="2112" customWidth="1"/>
    <col min="39" max="39" width="18.85546875" style="2112" customWidth="1"/>
    <col min="40" max="41" width="21.7109375" style="2112" customWidth="1"/>
    <col min="42" max="42" width="11.7109375" style="2112" customWidth="1"/>
    <col min="43" max="43" width="3.7109375" style="2112" customWidth="1"/>
    <col min="44" max="44" width="11.7109375" style="2112" customWidth="1"/>
    <col min="45" max="45" width="8.5703125" style="2112" customWidth="1"/>
    <col min="46" max="46" width="4.7109375" style="2112" customWidth="1"/>
    <col min="47" max="47" width="115.7109375" style="2112" customWidth="1"/>
    <col min="48" max="49" width="10.5703125" style="1819"/>
    <col min="50" max="50" width="11.140625" style="1819" customWidth="1"/>
    <col min="51" max="52" width="10.5703125" style="1819"/>
  </cols>
  <sheetData>
    <row r="1" spans="1:52" ht="14.25" hidden="1" customHeight="1">
      <c r="W1" s="253"/>
      <c r="X1" s="253"/>
      <c r="AO1" s="253"/>
      <c r="AP1" s="253"/>
    </row>
    <row r="2" spans="1:52" ht="21" hidden="1" customHeight="1">
      <c r="A2" s="1278"/>
      <c r="B2" s="1278"/>
      <c r="C2" s="1278"/>
      <c r="D2" s="1278"/>
      <c r="E2" s="5314">
        <v>1</v>
      </c>
      <c r="F2" s="1278"/>
      <c r="G2" s="1278"/>
      <c r="H2" s="1278"/>
      <c r="I2" s="1278"/>
      <c r="J2" s="1278"/>
      <c r="K2" s="1278"/>
      <c r="L2" s="1279"/>
      <c r="M2" s="1280"/>
      <c r="N2" s="1280"/>
      <c r="O2" s="1280"/>
      <c r="P2" s="1324"/>
      <c r="Q2" s="785"/>
      <c r="R2" s="279"/>
      <c r="S2" s="1252" t="e">
        <f>INDEX(PT_DIFFERENTIATION_NUM_NTAR,MATCH(A2,PT_DIFFERENTIATION_NTAR_ID,0))</f>
        <v>#N/A</v>
      </c>
      <c r="T2" s="216" t="s">
        <v>127</v>
      </c>
      <c r="U2" s="218"/>
      <c r="V2" s="5301"/>
      <c r="W2" s="5301"/>
      <c r="X2" s="5301"/>
      <c r="Y2" s="5301"/>
      <c r="Z2" s="5301"/>
      <c r="AA2" s="5302"/>
      <c r="AB2" s="5300" t="e">
        <f>INDEX(PT_DIFFERENTIATION_NTAR,MATCH(A2,PT_DIFFERENTIATION_NTAR_ID,0))</f>
        <v>#N/A</v>
      </c>
      <c r="AC2" s="5301"/>
      <c r="AD2" s="5301"/>
      <c r="AE2" s="5301"/>
      <c r="AF2" s="5301"/>
      <c r="AG2" s="5301"/>
      <c r="AH2" s="5301"/>
      <c r="AI2" s="5301"/>
      <c r="AJ2" s="5301"/>
      <c r="AK2" s="5301"/>
      <c r="AL2" s="5301"/>
      <c r="AM2" s="5301"/>
      <c r="AN2" s="5301"/>
      <c r="AO2" s="5301"/>
      <c r="AP2" s="5301"/>
      <c r="AQ2" s="5301"/>
      <c r="AR2" s="5301"/>
      <c r="AS2" s="5301"/>
      <c r="AT2" s="5302"/>
      <c r="AU2" s="1176" t="s">
        <v>515</v>
      </c>
      <c r="AW2" s="425"/>
      <c r="AX2" s="425" t="str">
        <f t="shared" ref="AX2:AX8" si="0">IF(T2="","",T2)</f>
        <v>Наименование тарифа</v>
      </c>
      <c r="AY2" s="425"/>
      <c r="AZ2" s="425"/>
    </row>
    <row r="3" spans="1:52" ht="21" hidden="1" customHeight="1">
      <c r="A3" s="1278"/>
      <c r="B3" s="1278"/>
      <c r="C3" s="1278"/>
      <c r="D3" s="1278"/>
      <c r="E3" s="5315"/>
      <c r="F3" s="5314">
        <v>1</v>
      </c>
      <c r="G3" s="1278"/>
      <c r="H3" s="1278"/>
      <c r="I3" s="1278"/>
      <c r="J3" s="1278"/>
      <c r="K3" s="1278"/>
      <c r="L3" s="1279"/>
      <c r="M3" s="1280"/>
      <c r="N3" s="1280"/>
      <c r="O3" s="1280"/>
      <c r="P3" s="1325"/>
      <c r="Q3" s="1326"/>
      <c r="R3" s="277"/>
      <c r="S3" s="1252" t="e">
        <f>INDEX(PT_DIFFERENTIATION_NUM_TER,MATCH(B3,PT_DIFFERENTIATION_TER_ID,0))</f>
        <v>#N/A</v>
      </c>
      <c r="T3" s="228" t="s">
        <v>516</v>
      </c>
      <c r="U3" s="218"/>
      <c r="V3" s="5301"/>
      <c r="W3" s="5301"/>
      <c r="X3" s="5301"/>
      <c r="Y3" s="5301"/>
      <c r="Z3" s="5301"/>
      <c r="AA3" s="5302"/>
      <c r="AB3" s="5300" t="e">
        <f>INDEX(PT_DIFFERENTIATION_TER,MATCH(B3,PT_DIFFERENTIATION_TER_ID,0))</f>
        <v>#N/A</v>
      </c>
      <c r="AC3" s="5301"/>
      <c r="AD3" s="5301"/>
      <c r="AE3" s="5301"/>
      <c r="AF3" s="5301"/>
      <c r="AG3" s="5301"/>
      <c r="AH3" s="5301"/>
      <c r="AI3" s="5301"/>
      <c r="AJ3" s="5301"/>
      <c r="AK3" s="5301"/>
      <c r="AL3" s="5301"/>
      <c r="AM3" s="5301"/>
      <c r="AN3" s="5301"/>
      <c r="AO3" s="5301"/>
      <c r="AP3" s="5301"/>
      <c r="AQ3" s="5301"/>
      <c r="AR3" s="5301"/>
      <c r="AS3" s="5301"/>
      <c r="AT3" s="5302"/>
      <c r="AU3" s="1176" t="s">
        <v>517</v>
      </c>
      <c r="AW3" s="425"/>
      <c r="AX3" s="425" t="str">
        <f t="shared" si="0"/>
        <v>Территория действия тарифа</v>
      </c>
      <c r="AY3" s="425"/>
      <c r="AZ3" s="425"/>
    </row>
    <row r="4" spans="1:52" ht="22.5" hidden="1" customHeight="1">
      <c r="A4" s="1278"/>
      <c r="B4" s="1278"/>
      <c r="C4" s="1278"/>
      <c r="D4" s="1278"/>
      <c r="E4" s="5315"/>
      <c r="F4" s="5315"/>
      <c r="G4" s="5314">
        <v>1</v>
      </c>
      <c r="H4" s="1278"/>
      <c r="I4" s="1278"/>
      <c r="J4" s="1278"/>
      <c r="K4" s="1278"/>
      <c r="L4" s="1279"/>
      <c r="M4" s="1280"/>
      <c r="N4" s="1280"/>
      <c r="O4" s="1280"/>
      <c r="P4" s="1327"/>
      <c r="Q4" s="1326"/>
      <c r="R4" s="277"/>
      <c r="S4" s="1252" t="e">
        <f>INDEX(PT_DIFFERENTIATION_NUM_CS,MATCH(C4,PT_DIFFERENTIATION_CS_ID,0))</f>
        <v>#N/A</v>
      </c>
      <c r="T4" s="229" t="s">
        <v>518</v>
      </c>
      <c r="U4" s="218"/>
      <c r="V4" s="5301"/>
      <c r="W4" s="5301"/>
      <c r="X4" s="5301"/>
      <c r="Y4" s="5301"/>
      <c r="Z4" s="5301"/>
      <c r="AA4" s="5302"/>
      <c r="AB4" s="5300" t="e">
        <f>INDEX(PT_DIFFERENTIATION_CS,MATCH(C4,PT_DIFFERENTIATION_CS_ID,0))</f>
        <v>#N/A</v>
      </c>
      <c r="AC4" s="5301"/>
      <c r="AD4" s="5301"/>
      <c r="AE4" s="5301"/>
      <c r="AF4" s="5301"/>
      <c r="AG4" s="5301"/>
      <c r="AH4" s="5301"/>
      <c r="AI4" s="5301"/>
      <c r="AJ4" s="5301"/>
      <c r="AK4" s="5301"/>
      <c r="AL4" s="5301"/>
      <c r="AM4" s="5301"/>
      <c r="AN4" s="5301"/>
      <c r="AO4" s="5301"/>
      <c r="AP4" s="5301"/>
      <c r="AQ4" s="5301"/>
      <c r="AR4" s="5301"/>
      <c r="AS4" s="5301"/>
      <c r="AT4" s="5302"/>
      <c r="AU4" s="1176" t="s">
        <v>519</v>
      </c>
      <c r="AW4" s="425"/>
      <c r="AX4" s="425" t="str">
        <f t="shared" si="0"/>
        <v xml:space="preserve">Наименование системы теплоснабжения </v>
      </c>
      <c r="AY4" s="425"/>
      <c r="AZ4" s="425"/>
    </row>
    <row r="5" spans="1:52" ht="21" hidden="1" customHeight="1">
      <c r="A5" s="1278"/>
      <c r="B5" s="1278"/>
      <c r="C5" s="1278"/>
      <c r="D5" s="1278"/>
      <c r="E5" s="5315"/>
      <c r="F5" s="5315"/>
      <c r="G5" s="5315"/>
      <c r="H5" s="5314">
        <v>1</v>
      </c>
      <c r="I5" s="1278"/>
      <c r="J5" s="1278"/>
      <c r="K5" s="1278"/>
      <c r="L5" s="1279"/>
      <c r="M5" s="1280"/>
      <c r="N5" s="1280"/>
      <c r="O5" s="1280"/>
      <c r="P5" s="1327"/>
      <c r="Q5" s="1326"/>
      <c r="R5" s="277"/>
      <c r="S5" s="1252" t="e">
        <f>INDEX(PT_DIFFERENTIATION_NUM_IST_TE,MATCH(D5,PT_DIFFERENTIATION_IST_TE_ID,0))</f>
        <v>#N/A</v>
      </c>
      <c r="T5" s="230" t="s">
        <v>520</v>
      </c>
      <c r="U5" s="218"/>
      <c r="V5" s="5301"/>
      <c r="W5" s="5301"/>
      <c r="X5" s="5301"/>
      <c r="Y5" s="5301"/>
      <c r="Z5" s="5301"/>
      <c r="AA5" s="5302"/>
      <c r="AB5" s="5300" t="e">
        <f>INDEX(PT_DIFFERENTIATION_IST_TE,MATCH(D5,PT_DIFFERENTIATION_IST_TE_ID,0))</f>
        <v>#N/A</v>
      </c>
      <c r="AC5" s="5301"/>
      <c r="AD5" s="5301"/>
      <c r="AE5" s="5301"/>
      <c r="AF5" s="5301"/>
      <c r="AG5" s="5301"/>
      <c r="AH5" s="5301"/>
      <c r="AI5" s="5301"/>
      <c r="AJ5" s="5301"/>
      <c r="AK5" s="5301"/>
      <c r="AL5" s="5301"/>
      <c r="AM5" s="5301"/>
      <c r="AN5" s="5301"/>
      <c r="AO5" s="5301"/>
      <c r="AP5" s="5301"/>
      <c r="AQ5" s="5301"/>
      <c r="AR5" s="5301"/>
      <c r="AS5" s="5301"/>
      <c r="AT5" s="5302"/>
      <c r="AU5" s="1176" t="s">
        <v>521</v>
      </c>
      <c r="AW5" s="425"/>
      <c r="AX5" s="425" t="str">
        <f t="shared" si="0"/>
        <v xml:space="preserve">Источник тепловой энергии  </v>
      </c>
      <c r="AY5" s="425"/>
      <c r="AZ5" s="425"/>
    </row>
    <row r="6" spans="1:52" s="1819" customFormat="1" ht="14.25" hidden="1" customHeight="1">
      <c r="A6" s="1259"/>
      <c r="B6" s="1259"/>
      <c r="C6" s="1259"/>
      <c r="D6" s="1259"/>
      <c r="E6" s="5315"/>
      <c r="F6" s="5315"/>
      <c r="G6" s="5315"/>
      <c r="H6" s="5315"/>
      <c r="I6" s="5312" t="e">
        <f>S5&amp;".1"</f>
        <v>#N/A</v>
      </c>
      <c r="J6" s="1259"/>
      <c r="K6" s="1259"/>
      <c r="L6" s="1262" t="s">
        <v>522</v>
      </c>
      <c r="M6" s="435"/>
      <c r="N6" s="435"/>
      <c r="O6" s="435"/>
      <c r="P6" s="5313">
        <v>1</v>
      </c>
      <c r="Q6" s="1247"/>
      <c r="R6" s="280"/>
      <c r="S6" s="948"/>
      <c r="T6" s="1298"/>
      <c r="U6" s="1299"/>
      <c r="V6" s="5342"/>
      <c r="W6" s="5342"/>
      <c r="X6" s="5342"/>
      <c r="Y6" s="5342"/>
      <c r="Z6" s="5342"/>
      <c r="AA6" s="5343"/>
      <c r="AB6" s="5341"/>
      <c r="AC6" s="5342"/>
      <c r="AD6" s="5342"/>
      <c r="AE6" s="5342"/>
      <c r="AF6" s="5342"/>
      <c r="AG6" s="5342"/>
      <c r="AH6" s="5342"/>
      <c r="AI6" s="5342"/>
      <c r="AJ6" s="5342"/>
      <c r="AK6" s="5342"/>
      <c r="AL6" s="5342"/>
      <c r="AM6" s="5342"/>
      <c r="AN6" s="5342"/>
      <c r="AO6" s="5342"/>
      <c r="AP6" s="5342"/>
      <c r="AQ6" s="5342"/>
      <c r="AR6" s="5342"/>
      <c r="AS6" s="5342"/>
      <c r="AT6" s="5343"/>
      <c r="AU6" s="1300"/>
      <c r="AW6" s="425"/>
      <c r="AX6" s="425" t="str">
        <f t="shared" si="0"/>
        <v/>
      </c>
      <c r="AY6" s="425"/>
      <c r="AZ6" s="425"/>
    </row>
    <row r="7" spans="1:52" s="1819" customFormat="1" ht="14.25" hidden="1" customHeight="1">
      <c r="A7" s="1259"/>
      <c r="B7" s="1259"/>
      <c r="C7" s="1259"/>
      <c r="D7" s="1259"/>
      <c r="E7" s="5315"/>
      <c r="F7" s="5315"/>
      <c r="G7" s="5315"/>
      <c r="H7" s="5315"/>
      <c r="I7" s="5335"/>
      <c r="J7" s="5312" t="e">
        <f>S5&amp;".1"</f>
        <v>#N/A</v>
      </c>
      <c r="K7" s="1259"/>
      <c r="L7" s="1262"/>
      <c r="M7" s="435"/>
      <c r="N7" s="435"/>
      <c r="O7" s="435"/>
      <c r="P7" s="5313"/>
      <c r="Q7" s="5313">
        <v>1</v>
      </c>
      <c r="R7" s="281"/>
      <c r="S7" s="948"/>
      <c r="T7" s="1314"/>
      <c r="U7" s="1299"/>
      <c r="V7" s="5342"/>
      <c r="W7" s="5342"/>
      <c r="X7" s="5342"/>
      <c r="Y7" s="5342"/>
      <c r="Z7" s="5342"/>
      <c r="AA7" s="5343"/>
      <c r="AB7" s="5341"/>
      <c r="AC7" s="5342"/>
      <c r="AD7" s="5342"/>
      <c r="AE7" s="5342"/>
      <c r="AF7" s="5342"/>
      <c r="AG7" s="5342"/>
      <c r="AH7" s="5342"/>
      <c r="AI7" s="5342"/>
      <c r="AJ7" s="5342"/>
      <c r="AK7" s="5342"/>
      <c r="AL7" s="5342"/>
      <c r="AM7" s="5342"/>
      <c r="AN7" s="5342"/>
      <c r="AO7" s="5342"/>
      <c r="AP7" s="5342"/>
      <c r="AQ7" s="5342"/>
      <c r="AR7" s="5342"/>
      <c r="AS7" s="5342"/>
      <c r="AT7" s="5343"/>
      <c r="AU7" s="1300"/>
      <c r="AW7" s="425"/>
      <c r="AX7" s="425" t="str">
        <f t="shared" si="0"/>
        <v/>
      </c>
      <c r="AY7" s="425"/>
      <c r="AZ7" s="425"/>
    </row>
    <row r="8" spans="1:52" ht="21" hidden="1" customHeight="1">
      <c r="A8" s="1278"/>
      <c r="B8" s="1278"/>
      <c r="C8" s="1278"/>
      <c r="D8" s="1278"/>
      <c r="E8" s="5315"/>
      <c r="F8" s="5315"/>
      <c r="G8" s="5315"/>
      <c r="H8" s="5315"/>
      <c r="I8" s="5335"/>
      <c r="J8" s="5335"/>
      <c r="K8" s="5312" t="e">
        <f>S5&amp;".1"</f>
        <v>#N/A</v>
      </c>
      <c r="L8" s="1279"/>
      <c r="P8" s="5313"/>
      <c r="Q8" s="5313"/>
      <c r="R8" s="5370">
        <v>1</v>
      </c>
      <c r="S8" s="5364" t="e">
        <f>$K8</f>
        <v>#N/A</v>
      </c>
      <c r="T8" s="5367"/>
      <c r="U8" s="218"/>
      <c r="V8" s="667"/>
      <c r="W8" s="1175"/>
      <c r="X8" s="5317"/>
      <c r="Y8" s="5161" t="s">
        <v>62</v>
      </c>
      <c r="Z8" s="5317"/>
      <c r="AA8" s="5161" t="s">
        <v>62</v>
      </c>
      <c r="AB8" s="5161" t="s">
        <v>57</v>
      </c>
      <c r="AC8" s="5350"/>
      <c r="AD8" s="5269">
        <v>1</v>
      </c>
      <c r="AE8" s="5351"/>
      <c r="AF8" s="5161" t="s">
        <v>57</v>
      </c>
      <c r="AG8" s="5350"/>
      <c r="AH8" s="5269">
        <v>1</v>
      </c>
      <c r="AI8" s="5351"/>
      <c r="AJ8" s="5161" t="s">
        <v>57</v>
      </c>
      <c r="AK8" s="231"/>
      <c r="AL8" s="1253">
        <v>1</v>
      </c>
      <c r="AM8" s="1313"/>
      <c r="AN8" s="667"/>
      <c r="AO8" s="1175"/>
      <c r="AP8" s="1642"/>
      <c r="AQ8" s="1371" t="s">
        <v>62</v>
      </c>
      <c r="AR8" s="1642"/>
      <c r="AS8" s="1371" t="s">
        <v>62</v>
      </c>
      <c r="AT8" s="1264"/>
      <c r="AU8" s="5309" t="s">
        <v>585</v>
      </c>
      <c r="AV8" s="436" t="e">
        <f ca="1">STRCHECKDATE(V11:AT11)</f>
        <v>#NAME?</v>
      </c>
      <c r="AW8" s="425"/>
      <c r="AX8" s="425" t="str">
        <f t="shared" si="0"/>
        <v/>
      </c>
      <c r="AY8" s="425"/>
      <c r="AZ8" s="425"/>
    </row>
    <row r="9" spans="1:52" ht="11.25" hidden="1" customHeight="1">
      <c r="A9" s="1278"/>
      <c r="B9" s="1278"/>
      <c r="C9" s="1278"/>
      <c r="D9" s="1278"/>
      <c r="E9" s="5315"/>
      <c r="F9" s="5315"/>
      <c r="G9" s="5315"/>
      <c r="H9" s="5315"/>
      <c r="I9" s="5335"/>
      <c r="J9" s="5335"/>
      <c r="K9" s="5312"/>
      <c r="L9" s="1279"/>
      <c r="P9" s="5313"/>
      <c r="Q9" s="5313"/>
      <c r="R9" s="5370"/>
      <c r="S9" s="5365"/>
      <c r="T9" s="5368"/>
      <c r="U9" s="218"/>
      <c r="V9" s="1308"/>
      <c r="W9" s="1312"/>
      <c r="X9" s="5317"/>
      <c r="Y9" s="5161"/>
      <c r="Z9" s="5317"/>
      <c r="AA9" s="5161"/>
      <c r="AB9" s="5161"/>
      <c r="AC9" s="5350"/>
      <c r="AD9" s="5269"/>
      <c r="AE9" s="5351"/>
      <c r="AF9" s="5161"/>
      <c r="AG9" s="5350"/>
      <c r="AH9" s="5269"/>
      <c r="AI9" s="5351"/>
      <c r="AJ9" s="5161"/>
      <c r="AK9" s="238"/>
      <c r="AL9" s="349"/>
      <c r="AM9" s="348" t="s">
        <v>586</v>
      </c>
      <c r="AN9" s="1308"/>
      <c r="AO9" s="1405"/>
      <c r="AP9" s="1308"/>
      <c r="AQ9" s="1308"/>
      <c r="AR9" s="1308"/>
      <c r="AS9" s="1308"/>
      <c r="AT9" s="1305"/>
      <c r="AU9" s="5310"/>
      <c r="AW9" s="425"/>
      <c r="AX9" s="425"/>
      <c r="AY9" s="425"/>
      <c r="AZ9" s="425"/>
    </row>
    <row r="10" spans="1:52" ht="11.25" hidden="1" customHeight="1">
      <c r="A10" s="1278"/>
      <c r="B10" s="1278"/>
      <c r="C10" s="1278"/>
      <c r="D10" s="1278"/>
      <c r="E10" s="5315"/>
      <c r="F10" s="5315"/>
      <c r="G10" s="5315"/>
      <c r="H10" s="5315"/>
      <c r="I10" s="5335"/>
      <c r="J10" s="5335"/>
      <c r="K10" s="5312"/>
      <c r="L10" s="1279"/>
      <c r="P10" s="5313"/>
      <c r="Q10" s="5313"/>
      <c r="R10" s="5370"/>
      <c r="S10" s="5365"/>
      <c r="T10" s="5368"/>
      <c r="U10" s="218"/>
      <c r="V10" s="1308"/>
      <c r="W10" s="1312"/>
      <c r="X10" s="5317"/>
      <c r="Y10" s="5161"/>
      <c r="Z10" s="5317"/>
      <c r="AA10" s="5161"/>
      <c r="AB10" s="5161"/>
      <c r="AC10" s="5350"/>
      <c r="AD10" s="5269"/>
      <c r="AE10" s="5351"/>
      <c r="AF10" s="5161"/>
      <c r="AG10" s="212"/>
      <c r="AH10" s="348"/>
      <c r="AI10" s="348" t="s">
        <v>587</v>
      </c>
      <c r="AJ10" s="1308"/>
      <c r="AK10" s="1308"/>
      <c r="AL10" s="1308"/>
      <c r="AM10" s="1308"/>
      <c r="AN10" s="1308"/>
      <c r="AO10" s="1405"/>
      <c r="AP10" s="1308"/>
      <c r="AQ10" s="1308"/>
      <c r="AR10" s="1308"/>
      <c r="AS10" s="1308"/>
      <c r="AT10" s="1305"/>
      <c r="AU10" s="5310"/>
      <c r="AW10" s="425"/>
      <c r="AX10" s="425"/>
      <c r="AY10" s="425"/>
      <c r="AZ10" s="425"/>
    </row>
    <row r="11" spans="1:52" ht="11.25" hidden="1" customHeight="1">
      <c r="A11" s="1278"/>
      <c r="B11" s="1278"/>
      <c r="C11" s="1278"/>
      <c r="D11" s="1278"/>
      <c r="E11" s="5315"/>
      <c r="F11" s="5315"/>
      <c r="G11" s="5315"/>
      <c r="H11" s="5315"/>
      <c r="I11" s="5335"/>
      <c r="J11" s="5335"/>
      <c r="K11" s="5312"/>
      <c r="L11" s="1279"/>
      <c r="P11" s="5313"/>
      <c r="Q11" s="5313"/>
      <c r="R11" s="5370"/>
      <c r="S11" s="5366"/>
      <c r="T11" s="5369"/>
      <c r="U11" s="218"/>
      <c r="V11" s="1308"/>
      <c r="W11" s="1311" t="str">
        <f>X8&amp;"-"&amp;Z8</f>
        <v>-</v>
      </c>
      <c r="X11" s="5318"/>
      <c r="Y11" s="5161"/>
      <c r="Z11" s="5318"/>
      <c r="AA11" s="5161"/>
      <c r="AB11" s="5161"/>
      <c r="AC11" s="232"/>
      <c r="AD11" s="234"/>
      <c r="AE11" s="348" t="s">
        <v>588</v>
      </c>
      <c r="AF11" s="1308"/>
      <c r="AG11" s="1308"/>
      <c r="AH11" s="1308"/>
      <c r="AI11" s="1308"/>
      <c r="AJ11" s="1308"/>
      <c r="AK11" s="1308"/>
      <c r="AL11" s="1308"/>
      <c r="AM11" s="1308"/>
      <c r="AN11" s="1308"/>
      <c r="AO11" s="1309" t="str">
        <f>AP8&amp;"-"&amp;AR8</f>
        <v>-</v>
      </c>
      <c r="AP11" s="1308"/>
      <c r="AQ11" s="1308"/>
      <c r="AR11" s="1308"/>
      <c r="AS11" s="1308"/>
      <c r="AT11" s="1265"/>
      <c r="AU11" s="5310"/>
      <c r="AW11" s="425"/>
      <c r="AX11" s="425" t="str">
        <f t="shared" ref="AX11:AX17" si="1">IF(T11="","",T11)</f>
        <v/>
      </c>
      <c r="AY11" s="425"/>
      <c r="AZ11" s="425"/>
    </row>
    <row r="12" spans="1:52" ht="11.25" hidden="1" customHeight="1">
      <c r="A12" s="1278"/>
      <c r="B12" s="1278"/>
      <c r="C12" s="1278"/>
      <c r="D12" s="1278"/>
      <c r="E12" s="5315"/>
      <c r="F12" s="5315"/>
      <c r="G12" s="5315"/>
      <c r="H12" s="5315"/>
      <c r="I12" s="5335"/>
      <c r="J12" s="5312"/>
      <c r="K12" s="1278"/>
      <c r="L12" s="1279"/>
      <c r="P12" s="5313"/>
      <c r="Q12" s="5313"/>
      <c r="R12" s="280"/>
      <c r="S12" s="1197"/>
      <c r="T12" s="205" t="s">
        <v>589</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5311"/>
      <c r="AW12" s="425"/>
      <c r="AX12" s="425" t="str">
        <f t="shared" si="1"/>
        <v>Добавить строку</v>
      </c>
      <c r="AY12" s="425"/>
      <c r="AZ12" s="425"/>
    </row>
    <row r="13" spans="1:52" s="1819" customFormat="1" ht="14.25" hidden="1" customHeight="1">
      <c r="A13" s="1259"/>
      <c r="B13" s="1259"/>
      <c r="C13" s="1259"/>
      <c r="D13" s="1259"/>
      <c r="E13" s="5315"/>
      <c r="F13" s="5315"/>
      <c r="G13" s="5315"/>
      <c r="H13" s="5315"/>
      <c r="I13" s="5312"/>
      <c r="J13" s="1259"/>
      <c r="K13" s="1259"/>
      <c r="L13" s="1262"/>
      <c r="M13" s="435"/>
      <c r="N13" s="435"/>
      <c r="O13" s="435"/>
      <c r="P13" s="5313"/>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19" customFormat="1" ht="14.25" hidden="1" customHeight="1">
      <c r="A14" s="1259"/>
      <c r="B14" s="1259"/>
      <c r="C14" s="1259"/>
      <c r="D14" s="1259"/>
      <c r="E14" s="5315"/>
      <c r="F14" s="5315"/>
      <c r="G14" s="5315"/>
      <c r="H14" s="5314"/>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2167" customFormat="1" ht="14.25" hidden="1" customHeight="1">
      <c r="A15" s="1259"/>
      <c r="B15" s="1259"/>
      <c r="C15" s="1259"/>
      <c r="D15" s="1231"/>
      <c r="E15" s="5315"/>
      <c r="F15" s="5315"/>
      <c r="G15" s="5314"/>
      <c r="H15" s="1231"/>
      <c r="I15" s="1231"/>
      <c r="J15" s="1231"/>
      <c r="K15" s="1231"/>
      <c r="L15" s="1255"/>
      <c r="M15" s="1232"/>
      <c r="N15" s="1232"/>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2167" customFormat="1" ht="14.25" hidden="1" customHeight="1">
      <c r="A16" s="1259"/>
      <c r="B16" s="1259"/>
      <c r="C16" s="1231"/>
      <c r="D16" s="1231"/>
      <c r="E16" s="5315"/>
      <c r="F16" s="5314"/>
      <c r="G16" s="1231"/>
      <c r="H16" s="1231"/>
      <c r="I16" s="1231"/>
      <c r="J16" s="1231"/>
      <c r="K16" s="1231"/>
      <c r="L16" s="1255"/>
      <c r="M16" s="1238"/>
      <c r="N16" s="1238"/>
      <c r="P16" s="1233"/>
      <c r="Q16" s="1234"/>
      <c r="R16" s="1233"/>
      <c r="S16" s="1239"/>
      <c r="T16" s="1242" t="s">
        <v>169</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19" customFormat="1" ht="14.25" hidden="1" customHeight="1">
      <c r="A17" s="1259"/>
      <c r="B17" s="1259"/>
      <c r="C17" s="1259"/>
      <c r="D17" s="1259"/>
      <c r="E17" s="5314"/>
      <c r="F17" s="1259"/>
      <c r="G17" s="1259"/>
      <c r="H17" s="1259"/>
      <c r="I17" s="1259"/>
      <c r="J17" s="1259"/>
      <c r="K17" s="1259"/>
      <c r="L17" s="1262"/>
      <c r="M17" s="1238"/>
      <c r="N17" s="1238"/>
      <c r="O17" s="443"/>
      <c r="P17" s="312"/>
      <c r="Q17" s="1260"/>
      <c r="R17" s="312"/>
      <c r="S17" s="1239"/>
      <c r="T17" s="1242" t="s">
        <v>174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4"/>
      <c r="AQ19" s="1372" t="s">
        <v>62</v>
      </c>
      <c r="AR19" s="1644"/>
      <c r="AS19" s="1372" t="s">
        <v>62</v>
      </c>
    </row>
    <row r="20" spans="1:52" ht="14.25" hidden="1" customHeight="1">
      <c r="AV20" s="421"/>
      <c r="AW20" s="421"/>
      <c r="AX20" s="421"/>
      <c r="AY20" s="421"/>
      <c r="AZ20" s="421"/>
    </row>
    <row r="21" spans="1:52" ht="14.25" hidden="1" customHeight="1">
      <c r="O21" s="1282" t="s">
        <v>533</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4582" customFormat="1" ht="14.25" hidden="1" customHeight="1">
      <c r="M23" s="1417"/>
      <c r="N23" s="1417"/>
      <c r="O23" s="1418" t="s">
        <v>534</v>
      </c>
      <c r="P23" s="1417"/>
      <c r="Q23" s="1419"/>
      <c r="R23" s="1419"/>
      <c r="Y23" s="1416" t="s">
        <v>536</v>
      </c>
      <c r="AA23" s="1416" t="s">
        <v>537</v>
      </c>
      <c r="AB23" s="1416" t="s">
        <v>590</v>
      </c>
      <c r="AE23" s="1416" t="s">
        <v>591</v>
      </c>
      <c r="AF23" s="1416" t="s">
        <v>590</v>
      </c>
      <c r="AI23" s="1416" t="s">
        <v>592</v>
      </c>
      <c r="AJ23" s="1416" t="s">
        <v>590</v>
      </c>
      <c r="AM23" s="1416" t="s">
        <v>593</v>
      </c>
      <c r="AQ23" s="1416" t="s">
        <v>536</v>
      </c>
      <c r="AS23" s="1416" t="s">
        <v>537</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52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5298"/>
      <c r="U27" s="5298"/>
      <c r="V27" s="5298"/>
      <c r="W27" s="5298"/>
      <c r="X27" s="5298"/>
      <c r="Y27" s="5298"/>
      <c r="Z27" s="5298"/>
      <c r="AA27" s="5298"/>
      <c r="AB27" s="5298"/>
      <c r="AC27" s="5298"/>
      <c r="AD27" s="5298"/>
      <c r="AE27" s="5298"/>
      <c r="AF27" s="5298"/>
      <c r="AG27" s="5298"/>
      <c r="AH27" s="5298"/>
      <c r="AI27" s="5298"/>
      <c r="AJ27" s="5298"/>
      <c r="AK27" s="5298"/>
      <c r="AL27" s="5298"/>
      <c r="AM27" s="5298"/>
      <c r="AN27" s="5298"/>
      <c r="AO27" s="5298"/>
      <c r="AP27" s="5298"/>
      <c r="AQ27" s="5298"/>
      <c r="AR27" s="5298"/>
      <c r="AS27" s="1151"/>
    </row>
    <row r="28" spans="1:52" ht="14.25" customHeight="1">
      <c r="Q28" s="209"/>
      <c r="R28" s="304"/>
      <c r="S28" s="5245" t="str">
        <f>IF(org=0,"Не определено",org)</f>
        <v>ПАО "ТГК-1" (филиал "Кольский")</v>
      </c>
      <c r="T28" s="5245"/>
      <c r="U28" s="5245"/>
      <c r="V28" s="5245"/>
      <c r="W28" s="5245"/>
      <c r="X28" s="5245"/>
      <c r="Y28" s="5245"/>
      <c r="Z28" s="5245"/>
      <c r="AA28" s="5245"/>
      <c r="AB28" s="5245"/>
      <c r="AC28" s="5245"/>
      <c r="AD28" s="5245"/>
      <c r="AE28" s="5245"/>
      <c r="AF28" s="5245"/>
      <c r="AG28" s="5245"/>
      <c r="AH28" s="5245"/>
      <c r="AI28" s="5245"/>
      <c r="AJ28" s="5245"/>
      <c r="AK28" s="5245"/>
      <c r="AL28" s="5245"/>
      <c r="AM28" s="5245"/>
      <c r="AN28" s="5245"/>
      <c r="AO28" s="5245"/>
      <c r="AP28" s="5245"/>
      <c r="AQ28" s="5245"/>
      <c r="AR28" s="5245"/>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2180" customFormat="1" ht="25.5" customHeight="1">
      <c r="A30" s="1283"/>
      <c r="B30" s="1283"/>
      <c r="C30" s="1283"/>
      <c r="D30" s="1283"/>
      <c r="E30" s="1283"/>
      <c r="F30" s="1283"/>
      <c r="G30" s="1283"/>
      <c r="H30" s="1283"/>
      <c r="I30" s="1283"/>
      <c r="J30" s="1283"/>
      <c r="K30" s="1283"/>
      <c r="L30" s="1284"/>
      <c r="M30" s="1283"/>
      <c r="N30" s="1283"/>
      <c r="O30" s="1283"/>
      <c r="P30" s="1283"/>
      <c r="Q30" s="1283"/>
      <c r="S30" s="5306" t="s">
        <v>38</v>
      </c>
      <c r="T30" s="5306"/>
      <c r="U30" s="1287"/>
      <c r="V30" s="5307" t="str">
        <f>IF(TITLE_NAME_OR_PR_CHANGE="",IF(TITLE_NAME_OR_PR="","",TITLE_NAME_OR_PR),TITLE_NAME_OR_PR_CHANGE)</f>
        <v>Комитет по тарифному регулированию Мурманской области</v>
      </c>
      <c r="W30" s="5307"/>
      <c r="X30" s="5307"/>
      <c r="Y30" s="5307"/>
      <c r="Z30" s="5307"/>
      <c r="AA30" s="252"/>
      <c r="AB30" s="5307" t="str">
        <f>IF(TITLE_NAME_OR_PR_CHANGE="",IF(TITLE_NAME_OR_PR="","",TITLE_NAME_OR_PR),TITLE_NAME_OR_PR_CHANGE)</f>
        <v>Комитет по тарифному регулированию Мурманской области</v>
      </c>
      <c r="AC30" s="5307"/>
      <c r="AD30" s="5307"/>
      <c r="AE30" s="5307"/>
      <c r="AF30" s="5307"/>
      <c r="AG30" s="5307"/>
      <c r="AH30" s="5307"/>
      <c r="AI30" s="5307"/>
      <c r="AJ30" s="5307"/>
      <c r="AK30" s="5307"/>
      <c r="AL30" s="5307"/>
      <c r="AM30" s="5307"/>
      <c r="AN30" s="5307"/>
      <c r="AO30" s="5307"/>
      <c r="AP30" s="5307"/>
      <c r="AQ30" s="5307"/>
      <c r="AR30" s="5307"/>
      <c r="AS30" s="252"/>
      <c r="AT30" s="252"/>
      <c r="AU30" s="199"/>
      <c r="AV30" s="295"/>
      <c r="AW30" s="295"/>
      <c r="AX30" s="295"/>
      <c r="AY30" s="295"/>
      <c r="AZ30" s="295"/>
    </row>
    <row r="31" spans="1:52" s="2180" customFormat="1" ht="18.75" customHeight="1">
      <c r="A31" s="1283"/>
      <c r="B31" s="1283"/>
      <c r="C31" s="1283"/>
      <c r="D31" s="1283"/>
      <c r="E31" s="1283"/>
      <c r="F31" s="1283"/>
      <c r="G31" s="1283"/>
      <c r="H31" s="1283"/>
      <c r="I31" s="1283"/>
      <c r="J31" s="1283"/>
      <c r="K31" s="1283"/>
      <c r="L31" s="1284"/>
      <c r="M31" s="1283"/>
      <c r="N31" s="1283"/>
      <c r="O31" s="1283"/>
      <c r="P31" s="1283"/>
      <c r="Q31" s="1283"/>
      <c r="S31" s="5306" t="s">
        <v>539</v>
      </c>
      <c r="T31" s="5306"/>
      <c r="U31" s="1287"/>
      <c r="V31" s="5316">
        <f>IF(TITLE_DATE_PR_CHANGE="",IF(TITLE_DATE_PR="","",TITLE_DATE_PR),TITLE_DATE_PR_CHANGE)</f>
        <v>45646.340555555558</v>
      </c>
      <c r="W31" s="5316"/>
      <c r="X31" s="5316"/>
      <c r="Y31" s="5316"/>
      <c r="Z31" s="5316"/>
      <c r="AA31" s="252"/>
      <c r="AB31" s="5316">
        <f>IF(TITLE_DATE_PR_CHANGE="",IF(TITLE_DATE_PR="","",TITLE_DATE_PR),TITLE_DATE_PR_CHANGE)</f>
        <v>45646.340555555558</v>
      </c>
      <c r="AC31" s="5316"/>
      <c r="AD31" s="5316"/>
      <c r="AE31" s="5316"/>
      <c r="AF31" s="5316"/>
      <c r="AG31" s="5316"/>
      <c r="AH31" s="5316"/>
      <c r="AI31" s="5316"/>
      <c r="AJ31" s="5316"/>
      <c r="AK31" s="5316"/>
      <c r="AL31" s="5316"/>
      <c r="AM31" s="5316"/>
      <c r="AN31" s="5316"/>
      <c r="AO31" s="5316"/>
      <c r="AP31" s="5316"/>
      <c r="AQ31" s="5316"/>
      <c r="AR31" s="5316"/>
      <c r="AS31" s="252"/>
      <c r="AT31" s="252"/>
      <c r="AU31" s="199"/>
      <c r="AV31" s="295"/>
      <c r="AW31" s="295"/>
      <c r="AX31" s="295"/>
      <c r="AY31" s="295"/>
      <c r="AZ31" s="295"/>
    </row>
    <row r="32" spans="1:52" s="2180" customFormat="1" ht="18.75" customHeight="1">
      <c r="A32" s="1283"/>
      <c r="B32" s="1283"/>
      <c r="C32" s="1283"/>
      <c r="D32" s="1283"/>
      <c r="E32" s="1283"/>
      <c r="F32" s="1283"/>
      <c r="G32" s="1283"/>
      <c r="H32" s="1283"/>
      <c r="I32" s="1283"/>
      <c r="J32" s="1283"/>
      <c r="K32" s="1283"/>
      <c r="L32" s="1284"/>
      <c r="M32" s="1283"/>
      <c r="N32" s="1283"/>
      <c r="O32" s="1283"/>
      <c r="P32" s="1283"/>
      <c r="Q32" s="1283"/>
      <c r="S32" s="5306" t="s">
        <v>540</v>
      </c>
      <c r="T32" s="5306"/>
      <c r="U32" s="1287"/>
      <c r="V32" s="5307" t="str">
        <f>IF(TITLE_NUMBER_PR_CHANGE="",IF(TITLE_NUMBER_PR="","",TITLE_NUMBER_PR),TITLE_NUMBER_PR_CHANGE)</f>
        <v>51/6; 51/7</v>
      </c>
      <c r="W32" s="5307"/>
      <c r="X32" s="5307"/>
      <c r="Y32" s="5307"/>
      <c r="Z32" s="5307"/>
      <c r="AA32" s="252"/>
      <c r="AB32" s="5307" t="str">
        <f>IF(TITLE_NUMBER_PR_CHANGE="",IF(TITLE_NUMBER_PR="","",TITLE_NUMBER_PR),TITLE_NUMBER_PR_CHANGE)</f>
        <v>51/6; 51/7</v>
      </c>
      <c r="AC32" s="5307"/>
      <c r="AD32" s="5307"/>
      <c r="AE32" s="5307"/>
      <c r="AF32" s="5307"/>
      <c r="AG32" s="5307"/>
      <c r="AH32" s="5307"/>
      <c r="AI32" s="5307"/>
      <c r="AJ32" s="5307"/>
      <c r="AK32" s="5307"/>
      <c r="AL32" s="5307"/>
      <c r="AM32" s="5307"/>
      <c r="AN32" s="5307"/>
      <c r="AO32" s="5307"/>
      <c r="AP32" s="5307"/>
      <c r="AQ32" s="5307"/>
      <c r="AR32" s="5307"/>
      <c r="AS32" s="252"/>
      <c r="AT32" s="252"/>
      <c r="AU32" s="199"/>
      <c r="AV32" s="295"/>
      <c r="AW32" s="295"/>
      <c r="AX32" s="295"/>
      <c r="AY32" s="295"/>
      <c r="AZ32" s="295"/>
    </row>
    <row r="33" spans="1:52" s="2180" customFormat="1" ht="18.75" customHeight="1">
      <c r="A33" s="1283"/>
      <c r="B33" s="1283"/>
      <c r="C33" s="1283"/>
      <c r="D33" s="1283"/>
      <c r="E33" s="1283"/>
      <c r="F33" s="1283"/>
      <c r="G33" s="1283"/>
      <c r="H33" s="1283"/>
      <c r="I33" s="1283"/>
      <c r="J33" s="1283"/>
      <c r="K33" s="1283"/>
      <c r="L33" s="1284"/>
      <c r="M33" s="1283"/>
      <c r="N33" s="1283"/>
      <c r="O33" s="1283"/>
      <c r="P33" s="1283"/>
      <c r="Q33" s="1283"/>
      <c r="S33" s="5306" t="s">
        <v>40</v>
      </c>
      <c r="T33" s="5306"/>
      <c r="U33" s="1287"/>
      <c r="V33" s="5307" t="str">
        <f>IF(TITLE_IST_PUB_CHANGE="",IF(TITLE_IST_PUB="","",TITLE_IST_PUB),TITLE_IST_PUB_CHANGE)</f>
        <v>Официальный электронный бюллетень Правительства Мурманской области</v>
      </c>
      <c r="W33" s="5307"/>
      <c r="X33" s="5307"/>
      <c r="Y33" s="5307"/>
      <c r="Z33" s="5307"/>
      <c r="AA33" s="252"/>
      <c r="AB33" s="5307" t="str">
        <f>IF(TITLE_IST_PUB_CHANGE="",IF(TITLE_IST_PUB="","",TITLE_IST_PUB),TITLE_IST_PUB_CHANGE)</f>
        <v>Официальный электронный бюллетень Правительства Мурманской области</v>
      </c>
      <c r="AC33" s="5307"/>
      <c r="AD33" s="5307"/>
      <c r="AE33" s="5307"/>
      <c r="AF33" s="5307"/>
      <c r="AG33" s="5307"/>
      <c r="AH33" s="5307"/>
      <c r="AI33" s="5307"/>
      <c r="AJ33" s="5307"/>
      <c r="AK33" s="5307"/>
      <c r="AL33" s="5307"/>
      <c r="AM33" s="5307"/>
      <c r="AN33" s="5307"/>
      <c r="AO33" s="5307"/>
      <c r="AP33" s="5307"/>
      <c r="AQ33" s="5307"/>
      <c r="AR33" s="5307"/>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2180" customFormat="1" ht="18.75" hidden="1" customHeight="1">
      <c r="A35" s="1283"/>
      <c r="B35" s="1283"/>
      <c r="C35" s="1283"/>
      <c r="D35" s="1283"/>
      <c r="E35" s="1283"/>
      <c r="F35" s="1283"/>
      <c r="G35" s="1283"/>
      <c r="H35" s="1283"/>
      <c r="I35" s="1283"/>
      <c r="J35" s="1283"/>
      <c r="K35" s="1283"/>
      <c r="L35" s="1284"/>
      <c r="M35" s="1283"/>
      <c r="N35" s="1283"/>
      <c r="O35" s="1283"/>
      <c r="P35" s="1283"/>
      <c r="Q35" s="1283"/>
      <c r="S35" s="5306" t="s">
        <v>539</v>
      </c>
      <c r="T35" s="5306"/>
      <c r="U35" s="1287"/>
      <c r="V35" s="5316">
        <f>IF(TITLE_DATE_PR_CHANGE="",IF(TITLE_DATE_PR="","",TITLE_DATE_PR),TITLE_DATE_PR_CHANGE)</f>
        <v>45646.340555555558</v>
      </c>
      <c r="W35" s="5316"/>
      <c r="X35" s="5316"/>
      <c r="Y35" s="5316"/>
      <c r="Z35" s="5316"/>
      <c r="AA35" s="252"/>
      <c r="AB35" s="5316">
        <f>IF(TITLE_DATE_PR_CHANGE="",IF(TITLE_DATE_PR="","",TITLE_DATE_PR),TITLE_DATE_PR_CHANGE)</f>
        <v>45646.340555555558</v>
      </c>
      <c r="AC35" s="5316"/>
      <c r="AD35" s="5316"/>
      <c r="AE35" s="5316"/>
      <c r="AF35" s="5316"/>
      <c r="AG35" s="5316"/>
      <c r="AH35" s="5316"/>
      <c r="AI35" s="5316"/>
      <c r="AJ35" s="5316"/>
      <c r="AK35" s="5316"/>
      <c r="AL35" s="5316"/>
      <c r="AM35" s="5316"/>
      <c r="AN35" s="5316"/>
      <c r="AO35" s="5316"/>
      <c r="AP35" s="5316"/>
      <c r="AQ35" s="5316"/>
      <c r="AR35" s="5316"/>
      <c r="AS35" s="252"/>
      <c r="AT35" s="252"/>
      <c r="AU35" s="199"/>
      <c r="AV35" s="295"/>
      <c r="AW35" s="295"/>
      <c r="AX35" s="295"/>
      <c r="AY35" s="295"/>
      <c r="AZ35" s="295"/>
    </row>
    <row r="36" spans="1:52" s="2180" customFormat="1" ht="18" hidden="1" customHeight="1">
      <c r="A36" s="1283"/>
      <c r="B36" s="1283"/>
      <c r="C36" s="1283"/>
      <c r="D36" s="1283"/>
      <c r="E36" s="1283"/>
      <c r="F36" s="1283"/>
      <c r="G36" s="1283"/>
      <c r="H36" s="1283"/>
      <c r="I36" s="1283"/>
      <c r="J36" s="1283"/>
      <c r="K36" s="1283"/>
      <c r="L36" s="1284"/>
      <c r="M36" s="1283"/>
      <c r="N36" s="1283"/>
      <c r="O36" s="1283"/>
      <c r="P36" s="1283"/>
      <c r="Q36" s="1283"/>
      <c r="S36" s="5306" t="s">
        <v>540</v>
      </c>
      <c r="T36" s="5306"/>
      <c r="U36" s="1287"/>
      <c r="V36" s="5307" t="str">
        <f>IF(TITLE_NUMBER_PR_CHANGE="",IF(TITLE_NUMBER_PR="","",TITLE_NUMBER_PR),TITLE_NUMBER_PR_CHANGE)</f>
        <v>51/6; 51/7</v>
      </c>
      <c r="W36" s="5307"/>
      <c r="X36" s="5307"/>
      <c r="Y36" s="5307"/>
      <c r="Z36" s="5307"/>
      <c r="AA36" s="252"/>
      <c r="AB36" s="5307" t="str">
        <f>IF(TITLE_NUMBER_PR_CHANGE="",IF(TITLE_NUMBER_PR="","",TITLE_NUMBER_PR),TITLE_NUMBER_PR_CHANGE)</f>
        <v>51/6; 51/7</v>
      </c>
      <c r="AC36" s="5307"/>
      <c r="AD36" s="5307"/>
      <c r="AE36" s="5307"/>
      <c r="AF36" s="5307"/>
      <c r="AG36" s="5307"/>
      <c r="AH36" s="5307"/>
      <c r="AI36" s="5307"/>
      <c r="AJ36" s="5307"/>
      <c r="AK36" s="5307"/>
      <c r="AL36" s="5307"/>
      <c r="AM36" s="5307"/>
      <c r="AN36" s="5307"/>
      <c r="AO36" s="5307"/>
      <c r="AP36" s="5307"/>
      <c r="AQ36" s="5307"/>
      <c r="AR36" s="5307"/>
      <c r="AS36" s="252"/>
      <c r="AT36" s="252"/>
      <c r="AU36" s="199"/>
      <c r="AV36" s="295"/>
      <c r="AW36" s="295"/>
      <c r="AX36" s="295"/>
      <c r="AY36" s="295"/>
      <c r="AZ36" s="295"/>
    </row>
    <row r="37" spans="1:52" s="2180"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543</v>
      </c>
      <c r="AB37" s="252"/>
      <c r="AC37" s="252"/>
      <c r="AD37" s="252"/>
      <c r="AE37" s="252"/>
      <c r="AF37" s="252"/>
      <c r="AG37" s="252"/>
      <c r="AH37" s="252"/>
      <c r="AI37" s="252"/>
      <c r="AJ37" s="252"/>
      <c r="AK37" s="252"/>
      <c r="AL37" s="252"/>
      <c r="AM37" s="252"/>
      <c r="AN37" s="252"/>
      <c r="AO37" s="252"/>
      <c r="AP37" s="252"/>
      <c r="AQ37" s="252"/>
      <c r="AR37" s="252"/>
      <c r="AS37" s="197" t="s">
        <v>543</v>
      </c>
      <c r="AV37" s="295"/>
      <c r="AW37" s="295"/>
      <c r="AX37" s="295"/>
      <c r="AY37" s="295"/>
      <c r="AZ37" s="295"/>
    </row>
    <row r="38" spans="1:52" ht="14.25" customHeight="1">
      <c r="Q38" s="209"/>
      <c r="R38" s="304"/>
      <c r="S38" s="1194"/>
      <c r="T38" s="289"/>
      <c r="U38" s="1152"/>
      <c r="V38" s="5308"/>
      <c r="W38" s="5308"/>
      <c r="X38" s="5308"/>
      <c r="Y38" s="5308"/>
      <c r="Z38" s="5308"/>
      <c r="AA38" s="5308"/>
      <c r="AB38" s="5308"/>
      <c r="AC38" s="5308"/>
      <c r="AD38" s="5308"/>
      <c r="AE38" s="5308"/>
      <c r="AF38" s="5308"/>
      <c r="AG38" s="5308"/>
      <c r="AH38" s="5308"/>
      <c r="AI38" s="5308"/>
      <c r="AJ38" s="5308"/>
      <c r="AK38" s="5308"/>
      <c r="AL38" s="5308"/>
      <c r="AM38" s="5308"/>
      <c r="AN38" s="5308"/>
      <c r="AO38" s="5308"/>
      <c r="AP38" s="5308"/>
      <c r="AQ38" s="5308"/>
      <c r="AR38" s="5308"/>
      <c r="AS38" s="5308"/>
    </row>
    <row r="39" spans="1:52" ht="14.25" customHeight="1">
      <c r="Q39" s="209"/>
      <c r="R39" s="304"/>
      <c r="S39" s="5180" t="s">
        <v>417</v>
      </c>
      <c r="T39" s="5180"/>
      <c r="U39" s="5180"/>
      <c r="V39" s="5180"/>
      <c r="W39" s="5180"/>
      <c r="X39" s="5180"/>
      <c r="Y39" s="5180"/>
      <c r="Z39" s="5180"/>
      <c r="AA39" s="5180"/>
      <c r="AB39" s="5244"/>
      <c r="AC39" s="5244"/>
      <c r="AD39" s="5244"/>
      <c r="AE39" s="5244"/>
      <c r="AF39" s="5180"/>
      <c r="AG39" s="5180"/>
      <c r="AH39" s="5180"/>
      <c r="AI39" s="5180"/>
      <c r="AJ39" s="5180"/>
      <c r="AK39" s="5180"/>
      <c r="AL39" s="5180"/>
      <c r="AM39" s="5180"/>
      <c r="AN39" s="5180"/>
      <c r="AO39" s="5180"/>
      <c r="AP39" s="5180"/>
      <c r="AQ39" s="5180"/>
      <c r="AR39" s="5180"/>
      <c r="AS39" s="5180"/>
      <c r="AT39" s="5180"/>
      <c r="AU39" s="5180" t="s">
        <v>418</v>
      </c>
    </row>
    <row r="40" spans="1:52" ht="14.25" customHeight="1">
      <c r="Q40" s="209"/>
      <c r="R40" s="304"/>
      <c r="S40" s="5322" t="s">
        <v>83</v>
      </c>
      <c r="T40" s="5274" t="s">
        <v>594</v>
      </c>
      <c r="U40" s="219"/>
      <c r="V40" s="5324"/>
      <c r="W40" s="5324"/>
      <c r="X40" s="5324"/>
      <c r="Y40" s="5324"/>
      <c r="Z40" s="5325"/>
      <c r="AA40" s="5360" t="s">
        <v>546</v>
      </c>
      <c r="AB40" s="5352" t="s">
        <v>595</v>
      </c>
      <c r="AC40" s="5338"/>
      <c r="AD40" s="5338"/>
      <c r="AE40" s="5353"/>
      <c r="AF40" s="5338" t="s">
        <v>596</v>
      </c>
      <c r="AG40" s="5338"/>
      <c r="AH40" s="5338"/>
      <c r="AI40" s="5353"/>
      <c r="AJ40" s="5352" t="s">
        <v>597</v>
      </c>
      <c r="AK40" s="5338"/>
      <c r="AL40" s="5338"/>
      <c r="AM40" s="5353"/>
      <c r="AN40" s="5352" t="s">
        <v>545</v>
      </c>
      <c r="AO40" s="5338"/>
      <c r="AP40" s="5324"/>
      <c r="AQ40" s="5324"/>
      <c r="AR40" s="5325"/>
      <c r="AS40" s="5326" t="s">
        <v>546</v>
      </c>
      <c r="AT40" s="5329" t="s">
        <v>548</v>
      </c>
      <c r="AU40" s="5180"/>
    </row>
    <row r="41" spans="1:52" ht="33.75" customHeight="1">
      <c r="Q41" s="209"/>
      <c r="R41" s="304"/>
      <c r="S41" s="5322"/>
      <c r="T41" s="5274"/>
      <c r="U41" s="937"/>
      <c r="V41" s="5259" t="s">
        <v>598</v>
      </c>
      <c r="W41" s="5260"/>
      <c r="X41" s="5259" t="s">
        <v>552</v>
      </c>
      <c r="Y41" s="5347"/>
      <c r="Z41" s="5260"/>
      <c r="AA41" s="5361"/>
      <c r="AB41" s="5354"/>
      <c r="AC41" s="5355"/>
      <c r="AD41" s="5355"/>
      <c r="AE41" s="5356"/>
      <c r="AF41" s="5355"/>
      <c r="AG41" s="5355"/>
      <c r="AH41" s="5355"/>
      <c r="AI41" s="5356"/>
      <c r="AJ41" s="5354"/>
      <c r="AK41" s="5355"/>
      <c r="AL41" s="5355"/>
      <c r="AM41" s="5355"/>
      <c r="AN41" s="5180" t="s">
        <v>599</v>
      </c>
      <c r="AO41" s="5180"/>
      <c r="AP41" s="5347" t="s">
        <v>552</v>
      </c>
      <c r="AQ41" s="5347"/>
      <c r="AR41" s="5260"/>
      <c r="AS41" s="5327"/>
      <c r="AT41" s="5330"/>
      <c r="AU41" s="5180"/>
    </row>
    <row r="42" spans="1:52" ht="14.25" customHeight="1">
      <c r="Q42" s="209"/>
      <c r="R42" s="304"/>
      <c r="S42" s="5322"/>
      <c r="T42" s="5274"/>
      <c r="U42" s="937"/>
      <c r="V42" s="5264"/>
      <c r="W42" s="5265"/>
      <c r="X42" s="5264"/>
      <c r="Y42" s="5348"/>
      <c r="Z42" s="5265"/>
      <c r="AA42" s="5361"/>
      <c r="AB42" s="5354"/>
      <c r="AC42" s="5355"/>
      <c r="AD42" s="5355"/>
      <c r="AE42" s="5356"/>
      <c r="AF42" s="5355"/>
      <c r="AG42" s="5355"/>
      <c r="AH42" s="5355"/>
      <c r="AI42" s="5356"/>
      <c r="AJ42" s="5354"/>
      <c r="AK42" s="5355"/>
      <c r="AL42" s="5355"/>
      <c r="AM42" s="5355"/>
      <c r="AN42" s="5363"/>
      <c r="AO42" s="5363"/>
      <c r="AP42" s="5348"/>
      <c r="AQ42" s="5348"/>
      <c r="AR42" s="5265"/>
      <c r="AS42" s="5327"/>
      <c r="AT42" s="5330"/>
      <c r="AU42" s="5180"/>
    </row>
    <row r="43" spans="1:52" ht="14.25" customHeight="1">
      <c r="A43" s="1285"/>
      <c r="B43" s="1285" t="s">
        <v>139</v>
      </c>
      <c r="C43" s="1285" t="s">
        <v>140</v>
      </c>
      <c r="D43" s="1285" t="s">
        <v>141</v>
      </c>
      <c r="E43" s="1279" t="s">
        <v>553</v>
      </c>
      <c r="F43" s="1279" t="s">
        <v>554</v>
      </c>
      <c r="G43" s="1279" t="s">
        <v>555</v>
      </c>
      <c r="H43" s="1279" t="s">
        <v>556</v>
      </c>
      <c r="I43" s="1279" t="s">
        <v>557</v>
      </c>
      <c r="J43" s="1279" t="s">
        <v>558</v>
      </c>
      <c r="K43" s="1279" t="s">
        <v>559</v>
      </c>
      <c r="L43" s="1279" t="s">
        <v>534</v>
      </c>
      <c r="Q43" s="209"/>
      <c r="R43" s="304"/>
      <c r="S43" s="5322"/>
      <c r="T43" s="5274"/>
      <c r="U43" s="220"/>
      <c r="V43" s="1246" t="s">
        <v>600</v>
      </c>
      <c r="W43" s="1246" t="s">
        <v>601</v>
      </c>
      <c r="X43" s="1254" t="s">
        <v>562</v>
      </c>
      <c r="Y43" s="5282" t="s">
        <v>563</v>
      </c>
      <c r="Z43" s="5284"/>
      <c r="AA43" s="5362"/>
      <c r="AB43" s="5357"/>
      <c r="AC43" s="5358"/>
      <c r="AD43" s="5358"/>
      <c r="AE43" s="5359"/>
      <c r="AF43" s="5358"/>
      <c r="AG43" s="5358"/>
      <c r="AH43" s="5358"/>
      <c r="AI43" s="5359"/>
      <c r="AJ43" s="5357"/>
      <c r="AK43" s="5358"/>
      <c r="AL43" s="5358"/>
      <c r="AM43" s="5359"/>
      <c r="AN43" s="1768" t="s">
        <v>600</v>
      </c>
      <c r="AO43" s="1768" t="s">
        <v>601</v>
      </c>
      <c r="AP43" s="1254" t="s">
        <v>562</v>
      </c>
      <c r="AQ43" s="5282" t="s">
        <v>563</v>
      </c>
      <c r="AR43" s="5284"/>
      <c r="AS43" s="5328"/>
      <c r="AT43" s="5331"/>
      <c r="AU43" s="5180"/>
    </row>
    <row r="44" spans="1:52" s="1818"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114</v>
      </c>
      <c r="T44" s="1171" t="s">
        <v>98</v>
      </c>
      <c r="U44" s="1153" t="str">
        <f ca="1">OFFSET(U44,0,-1)</f>
        <v>2</v>
      </c>
      <c r="V44" s="1251">
        <f ca="1">OFFSET(V44,0,-1)+1</f>
        <v>3</v>
      </c>
      <c r="W44" s="1251">
        <f ca="1">OFFSET(W44,0,-1)+1</f>
        <v>4</v>
      </c>
      <c r="X44" s="1251">
        <f ca="1">OFFSET(X44,0,-1)+1</f>
        <v>5</v>
      </c>
      <c r="Y44" s="5321">
        <f ca="1">OFFSET(Y44,0,-1)+1</f>
        <v>6</v>
      </c>
      <c r="Z44" s="5321"/>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5321">
        <f ca="1">OFFSET(AQ44,0,-1)+1</f>
        <v>4</v>
      </c>
      <c r="AR44" s="5321"/>
      <c r="AS44" s="1251">
        <f ca="1">OFFSET(AS44,0,-2)+1</f>
        <v>5</v>
      </c>
      <c r="AT44" s="1153">
        <f ca="1">OFFSET(AT44,0,-1)</f>
        <v>5</v>
      </c>
      <c r="AU44" s="1251">
        <f ca="1">OFFSET(AU44,0,-1)+1</f>
        <v>6</v>
      </c>
      <c r="AV44" s="436"/>
      <c r="AW44" s="436"/>
      <c r="AX44" s="436"/>
      <c r="AY44" s="436"/>
      <c r="AZ44" s="436"/>
    </row>
    <row r="45" spans="1:52" ht="102" customHeight="1">
      <c r="A45" s="1278" t="s">
        <v>329</v>
      </c>
      <c r="B45" s="1278"/>
      <c r="C45" s="1278"/>
      <c r="D45" s="1278"/>
      <c r="E45" s="5314">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127</v>
      </c>
      <c r="U45" s="218"/>
      <c r="V45" s="5301"/>
      <c r="W45" s="5301"/>
      <c r="X45" s="5301"/>
      <c r="Y45" s="5301"/>
      <c r="Z45" s="5301"/>
      <c r="AA45" s="5302"/>
      <c r="AB45" s="5300" t="str">
        <f>INDEX(PT_DIFFERENTIATION_NTAR,MATCH(A45,PT_DIFFERENTIATION_NTAR_ID,0))</f>
        <v/>
      </c>
      <c r="AC45" s="5301"/>
      <c r="AD45" s="5301"/>
      <c r="AE45" s="5301"/>
      <c r="AF45" s="5301"/>
      <c r="AG45" s="5301"/>
      <c r="AH45" s="5301"/>
      <c r="AI45" s="5301"/>
      <c r="AJ45" s="5301"/>
      <c r="AK45" s="5301"/>
      <c r="AL45" s="5301"/>
      <c r="AM45" s="5301"/>
      <c r="AN45" s="5301"/>
      <c r="AO45" s="5301"/>
      <c r="AP45" s="5301"/>
      <c r="AQ45" s="5301"/>
      <c r="AR45" s="5301"/>
      <c r="AS45" s="5301"/>
      <c r="AT45" s="530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329</v>
      </c>
      <c r="B46" s="1278" t="s">
        <v>330</v>
      </c>
      <c r="C46" s="1278"/>
      <c r="D46" s="1278"/>
      <c r="E46" s="5315"/>
      <c r="F46" s="5314">
        <v>1</v>
      </c>
      <c r="G46" s="1278"/>
      <c r="H46" s="1278"/>
      <c r="I46" s="1278"/>
      <c r="J46" s="1278"/>
      <c r="K46" s="1278"/>
      <c r="L46" s="1279"/>
      <c r="M46" s="1280"/>
      <c r="N46" s="1280"/>
      <c r="O46" s="1280"/>
      <c r="P46" s="1325"/>
      <c r="Q46" s="1326"/>
      <c r="R46" s="277"/>
      <c r="S46" s="1252" t="str">
        <f>INDEX(PT_DIFFERENTIATION_NUM_TER,MATCH(B46,PT_DIFFERENTIATION_TER_ID,0))</f>
        <v>.</v>
      </c>
      <c r="T46" s="228" t="s">
        <v>516</v>
      </c>
      <c r="U46" s="218"/>
      <c r="V46" s="5301"/>
      <c r="W46" s="5301"/>
      <c r="X46" s="5301"/>
      <c r="Y46" s="5301"/>
      <c r="Z46" s="5301"/>
      <c r="AA46" s="5302"/>
      <c r="AB46" s="5300" t="str">
        <f>INDEX(PT_DIFFERENTIATION_TER,MATCH(B46,PT_DIFFERENTIATION_TER_ID,0))</f>
        <v/>
      </c>
      <c r="AC46" s="5301"/>
      <c r="AD46" s="5301"/>
      <c r="AE46" s="5301"/>
      <c r="AF46" s="5301"/>
      <c r="AG46" s="5301"/>
      <c r="AH46" s="5301"/>
      <c r="AI46" s="5301"/>
      <c r="AJ46" s="5301"/>
      <c r="AK46" s="5301"/>
      <c r="AL46" s="5301"/>
      <c r="AM46" s="5301"/>
      <c r="AN46" s="5301"/>
      <c r="AO46" s="5301"/>
      <c r="AP46" s="5301"/>
      <c r="AQ46" s="5301"/>
      <c r="AR46" s="5301"/>
      <c r="AS46" s="5301"/>
      <c r="AT46" s="5302"/>
      <c r="AU46" s="1176" t="s">
        <v>517</v>
      </c>
      <c r="AW46" s="425"/>
      <c r="AX46" s="425" t="str">
        <f t="shared" si="2"/>
        <v>Территория действия тарифа</v>
      </c>
      <c r="AY46" s="425"/>
      <c r="AZ46" s="425"/>
    </row>
    <row r="47" spans="1:52" ht="23.25" customHeight="1">
      <c r="A47" s="1278" t="s">
        <v>329</v>
      </c>
      <c r="B47" s="1278" t="s">
        <v>330</v>
      </c>
      <c r="C47" s="1278" t="s">
        <v>331</v>
      </c>
      <c r="D47" s="1278"/>
      <c r="E47" s="5315"/>
      <c r="F47" s="5315"/>
      <c r="G47" s="5314">
        <v>1</v>
      </c>
      <c r="H47" s="1278"/>
      <c r="I47" s="1278"/>
      <c r="J47" s="1278"/>
      <c r="K47" s="1278"/>
      <c r="L47" s="1279"/>
      <c r="M47" s="1280"/>
      <c r="N47" s="1280"/>
      <c r="O47" s="1280"/>
      <c r="P47" s="1327"/>
      <c r="Q47" s="1326"/>
      <c r="R47" s="277"/>
      <c r="S47" s="1252" t="str">
        <f>INDEX(PT_DIFFERENTIATION_NUM_CS,MATCH(C47,PT_DIFFERENTIATION_CS_ID,0))</f>
        <v>..</v>
      </c>
      <c r="T47" s="229" t="s">
        <v>518</v>
      </c>
      <c r="U47" s="218"/>
      <c r="V47" s="5301"/>
      <c r="W47" s="5301"/>
      <c r="X47" s="5301"/>
      <c r="Y47" s="5301"/>
      <c r="Z47" s="5301"/>
      <c r="AA47" s="5302"/>
      <c r="AB47" s="5300" t="str">
        <f>INDEX(PT_DIFFERENTIATION_CS,MATCH(C47,PT_DIFFERENTIATION_CS_ID,0))</f>
        <v/>
      </c>
      <c r="AC47" s="5301"/>
      <c r="AD47" s="5301"/>
      <c r="AE47" s="5301"/>
      <c r="AF47" s="5301"/>
      <c r="AG47" s="5301"/>
      <c r="AH47" s="5301"/>
      <c r="AI47" s="5301"/>
      <c r="AJ47" s="5301"/>
      <c r="AK47" s="5301"/>
      <c r="AL47" s="5301"/>
      <c r="AM47" s="5301"/>
      <c r="AN47" s="5301"/>
      <c r="AO47" s="5301"/>
      <c r="AP47" s="5301"/>
      <c r="AQ47" s="5301"/>
      <c r="AR47" s="5301"/>
      <c r="AS47" s="5301"/>
      <c r="AT47" s="5302"/>
      <c r="AU47" s="1176" t="s">
        <v>519</v>
      </c>
      <c r="AW47" s="425"/>
      <c r="AX47" s="425" t="str">
        <f t="shared" si="2"/>
        <v xml:space="preserve">Наименование системы теплоснабжения </v>
      </c>
      <c r="AY47" s="425"/>
      <c r="AZ47" s="425"/>
    </row>
    <row r="48" spans="1:52" ht="21" customHeight="1">
      <c r="A48" s="1278" t="s">
        <v>329</v>
      </c>
      <c r="B48" s="1278" t="s">
        <v>330</v>
      </c>
      <c r="C48" s="1278" t="s">
        <v>331</v>
      </c>
      <c r="D48" s="1278" t="s">
        <v>332</v>
      </c>
      <c r="E48" s="5315"/>
      <c r="F48" s="5315"/>
      <c r="G48" s="5315"/>
      <c r="H48" s="5314">
        <v>1</v>
      </c>
      <c r="I48" s="1278"/>
      <c r="J48" s="1278"/>
      <c r="K48" s="1278"/>
      <c r="L48" s="1279"/>
      <c r="M48" s="1280"/>
      <c r="N48" s="1280"/>
      <c r="O48" s="1280"/>
      <c r="P48" s="1327"/>
      <c r="Q48" s="1326"/>
      <c r="R48" s="277"/>
      <c r="S48" s="1252" t="str">
        <f>INDEX(PT_DIFFERENTIATION_NUM_IST_TE,MATCH(D48,PT_DIFFERENTIATION_IST_TE_ID,0))</f>
        <v>...</v>
      </c>
      <c r="T48" s="230" t="s">
        <v>520</v>
      </c>
      <c r="U48" s="218"/>
      <c r="V48" s="5301"/>
      <c r="W48" s="5301"/>
      <c r="X48" s="5301"/>
      <c r="Y48" s="5301"/>
      <c r="Z48" s="5301"/>
      <c r="AA48" s="5302"/>
      <c r="AB48" s="5300" t="str">
        <f>INDEX(PT_DIFFERENTIATION_IST_TE,MATCH(D48,PT_DIFFERENTIATION_IST_TE_ID,0))</f>
        <v/>
      </c>
      <c r="AC48" s="5301"/>
      <c r="AD48" s="5301"/>
      <c r="AE48" s="5301"/>
      <c r="AF48" s="5301"/>
      <c r="AG48" s="5301"/>
      <c r="AH48" s="5301"/>
      <c r="AI48" s="5301"/>
      <c r="AJ48" s="5301"/>
      <c r="AK48" s="5301"/>
      <c r="AL48" s="5301"/>
      <c r="AM48" s="5301"/>
      <c r="AN48" s="5301"/>
      <c r="AO48" s="5301"/>
      <c r="AP48" s="5301"/>
      <c r="AQ48" s="5301"/>
      <c r="AR48" s="5301"/>
      <c r="AS48" s="5301"/>
      <c r="AT48" s="5302"/>
      <c r="AU48" s="1176" t="s">
        <v>521</v>
      </c>
      <c r="AW48" s="425"/>
      <c r="AX48" s="425" t="str">
        <f t="shared" si="2"/>
        <v xml:space="preserve">Источник тепловой энергии  </v>
      </c>
      <c r="AY48" s="425"/>
      <c r="AZ48" s="425"/>
    </row>
    <row r="49" spans="1:52" s="1819" customFormat="1" ht="0" hidden="1" customHeight="1">
      <c r="A49" s="1259" t="s">
        <v>329</v>
      </c>
      <c r="B49" s="1259" t="s">
        <v>330</v>
      </c>
      <c r="C49" s="1259" t="s">
        <v>331</v>
      </c>
      <c r="D49" s="1259" t="s">
        <v>332</v>
      </c>
      <c r="E49" s="5315"/>
      <c r="F49" s="5315"/>
      <c r="G49" s="5315"/>
      <c r="H49" s="5315"/>
      <c r="I49" s="5312" t="str">
        <f>S48&amp;".1"</f>
        <v>....1</v>
      </c>
      <c r="J49" s="1259"/>
      <c r="K49" s="1259"/>
      <c r="L49" s="1262" t="s">
        <v>522</v>
      </c>
      <c r="M49" s="435"/>
      <c r="N49" s="435"/>
      <c r="O49" s="435"/>
      <c r="P49" s="5313">
        <v>1</v>
      </c>
      <c r="Q49" s="1247"/>
      <c r="R49" s="280"/>
      <c r="S49" s="948"/>
      <c r="T49" s="1298"/>
      <c r="U49" s="1299"/>
      <c r="V49" s="5342"/>
      <c r="W49" s="5342"/>
      <c r="X49" s="5342"/>
      <c r="Y49" s="5342"/>
      <c r="Z49" s="5342"/>
      <c r="AA49" s="5343"/>
      <c r="AB49" s="5341"/>
      <c r="AC49" s="5342"/>
      <c r="AD49" s="5342"/>
      <c r="AE49" s="5342"/>
      <c r="AF49" s="5342"/>
      <c r="AG49" s="5342"/>
      <c r="AH49" s="5342"/>
      <c r="AI49" s="5342"/>
      <c r="AJ49" s="5342"/>
      <c r="AK49" s="5342"/>
      <c r="AL49" s="5342"/>
      <c r="AM49" s="5342"/>
      <c r="AN49" s="5342"/>
      <c r="AO49" s="5342"/>
      <c r="AP49" s="5342"/>
      <c r="AQ49" s="5342"/>
      <c r="AR49" s="5342"/>
      <c r="AS49" s="5342"/>
      <c r="AT49" s="5343"/>
      <c r="AU49" s="1300"/>
      <c r="AW49" s="425"/>
      <c r="AX49" s="425" t="str">
        <f t="shared" si="2"/>
        <v/>
      </c>
      <c r="AY49" s="425"/>
      <c r="AZ49" s="425"/>
    </row>
    <row r="50" spans="1:52" s="1819" customFormat="1" ht="0" hidden="1" customHeight="1">
      <c r="A50" s="1259" t="s">
        <v>329</v>
      </c>
      <c r="B50" s="1259" t="s">
        <v>330</v>
      </c>
      <c r="C50" s="1259" t="s">
        <v>331</v>
      </c>
      <c r="D50" s="1259" t="s">
        <v>332</v>
      </c>
      <c r="E50" s="5315"/>
      <c r="F50" s="5315"/>
      <c r="G50" s="5315"/>
      <c r="H50" s="5315"/>
      <c r="I50" s="5335"/>
      <c r="J50" s="5312" t="str">
        <f>S48&amp;".1"</f>
        <v>....1</v>
      </c>
      <c r="K50" s="1259"/>
      <c r="L50" s="1262"/>
      <c r="M50" s="435"/>
      <c r="N50" s="435"/>
      <c r="O50" s="435"/>
      <c r="P50" s="5313"/>
      <c r="Q50" s="5313">
        <v>1</v>
      </c>
      <c r="R50" s="281"/>
      <c r="S50" s="948"/>
      <c r="T50" s="1314"/>
      <c r="U50" s="1299"/>
      <c r="V50" s="5342"/>
      <c r="W50" s="5342"/>
      <c r="X50" s="5342"/>
      <c r="Y50" s="5342"/>
      <c r="Z50" s="5342"/>
      <c r="AA50" s="5343"/>
      <c r="AB50" s="5341"/>
      <c r="AC50" s="5342"/>
      <c r="AD50" s="5342"/>
      <c r="AE50" s="5342"/>
      <c r="AF50" s="5342"/>
      <c r="AG50" s="5342"/>
      <c r="AH50" s="5342"/>
      <c r="AI50" s="5342"/>
      <c r="AJ50" s="5342"/>
      <c r="AK50" s="5342"/>
      <c r="AL50" s="5342"/>
      <c r="AM50" s="5342"/>
      <c r="AN50" s="5342"/>
      <c r="AO50" s="5342"/>
      <c r="AP50" s="5342"/>
      <c r="AQ50" s="5342"/>
      <c r="AR50" s="5342"/>
      <c r="AS50" s="5342"/>
      <c r="AT50" s="5343"/>
      <c r="AU50" s="1300"/>
      <c r="AW50" s="425"/>
      <c r="AX50" s="425" t="str">
        <f t="shared" si="2"/>
        <v/>
      </c>
      <c r="AY50" s="425"/>
      <c r="AZ50" s="425"/>
    </row>
    <row r="51" spans="1:52" ht="21" customHeight="1">
      <c r="A51" s="1278" t="s">
        <v>329</v>
      </c>
      <c r="B51" s="1278" t="s">
        <v>330</v>
      </c>
      <c r="C51" s="1278" t="s">
        <v>331</v>
      </c>
      <c r="D51" s="1278" t="s">
        <v>332</v>
      </c>
      <c r="E51" s="5315"/>
      <c r="F51" s="5315"/>
      <c r="G51" s="5315"/>
      <c r="H51" s="5315"/>
      <c r="I51" s="5335"/>
      <c r="J51" s="5335"/>
      <c r="K51" s="5312" t="str">
        <f>S48&amp;".1"</f>
        <v>....1</v>
      </c>
      <c r="L51" s="1279"/>
      <c r="P51" s="5313"/>
      <c r="Q51" s="5313"/>
      <c r="R51" s="281">
        <v>1</v>
      </c>
      <c r="S51" s="5364" t="str">
        <f>$K51</f>
        <v>....1</v>
      </c>
      <c r="T51" s="5367"/>
      <c r="U51" s="218"/>
      <c r="V51" s="667"/>
      <c r="W51" s="1175"/>
      <c r="X51" s="1642"/>
      <c r="Y51" s="1371" t="s">
        <v>62</v>
      </c>
      <c r="Z51" s="1642"/>
      <c r="AA51" s="1371" t="s">
        <v>62</v>
      </c>
      <c r="AB51" s="5161" t="s">
        <v>57</v>
      </c>
      <c r="AC51" s="5350"/>
      <c r="AD51" s="5269">
        <v>1</v>
      </c>
      <c r="AE51" s="5371" t="s">
        <v>24</v>
      </c>
      <c r="AF51" s="5161" t="s">
        <v>57</v>
      </c>
      <c r="AG51" s="5350"/>
      <c r="AH51" s="5269">
        <v>1</v>
      </c>
      <c r="AI51" s="5371" t="s">
        <v>24</v>
      </c>
      <c r="AJ51" s="5161" t="s">
        <v>57</v>
      </c>
      <c r="AK51" s="231"/>
      <c r="AL51" s="1253">
        <v>1</v>
      </c>
      <c r="AM51" s="1317"/>
      <c r="AN51" s="667"/>
      <c r="AO51" s="1175"/>
      <c r="AP51" s="1642"/>
      <c r="AQ51" s="1371" t="s">
        <v>62</v>
      </c>
      <c r="AR51" s="1642"/>
      <c r="AS51" s="1371" t="s">
        <v>62</v>
      </c>
      <c r="AT51" s="1264"/>
      <c r="AU51" s="5309" t="s">
        <v>602</v>
      </c>
      <c r="AV51" s="436" t="e">
        <f ca="1">STRCHECKDATE(V54:AT54)</f>
        <v>#NAME?</v>
      </c>
      <c r="AW51" s="425"/>
      <c r="AX51" s="425" t="str">
        <f t="shared" si="2"/>
        <v/>
      </c>
      <c r="AY51" s="425"/>
      <c r="AZ51" s="425"/>
    </row>
    <row r="52" spans="1:52" ht="11.25" customHeight="1">
      <c r="A52" s="1278" t="s">
        <v>329</v>
      </c>
      <c r="B52" s="1278"/>
      <c r="C52" s="1278"/>
      <c r="D52" s="1278"/>
      <c r="E52" s="5315"/>
      <c r="F52" s="5315"/>
      <c r="G52" s="5315"/>
      <c r="H52" s="5315"/>
      <c r="I52" s="5335"/>
      <c r="J52" s="5335"/>
      <c r="K52" s="5312"/>
      <c r="L52" s="1279"/>
      <c r="P52" s="5313"/>
      <c r="Q52" s="5313"/>
      <c r="R52" s="281"/>
      <c r="S52" s="5365"/>
      <c r="T52" s="5368"/>
      <c r="U52" s="218"/>
      <c r="V52" s="1308"/>
      <c r="W52" s="1405"/>
      <c r="X52" s="1308"/>
      <c r="Y52" s="1308"/>
      <c r="Z52" s="1308"/>
      <c r="AA52" s="1308"/>
      <c r="AB52" s="5161"/>
      <c r="AC52" s="5350"/>
      <c r="AD52" s="5269"/>
      <c r="AE52" s="5371"/>
      <c r="AF52" s="5161"/>
      <c r="AG52" s="5350"/>
      <c r="AH52" s="5269"/>
      <c r="AI52" s="5371"/>
      <c r="AJ52" s="5161"/>
      <c r="AK52" s="238"/>
      <c r="AL52" s="349"/>
      <c r="AM52" s="348" t="s">
        <v>586</v>
      </c>
      <c r="AN52" s="1308"/>
      <c r="AO52" s="1405"/>
      <c r="AP52" s="1308"/>
      <c r="AQ52" s="1308"/>
      <c r="AR52" s="1308"/>
      <c r="AS52" s="1308"/>
      <c r="AT52" s="1305"/>
      <c r="AU52" s="5310"/>
      <c r="AW52" s="425"/>
      <c r="AX52" s="425"/>
      <c r="AY52" s="425"/>
      <c r="AZ52" s="425"/>
    </row>
    <row r="53" spans="1:52" ht="11.25" customHeight="1">
      <c r="A53" s="1278" t="s">
        <v>329</v>
      </c>
      <c r="B53" s="1278"/>
      <c r="C53" s="1278"/>
      <c r="D53" s="1278"/>
      <c r="E53" s="5315"/>
      <c r="F53" s="5315"/>
      <c r="G53" s="5315"/>
      <c r="H53" s="5315"/>
      <c r="I53" s="5335"/>
      <c r="J53" s="5335"/>
      <c r="K53" s="5312"/>
      <c r="L53" s="1279"/>
      <c r="P53" s="5313"/>
      <c r="Q53" s="5313"/>
      <c r="R53" s="281"/>
      <c r="S53" s="5365"/>
      <c r="T53" s="5368"/>
      <c r="U53" s="218"/>
      <c r="V53" s="1308"/>
      <c r="W53" s="1405"/>
      <c r="X53" s="1308"/>
      <c r="Y53" s="1308"/>
      <c r="Z53" s="1308"/>
      <c r="AA53" s="1308"/>
      <c r="AB53" s="5161"/>
      <c r="AC53" s="5350"/>
      <c r="AD53" s="5269"/>
      <c r="AE53" s="5371"/>
      <c r="AF53" s="5161"/>
      <c r="AG53" s="212"/>
      <c r="AH53" s="348"/>
      <c r="AI53" s="348" t="s">
        <v>587</v>
      </c>
      <c r="AJ53" s="1308"/>
      <c r="AK53" s="1308"/>
      <c r="AL53" s="1308"/>
      <c r="AM53" s="1308"/>
      <c r="AN53" s="1308"/>
      <c r="AO53" s="1405"/>
      <c r="AP53" s="1308"/>
      <c r="AQ53" s="1308"/>
      <c r="AR53" s="1308"/>
      <c r="AS53" s="1308"/>
      <c r="AT53" s="1305"/>
      <c r="AU53" s="5310"/>
      <c r="AW53" s="425"/>
      <c r="AX53" s="425"/>
      <c r="AY53" s="425"/>
      <c r="AZ53" s="425"/>
    </row>
    <row r="54" spans="1:52" ht="11.25" customHeight="1">
      <c r="A54" s="1278" t="s">
        <v>329</v>
      </c>
      <c r="B54" s="1278" t="s">
        <v>330</v>
      </c>
      <c r="C54" s="1278" t="s">
        <v>331</v>
      </c>
      <c r="D54" s="1278" t="s">
        <v>332</v>
      </c>
      <c r="E54" s="5315"/>
      <c r="F54" s="5315"/>
      <c r="G54" s="5315"/>
      <c r="H54" s="5315"/>
      <c r="I54" s="5335"/>
      <c r="J54" s="5335"/>
      <c r="K54" s="5312"/>
      <c r="L54" s="1279"/>
      <c r="P54" s="5313"/>
      <c r="Q54" s="5313"/>
      <c r="R54" s="281"/>
      <c r="S54" s="5366"/>
      <c r="T54" s="5369"/>
      <c r="U54" s="218"/>
      <c r="V54" s="1308"/>
      <c r="W54" s="1309" t="str">
        <f>X51&amp;"-"&amp;Z51</f>
        <v>-</v>
      </c>
      <c r="X54" s="1308"/>
      <c r="Y54" s="1308"/>
      <c r="Z54" s="1308"/>
      <c r="AA54" s="1308"/>
      <c r="AB54" s="5161"/>
      <c r="AC54" s="232"/>
      <c r="AD54" s="234"/>
      <c r="AE54" s="348" t="s">
        <v>588</v>
      </c>
      <c r="AF54" s="1308"/>
      <c r="AG54" s="1308"/>
      <c r="AH54" s="1308"/>
      <c r="AI54" s="1308"/>
      <c r="AJ54" s="1308"/>
      <c r="AK54" s="1308"/>
      <c r="AL54" s="1308"/>
      <c r="AM54" s="1308"/>
      <c r="AN54" s="1308"/>
      <c r="AO54" s="1309" t="str">
        <f>AP51&amp;"-"&amp;AR51</f>
        <v>-</v>
      </c>
      <c r="AP54" s="1308"/>
      <c r="AQ54" s="1308"/>
      <c r="AR54" s="1308"/>
      <c r="AS54" s="1308"/>
      <c r="AT54" s="1265"/>
      <c r="AU54" s="5310"/>
      <c r="AW54" s="425"/>
      <c r="AX54" s="425" t="str">
        <f t="shared" ref="AX54:AX62" si="3">IF(T54="","",T54)</f>
        <v/>
      </c>
      <c r="AY54" s="425"/>
      <c r="AZ54" s="425"/>
    </row>
    <row r="55" spans="1:52" ht="11.25" customHeight="1">
      <c r="A55" s="1278" t="s">
        <v>329</v>
      </c>
      <c r="B55" s="1278" t="s">
        <v>330</v>
      </c>
      <c r="C55" s="1278" t="s">
        <v>331</v>
      </c>
      <c r="D55" s="1278" t="s">
        <v>332</v>
      </c>
      <c r="E55" s="5315"/>
      <c r="F55" s="5315"/>
      <c r="G55" s="5315"/>
      <c r="H55" s="5315"/>
      <c r="I55" s="5335"/>
      <c r="J55" s="5312"/>
      <c r="K55" s="1278"/>
      <c r="L55" s="1279"/>
      <c r="P55" s="5313"/>
      <c r="Q55" s="5313"/>
      <c r="R55" s="280"/>
      <c r="S55" s="1197"/>
      <c r="T55" s="205" t="s">
        <v>589</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5311"/>
      <c r="AW55" s="425"/>
      <c r="AX55" s="425" t="str">
        <f t="shared" si="3"/>
        <v>Добавить строку</v>
      </c>
      <c r="AY55" s="425"/>
      <c r="AZ55" s="425"/>
    </row>
    <row r="56" spans="1:52" s="1819" customFormat="1" ht="0" hidden="1" customHeight="1">
      <c r="A56" s="1259" t="s">
        <v>329</v>
      </c>
      <c r="B56" s="1259" t="s">
        <v>330</v>
      </c>
      <c r="C56" s="1259" t="s">
        <v>331</v>
      </c>
      <c r="D56" s="1259" t="s">
        <v>332</v>
      </c>
      <c r="E56" s="5315"/>
      <c r="F56" s="5315"/>
      <c r="G56" s="5315"/>
      <c r="H56" s="5315"/>
      <c r="I56" s="5312"/>
      <c r="J56" s="1259"/>
      <c r="K56" s="1259"/>
      <c r="L56" s="1262"/>
      <c r="M56" s="435"/>
      <c r="N56" s="435"/>
      <c r="O56" s="435"/>
      <c r="P56" s="5313"/>
      <c r="Q56" s="1247"/>
      <c r="R56" s="280"/>
      <c r="S56" s="1301"/>
      <c r="T56" s="1302" t="s">
        <v>531</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8" customFormat="1" ht="0" hidden="1" customHeight="1">
      <c r="A57" s="1259" t="s">
        <v>329</v>
      </c>
      <c r="B57" s="1259" t="s">
        <v>330</v>
      </c>
      <c r="C57" s="1259" t="s">
        <v>331</v>
      </c>
      <c r="D57" s="1259" t="s">
        <v>332</v>
      </c>
      <c r="E57" s="5315"/>
      <c r="F57" s="5315"/>
      <c r="G57" s="5315"/>
      <c r="H57" s="5314"/>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2167" customFormat="1" ht="0" hidden="1" customHeight="1">
      <c r="A58" s="1259" t="s">
        <v>329</v>
      </c>
      <c r="B58" s="1259" t="s">
        <v>330</v>
      </c>
      <c r="C58" s="1259" t="s">
        <v>331</v>
      </c>
      <c r="D58" s="1231"/>
      <c r="E58" s="5315"/>
      <c r="F58" s="5315"/>
      <c r="G58" s="5314"/>
      <c r="H58" s="1231"/>
      <c r="I58" s="1231"/>
      <c r="J58" s="1231"/>
      <c r="K58" s="1231"/>
      <c r="L58" s="1255"/>
      <c r="M58" s="1232"/>
      <c r="N58" s="1232"/>
      <c r="P58" s="1233"/>
      <c r="Q58" s="1234"/>
      <c r="R58" s="1233"/>
      <c r="S58" s="1239"/>
      <c r="T58" s="1242" t="s">
        <v>168</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2167" customFormat="1" ht="0" hidden="1" customHeight="1">
      <c r="A59" s="1259" t="s">
        <v>329</v>
      </c>
      <c r="B59" s="1259" t="s">
        <v>330</v>
      </c>
      <c r="C59" s="1231"/>
      <c r="D59" s="1231"/>
      <c r="E59" s="5315"/>
      <c r="F59" s="5314"/>
      <c r="G59" s="1231"/>
      <c r="H59" s="1231"/>
      <c r="I59" s="1231"/>
      <c r="J59" s="1231"/>
      <c r="K59" s="1231"/>
      <c r="L59" s="1255"/>
      <c r="M59" s="1238"/>
      <c r="N59" s="1238"/>
      <c r="P59" s="1233"/>
      <c r="Q59" s="1234"/>
      <c r="R59" s="1233"/>
      <c r="S59" s="1239"/>
      <c r="T59" s="1242" t="s">
        <v>169</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19" customFormat="1" ht="0" hidden="1" customHeight="1">
      <c r="A60" s="1259" t="s">
        <v>329</v>
      </c>
      <c r="B60" s="1259"/>
      <c r="C60" s="1259"/>
      <c r="D60" s="1259"/>
      <c r="E60" s="5315"/>
      <c r="F60" s="1259"/>
      <c r="G60" s="1259"/>
      <c r="H60" s="1259"/>
      <c r="I60" s="1259"/>
      <c r="J60" s="1259"/>
      <c r="K60" s="1259"/>
      <c r="L60" s="1262"/>
      <c r="M60" s="1238"/>
      <c r="N60" s="1238"/>
      <c r="O60" s="443"/>
      <c r="P60" s="312"/>
      <c r="Q60" s="1260"/>
      <c r="R60" s="312"/>
      <c r="S60" s="1239"/>
      <c r="T60" s="1242" t="s">
        <v>174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19" customFormat="1" ht="0" hidden="1" customHeight="1">
      <c r="A61" s="1259" t="s">
        <v>329</v>
      </c>
      <c r="B61" s="1259"/>
      <c r="C61" s="1259"/>
      <c r="D61" s="1259"/>
      <c r="E61" s="5314"/>
      <c r="F61" s="1259"/>
      <c r="G61" s="1259"/>
      <c r="H61" s="1259"/>
      <c r="I61" s="1259"/>
      <c r="J61" s="1259"/>
      <c r="K61" s="1259"/>
      <c r="L61" s="1262"/>
      <c r="M61" s="1238"/>
      <c r="N61" s="1238"/>
      <c r="O61" s="443"/>
      <c r="P61" s="312"/>
      <c r="Q61" s="1260"/>
      <c r="R61" s="312"/>
      <c r="S61" s="1239"/>
      <c r="T61" s="1242" t="s">
        <v>174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2167"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215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5334"/>
      <c r="U64" s="5334"/>
      <c r="V64" s="5334"/>
      <c r="W64" s="5334"/>
      <c r="X64" s="5334"/>
      <c r="Y64" s="5334"/>
      <c r="Z64" s="5334"/>
      <c r="AA64" s="5334"/>
      <c r="AB64" s="5334"/>
      <c r="AC64" s="5334"/>
      <c r="AD64" s="5334"/>
      <c r="AE64" s="5334"/>
      <c r="AF64" s="5334"/>
      <c r="AG64" s="5334"/>
      <c r="AH64" s="5334"/>
      <c r="AI64" s="5334"/>
      <c r="AJ64" s="5334"/>
      <c r="AK64" s="5334"/>
      <c r="AL64" s="5334"/>
      <c r="AM64" s="5334"/>
      <c r="AN64" s="5334"/>
      <c r="AO64" s="5334"/>
      <c r="AP64" s="5334"/>
      <c r="AQ64" s="5334"/>
      <c r="AR64" s="5334"/>
      <c r="AS64" s="5334"/>
      <c r="AT64" s="5334"/>
      <c r="AU64" s="5334"/>
    </row>
    <row r="65" spans="15:47" ht="19.5" customHeight="1">
      <c r="O65" s="461"/>
      <c r="T65" s="5334"/>
      <c r="U65" s="5334"/>
      <c r="V65" s="5334"/>
      <c r="W65" s="5334"/>
      <c r="X65" s="5334"/>
      <c r="Y65" s="5334"/>
      <c r="Z65" s="5334"/>
      <c r="AA65" s="5334"/>
      <c r="AB65" s="5334"/>
      <c r="AC65" s="5334"/>
      <c r="AD65" s="5334"/>
      <c r="AE65" s="5334"/>
      <c r="AF65" s="5334"/>
      <c r="AG65" s="5334"/>
      <c r="AH65" s="5334"/>
      <c r="AI65" s="5334"/>
      <c r="AJ65" s="5334"/>
      <c r="AK65" s="5334"/>
      <c r="AL65" s="5334"/>
      <c r="AM65" s="5334"/>
      <c r="AN65" s="5334"/>
      <c r="AO65" s="5334"/>
      <c r="AP65" s="5334"/>
      <c r="AQ65" s="5334"/>
      <c r="AR65" s="5334"/>
      <c r="AS65" s="5334"/>
      <c r="AT65" s="5334"/>
      <c r="AU65" s="5334"/>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5334"/>
      <c r="U67" s="5334"/>
      <c r="V67" s="5334"/>
      <c r="W67" s="5334"/>
      <c r="X67" s="5334"/>
      <c r="Y67" s="5334"/>
      <c r="Z67" s="5334"/>
      <c r="AA67" s="5334"/>
      <c r="AB67" s="5334"/>
      <c r="AC67" s="5334"/>
      <c r="AD67" s="5334"/>
      <c r="AE67" s="5334"/>
      <c r="AF67" s="5334"/>
      <c r="AG67" s="5334"/>
      <c r="AH67" s="5334"/>
      <c r="AI67" s="5334"/>
      <c r="AJ67" s="5334"/>
      <c r="AK67" s="5334"/>
      <c r="AL67" s="5334"/>
      <c r="AM67" s="5334"/>
      <c r="AN67" s="5334"/>
      <c r="AO67" s="5334"/>
      <c r="AP67" s="5334"/>
      <c r="AQ67" s="5334"/>
      <c r="AR67" s="5334"/>
      <c r="AS67" s="5334"/>
      <c r="AT67" s="5334"/>
      <c r="AU67" s="5334"/>
    </row>
    <row r="68" spans="15:47" ht="15.75" customHeight="1">
      <c r="O68" s="461"/>
      <c r="T68" s="5334"/>
      <c r="U68" s="5334"/>
      <c r="V68" s="5334"/>
      <c r="W68" s="5334"/>
      <c r="X68" s="5334"/>
      <c r="Y68" s="5334"/>
      <c r="Z68" s="5334"/>
      <c r="AA68" s="5334"/>
      <c r="AB68" s="5334"/>
      <c r="AC68" s="5334"/>
      <c r="AD68" s="5334"/>
      <c r="AE68" s="5334"/>
      <c r="AF68" s="5334"/>
      <c r="AG68" s="5334"/>
      <c r="AH68" s="5334"/>
      <c r="AI68" s="5334"/>
      <c r="AJ68" s="5334"/>
      <c r="AK68" s="5334"/>
      <c r="AL68" s="5334"/>
      <c r="AM68" s="5334"/>
      <c r="AN68" s="5334"/>
      <c r="AO68" s="5334"/>
      <c r="AP68" s="5334"/>
      <c r="AQ68" s="5334"/>
      <c r="AR68" s="5334"/>
      <c r="AS68" s="5334"/>
      <c r="AT68" s="5334"/>
      <c r="AU68" s="5334"/>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3" hidden="1" customWidth="1"/>
    <col min="13" max="14" width="12.28515625" style="2171" hidden="1" customWidth="1"/>
    <col min="15" max="15" width="23.42578125" style="2171" hidden="1" customWidth="1"/>
    <col min="16" max="16" width="3.7109375" style="4584"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339"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37"/>
      <c r="Q3" s="276"/>
      <c r="R3" s="277"/>
      <c r="S3" s="1339"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339" t="e">
        <f>INDEX(PT_DIFFERENTIATION_NUM_CS,MATCH(C4,PT_DIFFERENTIATION_CS_ID,0))</f>
        <v>#N/A</v>
      </c>
      <c r="T4" s="229" t="s">
        <v>603</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604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36"/>
      <c r="R5" s="280"/>
      <c r="S5" s="1339"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339"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339"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38"/>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36"/>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34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35"/>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35"/>
      <c r="M19" s="1277"/>
      <c r="N19" s="1277"/>
      <c r="O19" s="1277"/>
      <c r="P19" s="1277"/>
      <c r="Q19" s="1286"/>
      <c r="R19" s="1286"/>
      <c r="S19" s="647"/>
      <c r="AB19" s="1281"/>
      <c r="AI19" s="1281"/>
      <c r="AL19" s="436"/>
      <c r="AM19" s="436"/>
      <c r="AN19" s="436"/>
      <c r="AO19" s="436"/>
      <c r="AP19" s="436"/>
    </row>
    <row r="20" spans="1:42" s="1832" customFormat="1" ht="12" hidden="1" customHeight="1">
      <c r="L20" s="1335"/>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267" t="s">
        <v>611</v>
      </c>
      <c r="W38" s="5151" t="s">
        <v>551</v>
      </c>
      <c r="X38" s="5150"/>
      <c r="Y38" s="5151" t="s">
        <v>552</v>
      </c>
      <c r="Z38" s="5156"/>
      <c r="AA38" s="5150"/>
      <c r="AB38" s="5327"/>
      <c r="AC38" s="1267" t="s">
        <v>611</v>
      </c>
      <c r="AD38" s="5151" t="s">
        <v>551</v>
      </c>
      <c r="AE38" s="5150"/>
      <c r="AF38" s="5151" t="s">
        <v>552</v>
      </c>
      <c r="AG38" s="5156"/>
      <c r="AH38" s="5150"/>
      <c r="AI38" s="5327"/>
      <c r="AJ38" s="5330"/>
      <c r="AK38" s="5180"/>
    </row>
    <row r="39" spans="1:42" ht="33.7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267" t="s">
        <v>614</v>
      </c>
      <c r="W39" s="1127" t="s">
        <v>615</v>
      </c>
      <c r="X39" s="1127" t="s">
        <v>616</v>
      </c>
      <c r="Y39" s="1272" t="s">
        <v>562</v>
      </c>
      <c r="Z39" s="5282" t="s">
        <v>563</v>
      </c>
      <c r="AA39" s="5284"/>
      <c r="AB39" s="5328"/>
      <c r="AC39" s="1267" t="s">
        <v>614</v>
      </c>
      <c r="AD39" s="1127" t="s">
        <v>615</v>
      </c>
      <c r="AE39" s="1127" t="s">
        <v>616</v>
      </c>
      <c r="AF39" s="1272" t="s">
        <v>562</v>
      </c>
      <c r="AG39" s="5282" t="s">
        <v>563</v>
      </c>
      <c r="AH39" s="5284"/>
      <c r="AI39" s="5328"/>
      <c r="AJ39" s="5331"/>
      <c r="AK39" s="5180"/>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268">
        <f ca="1">OFFSET(V40,0,-1)+1</f>
        <v>3</v>
      </c>
      <c r="W40" s="1268">
        <f ca="1">OFFSET(W40,0,-1)+1</f>
        <v>4</v>
      </c>
      <c r="X40" s="1268">
        <f ca="1">OFFSET(X40,0,-1)+1</f>
        <v>5</v>
      </c>
      <c r="Y40" s="1268">
        <f ca="1">OFFSET(Y40,0,-1)+1</f>
        <v>6</v>
      </c>
      <c r="Z40" s="5321">
        <f ca="1">OFFSET(Z40,0,-1)+1</f>
        <v>7</v>
      </c>
      <c r="AA40" s="5321"/>
      <c r="AB40" s="1268">
        <f ca="1">OFFSET(AB40,0,-2)+1</f>
        <v>8</v>
      </c>
      <c r="AC40" s="1268">
        <f ca="1">OFFSET(AC40,0,-1)+1</f>
        <v>9</v>
      </c>
      <c r="AD40" s="1268">
        <f ca="1">OFFSET(AD40,0,-1)+1</f>
        <v>10</v>
      </c>
      <c r="AE40" s="1268">
        <f ca="1">OFFSET(AE40,0,-1)+1</f>
        <v>11</v>
      </c>
      <c r="AF40" s="1268">
        <f ca="1">OFFSET(AF40,0,-1)+1</f>
        <v>12</v>
      </c>
      <c r="AG40" s="5321">
        <f ca="1">OFFSET(AG40,0,-1)+1</f>
        <v>13</v>
      </c>
      <c r="AH40" s="5321"/>
      <c r="AI40" s="1268">
        <f ca="1">OFFSET(AI40,0,-2)+1</f>
        <v>14</v>
      </c>
      <c r="AJ40" s="1153">
        <f ca="1">OFFSET(AJ40,0,-1)</f>
        <v>14</v>
      </c>
      <c r="AK40" s="1268">
        <f ca="1">OFFSET(AK40,0,-1)+1</f>
        <v>15</v>
      </c>
      <c r="AL40" s="436"/>
      <c r="AM40" s="436"/>
      <c r="AN40" s="436"/>
      <c r="AO40" s="436"/>
      <c r="AP40" s="436"/>
    </row>
    <row r="41" spans="1:42" ht="23.25" customHeight="1">
      <c r="A41" s="1278" t="s">
        <v>343</v>
      </c>
      <c r="B41" s="1278"/>
      <c r="C41" s="1278"/>
      <c r="D41" s="1278"/>
      <c r="E41" s="5314">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343</v>
      </c>
      <c r="B42" s="1278" t="s">
        <v>344</v>
      </c>
      <c r="C42" s="1278"/>
      <c r="D42" s="1278"/>
      <c r="E42" s="5315"/>
      <c r="F42" s="5314">
        <v>1</v>
      </c>
      <c r="G42" s="1278"/>
      <c r="H42" s="1278"/>
      <c r="I42" s="1278"/>
      <c r="J42" s="1278"/>
      <c r="K42" s="1278"/>
      <c r="L42" s="1279"/>
      <c r="M42" s="1280"/>
      <c r="N42" s="1280"/>
      <c r="O42" s="1280"/>
      <c r="P42" s="1271"/>
      <c r="Q42" s="276"/>
      <c r="R42" s="277"/>
      <c r="S42" s="1273"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343</v>
      </c>
      <c r="B43" s="1278" t="s">
        <v>344</v>
      </c>
      <c r="C43" s="1278" t="s">
        <v>345</v>
      </c>
      <c r="D43" s="1278"/>
      <c r="E43" s="5315"/>
      <c r="F43" s="5315"/>
      <c r="G43" s="5314">
        <v>1</v>
      </c>
      <c r="H43" s="1278"/>
      <c r="I43" s="1278"/>
      <c r="J43" s="1278"/>
      <c r="K43" s="1278"/>
      <c r="L43" s="1279"/>
      <c r="M43" s="1280"/>
      <c r="N43" s="1280"/>
      <c r="O43" s="1280"/>
      <c r="P43" s="278"/>
      <c r="Q43" s="276"/>
      <c r="R43" s="277"/>
      <c r="S43" s="1273" t="str">
        <f>INDEX(PT_DIFFERENTIATION_NUM_CS,MATCH(C43,PT_DIFFERENTIATION_CS_ID,0))</f>
        <v>..</v>
      </c>
      <c r="T43" s="229" t="s">
        <v>603</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604</v>
      </c>
      <c r="AM43" s="425"/>
      <c r="AN43" s="425" t="str">
        <f t="shared" si="1"/>
        <v>Наименование централизованной системы холодного водоснабжения</v>
      </c>
      <c r="AO43" s="425"/>
      <c r="AP43" s="425"/>
    </row>
    <row r="44" spans="1:42" ht="23.25" customHeight="1">
      <c r="A44" s="1278" t="s">
        <v>343</v>
      </c>
      <c r="B44" s="1278" t="s">
        <v>344</v>
      </c>
      <c r="C44" s="1278" t="s">
        <v>345</v>
      </c>
      <c r="D44" s="1278" t="s">
        <v>617</v>
      </c>
      <c r="E44" s="5315"/>
      <c r="F44" s="5315"/>
      <c r="G44" s="5315"/>
      <c r="H44" s="5315"/>
      <c r="I44" s="5312" t="str">
        <f>S43&amp;".1"</f>
        <v>...1</v>
      </c>
      <c r="J44" s="1278"/>
      <c r="K44" s="1278"/>
      <c r="L44" s="1279"/>
      <c r="P44" s="5313">
        <v>1</v>
      </c>
      <c r="Q44" s="1269"/>
      <c r="R44" s="280"/>
      <c r="S44" s="1273"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343</v>
      </c>
      <c r="B45" s="1278" t="s">
        <v>344</v>
      </c>
      <c r="C45" s="1278" t="s">
        <v>345</v>
      </c>
      <c r="D45" s="1278" t="s">
        <v>617</v>
      </c>
      <c r="E45" s="5315"/>
      <c r="F45" s="5315"/>
      <c r="G45" s="5315"/>
      <c r="H45" s="5315"/>
      <c r="I45" s="5335"/>
      <c r="J45" s="5312" t="str">
        <f>I44&amp;".1"</f>
        <v>...1.1</v>
      </c>
      <c r="K45" s="1278"/>
      <c r="L45" s="1279" t="s">
        <v>525</v>
      </c>
      <c r="P45" s="5313"/>
      <c r="Q45" s="5313">
        <v>1</v>
      </c>
      <c r="R45" s="281"/>
      <c r="S45" s="1273"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343</v>
      </c>
      <c r="B46" s="1278" t="s">
        <v>344</v>
      </c>
      <c r="C46" s="1278" t="s">
        <v>345</v>
      </c>
      <c r="D46" s="1278" t="s">
        <v>617</v>
      </c>
      <c r="E46" s="5315"/>
      <c r="F46" s="5315"/>
      <c r="G46" s="5315"/>
      <c r="H46" s="5315"/>
      <c r="I46" s="5335"/>
      <c r="J46" s="5335"/>
      <c r="K46" s="5312" t="str">
        <f>J45&amp;".1"</f>
        <v>...1.1.1</v>
      </c>
      <c r="L46" s="1279"/>
      <c r="P46" s="5313"/>
      <c r="Q46" s="5313"/>
      <c r="R46" s="281">
        <v>1</v>
      </c>
      <c r="S46" s="1273" t="str">
        <f>$K46</f>
        <v>...1.1.1</v>
      </c>
      <c r="T46" s="1351"/>
      <c r="U46" s="218"/>
      <c r="V46" s="1275"/>
      <c r="W46" s="1275"/>
      <c r="X46" s="1276"/>
      <c r="Y46" s="5319"/>
      <c r="Z46" s="5320" t="s">
        <v>62</v>
      </c>
      <c r="AA46" s="5319"/>
      <c r="AB46" s="5320" t="s">
        <v>62</v>
      </c>
      <c r="AC46" s="667"/>
      <c r="AD46" s="667"/>
      <c r="AE46" s="1175"/>
      <c r="AF46" s="5317"/>
      <c r="AG46" s="5161" t="s">
        <v>62</v>
      </c>
      <c r="AH46" s="5336"/>
      <c r="AI46" s="5161" t="s">
        <v>57</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343</v>
      </c>
      <c r="B47" s="1278" t="s">
        <v>344</v>
      </c>
      <c r="C47" s="1278" t="s">
        <v>345</v>
      </c>
      <c r="D47" s="1278" t="s">
        <v>617</v>
      </c>
      <c r="E47" s="5315"/>
      <c r="F47" s="5315"/>
      <c r="G47" s="5315"/>
      <c r="H47" s="5315"/>
      <c r="I47" s="5335"/>
      <c r="J47" s="5335"/>
      <c r="K47" s="5312"/>
      <c r="L47" s="1279"/>
      <c r="P47" s="5313"/>
      <c r="Q47" s="5313"/>
      <c r="R47" s="281"/>
      <c r="S47" s="1274"/>
      <c r="T47" s="218"/>
      <c r="U47" s="218"/>
      <c r="V47" s="1275"/>
      <c r="W47" s="1275"/>
      <c r="X47" s="254" t="str">
        <f>Y46&amp;"-"&amp;AA46</f>
        <v>-</v>
      </c>
      <c r="Y47" s="5320"/>
      <c r="Z47" s="5320"/>
      <c r="AA47" s="5320"/>
      <c r="AB47" s="5320"/>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343</v>
      </c>
      <c r="B48" s="1278" t="s">
        <v>344</v>
      </c>
      <c r="C48" s="1278" t="s">
        <v>345</v>
      </c>
      <c r="D48" s="1278" t="s">
        <v>617</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343</v>
      </c>
      <c r="B49" s="1278" t="s">
        <v>344</v>
      </c>
      <c r="C49" s="1278" t="s">
        <v>345</v>
      </c>
      <c r="D49" s="1278" t="s">
        <v>617</v>
      </c>
      <c r="E49" s="5315"/>
      <c r="F49" s="5315"/>
      <c r="G49" s="5315"/>
      <c r="H49" s="5315"/>
      <c r="I49" s="5312"/>
      <c r="J49" s="1278"/>
      <c r="K49" s="1278"/>
      <c r="L49" s="1279"/>
      <c r="P49" s="5313"/>
      <c r="Q49" s="1269"/>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343</v>
      </c>
      <c r="B50" s="1278" t="s">
        <v>344</v>
      </c>
      <c r="C50" s="1278" t="s">
        <v>345</v>
      </c>
      <c r="D50" s="1278" t="s">
        <v>617</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343</v>
      </c>
      <c r="B51" s="1259" t="s">
        <v>344</v>
      </c>
      <c r="C51" s="1231"/>
      <c r="D51" s="1231"/>
      <c r="E51" s="5315"/>
      <c r="F51" s="5314"/>
      <c r="G51" s="1231"/>
      <c r="H51" s="1231"/>
      <c r="I51" s="1231"/>
      <c r="J51" s="1231"/>
      <c r="K51" s="1231"/>
      <c r="L51" s="134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343</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5" hidden="1" customWidth="1"/>
    <col min="13" max="14" width="12.28515625" style="2171" hidden="1" customWidth="1"/>
    <col min="15" max="15" width="23.42578125" style="2171" hidden="1" customWidth="1"/>
    <col min="16" max="16" width="3.7109375" style="4586"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369"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65"/>
      <c r="Q3" s="276"/>
      <c r="R3" s="277"/>
      <c r="S3" s="1369"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369" t="e">
        <f>INDEX(PT_DIFFERENTIATION_NUM_CS,MATCH(C4,PT_DIFFERENTIATION_CS_ID,0))</f>
        <v>#N/A</v>
      </c>
      <c r="T4" s="229" t="s">
        <v>603</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604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62"/>
      <c r="R5" s="280"/>
      <c r="S5" s="1369"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369"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369"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68"/>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62"/>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59"/>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59"/>
      <c r="M19" s="1277"/>
      <c r="N19" s="1277"/>
      <c r="O19" s="1277"/>
      <c r="P19" s="1277"/>
      <c r="Q19" s="1286"/>
      <c r="R19" s="1286"/>
      <c r="S19" s="647"/>
      <c r="AB19" s="1281"/>
      <c r="AI19" s="1281"/>
      <c r="AL19" s="436"/>
      <c r="AM19" s="436"/>
      <c r="AN19" s="436"/>
      <c r="AO19" s="436"/>
      <c r="AP19" s="436"/>
    </row>
    <row r="20" spans="1:42" s="1832" customFormat="1" ht="12" hidden="1" customHeight="1">
      <c r="L20" s="1359"/>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64" t="s">
        <v>611</v>
      </c>
      <c r="W38" s="5151" t="s">
        <v>551</v>
      </c>
      <c r="X38" s="5150"/>
      <c r="Y38" s="5151" t="s">
        <v>552</v>
      </c>
      <c r="Z38" s="5156"/>
      <c r="AA38" s="5150"/>
      <c r="AB38" s="5327"/>
      <c r="AC38" s="1364" t="s">
        <v>611</v>
      </c>
      <c r="AD38" s="5151" t="s">
        <v>551</v>
      </c>
      <c r="AE38" s="5150"/>
      <c r="AF38" s="5151" t="s">
        <v>552</v>
      </c>
      <c r="AG38" s="5156"/>
      <c r="AH38" s="5150"/>
      <c r="AI38" s="5327"/>
      <c r="AJ38" s="5330"/>
      <c r="AK38" s="5180"/>
    </row>
    <row r="39" spans="1:42" ht="33.7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64" t="s">
        <v>614</v>
      </c>
      <c r="W39" s="1127" t="s">
        <v>615</v>
      </c>
      <c r="X39" s="1127" t="s">
        <v>616</v>
      </c>
      <c r="Y39" s="1367" t="s">
        <v>562</v>
      </c>
      <c r="Z39" s="5282" t="s">
        <v>563</v>
      </c>
      <c r="AA39" s="5284"/>
      <c r="AB39" s="5328"/>
      <c r="AC39" s="1364" t="s">
        <v>614</v>
      </c>
      <c r="AD39" s="1127" t="s">
        <v>615</v>
      </c>
      <c r="AE39" s="1127" t="s">
        <v>616</v>
      </c>
      <c r="AF39" s="1367" t="s">
        <v>562</v>
      </c>
      <c r="AG39" s="5282" t="s">
        <v>563</v>
      </c>
      <c r="AH39" s="5284"/>
      <c r="AI39" s="5328"/>
      <c r="AJ39" s="5331"/>
      <c r="AK39" s="5180"/>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63">
        <f ca="1">OFFSET(V40,0,-1)+1</f>
        <v>3</v>
      </c>
      <c r="W40" s="1363">
        <f ca="1">OFFSET(W40,0,-1)+1</f>
        <v>4</v>
      </c>
      <c r="X40" s="1363">
        <f ca="1">OFFSET(X40,0,-1)+1</f>
        <v>5</v>
      </c>
      <c r="Y40" s="1363">
        <f ca="1">OFFSET(Y40,0,-1)+1</f>
        <v>6</v>
      </c>
      <c r="Z40" s="5321">
        <f ca="1">OFFSET(Z40,0,-1)+1</f>
        <v>7</v>
      </c>
      <c r="AA40" s="5321"/>
      <c r="AB40" s="1363">
        <f ca="1">OFFSET(AB40,0,-2)+1</f>
        <v>8</v>
      </c>
      <c r="AC40" s="1363">
        <f ca="1">OFFSET(AC40,0,-1)+1</f>
        <v>9</v>
      </c>
      <c r="AD40" s="1363">
        <f ca="1">OFFSET(AD40,0,-1)+1</f>
        <v>10</v>
      </c>
      <c r="AE40" s="1363">
        <f ca="1">OFFSET(AE40,0,-1)+1</f>
        <v>11</v>
      </c>
      <c r="AF40" s="1363">
        <f ca="1">OFFSET(AF40,0,-1)+1</f>
        <v>12</v>
      </c>
      <c r="AG40" s="5321">
        <f ca="1">OFFSET(AG40,0,-1)+1</f>
        <v>13</v>
      </c>
      <c r="AH40" s="5321"/>
      <c r="AI40" s="1363">
        <f ca="1">OFFSET(AI40,0,-2)+1</f>
        <v>14</v>
      </c>
      <c r="AJ40" s="1153">
        <f ca="1">OFFSET(AJ40,0,-1)</f>
        <v>14</v>
      </c>
      <c r="AK40" s="1363">
        <f ca="1">OFFSET(AK40,0,-1)+1</f>
        <v>15</v>
      </c>
      <c r="AL40" s="436"/>
      <c r="AM40" s="436"/>
      <c r="AN40" s="436"/>
      <c r="AO40" s="436"/>
      <c r="AP40" s="436"/>
    </row>
    <row r="41" spans="1:42" ht="23.25" customHeight="1">
      <c r="A41" s="1278" t="s">
        <v>348</v>
      </c>
      <c r="B41" s="1278"/>
      <c r="C41" s="1278"/>
      <c r="D41" s="1278"/>
      <c r="E41" s="5314">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348</v>
      </c>
      <c r="B42" s="1278" t="s">
        <v>349</v>
      </c>
      <c r="C42" s="1278"/>
      <c r="D42" s="1278"/>
      <c r="E42" s="5315"/>
      <c r="F42" s="5314">
        <v>1</v>
      </c>
      <c r="G42" s="1278"/>
      <c r="H42" s="1278"/>
      <c r="I42" s="1278"/>
      <c r="J42" s="1278"/>
      <c r="K42" s="1278"/>
      <c r="L42" s="1279"/>
      <c r="M42" s="1280"/>
      <c r="N42" s="1280"/>
      <c r="O42" s="1280"/>
      <c r="P42" s="1365"/>
      <c r="Q42" s="276"/>
      <c r="R42" s="277"/>
      <c r="S42" s="1369"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348</v>
      </c>
      <c r="B43" s="1278" t="s">
        <v>349</v>
      </c>
      <c r="C43" s="1278" t="s">
        <v>350</v>
      </c>
      <c r="D43" s="1278"/>
      <c r="E43" s="5315"/>
      <c r="F43" s="5315"/>
      <c r="G43" s="5314">
        <v>1</v>
      </c>
      <c r="H43" s="1278"/>
      <c r="I43" s="1278"/>
      <c r="J43" s="1278"/>
      <c r="K43" s="1278"/>
      <c r="L43" s="1279"/>
      <c r="M43" s="1280"/>
      <c r="N43" s="1280"/>
      <c r="O43" s="1280"/>
      <c r="P43" s="278"/>
      <c r="Q43" s="276"/>
      <c r="R43" s="277"/>
      <c r="S43" s="1369" t="str">
        <f>INDEX(PT_DIFFERENTIATION_NUM_CS,MATCH(C43,PT_DIFFERENTIATION_CS_ID,0))</f>
        <v>..</v>
      </c>
      <c r="T43" s="229" t="s">
        <v>603</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604</v>
      </c>
      <c r="AM43" s="425"/>
      <c r="AN43" s="425" t="str">
        <f t="shared" si="1"/>
        <v>Наименование централизованной системы холодного водоснабжения</v>
      </c>
      <c r="AO43" s="425"/>
      <c r="AP43" s="425"/>
    </row>
    <row r="44" spans="1:42" ht="23.25" customHeight="1">
      <c r="A44" s="1278" t="s">
        <v>348</v>
      </c>
      <c r="B44" s="1278" t="s">
        <v>349</v>
      </c>
      <c r="C44" s="1278" t="s">
        <v>350</v>
      </c>
      <c r="D44" s="1278" t="s">
        <v>618</v>
      </c>
      <c r="E44" s="5315"/>
      <c r="F44" s="5315"/>
      <c r="G44" s="5315"/>
      <c r="H44" s="5315"/>
      <c r="I44" s="5312" t="str">
        <f>S43&amp;".1"</f>
        <v>...1</v>
      </c>
      <c r="J44" s="1278"/>
      <c r="K44" s="1278"/>
      <c r="L44" s="1279"/>
      <c r="P44" s="5313">
        <v>1</v>
      </c>
      <c r="Q44" s="1362"/>
      <c r="R44" s="280"/>
      <c r="S44" s="1369"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348</v>
      </c>
      <c r="B45" s="1278" t="s">
        <v>349</v>
      </c>
      <c r="C45" s="1278" t="s">
        <v>350</v>
      </c>
      <c r="D45" s="1278" t="s">
        <v>618</v>
      </c>
      <c r="E45" s="5315"/>
      <c r="F45" s="5315"/>
      <c r="G45" s="5315"/>
      <c r="H45" s="5315"/>
      <c r="I45" s="5335"/>
      <c r="J45" s="5312" t="str">
        <f>I44&amp;".1"</f>
        <v>...1.1</v>
      </c>
      <c r="K45" s="1278"/>
      <c r="L45" s="1279" t="s">
        <v>525</v>
      </c>
      <c r="P45" s="5313"/>
      <c r="Q45" s="5313">
        <v>1</v>
      </c>
      <c r="R45" s="281"/>
      <c r="S45" s="1369"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348</v>
      </c>
      <c r="B46" s="1278" t="s">
        <v>349</v>
      </c>
      <c r="C46" s="1278" t="s">
        <v>350</v>
      </c>
      <c r="D46" s="1278" t="s">
        <v>618</v>
      </c>
      <c r="E46" s="5315"/>
      <c r="F46" s="5315"/>
      <c r="G46" s="5315"/>
      <c r="H46" s="5315"/>
      <c r="I46" s="5335"/>
      <c r="J46" s="5335"/>
      <c r="K46" s="5312" t="str">
        <f>J45&amp;".1"</f>
        <v>...1.1.1</v>
      </c>
      <c r="L46" s="1279"/>
      <c r="P46" s="5313"/>
      <c r="Q46" s="5313"/>
      <c r="R46" s="281">
        <v>1</v>
      </c>
      <c r="S46" s="1369" t="str">
        <f>$K46</f>
        <v>...1.1.1</v>
      </c>
      <c r="T46" s="1351"/>
      <c r="U46" s="218"/>
      <c r="V46" s="667"/>
      <c r="W46" s="667"/>
      <c r="X46" s="1175"/>
      <c r="Y46" s="5317"/>
      <c r="Z46" s="5161" t="s">
        <v>62</v>
      </c>
      <c r="AA46" s="5317"/>
      <c r="AB46" s="5161" t="s">
        <v>62</v>
      </c>
      <c r="AC46" s="667"/>
      <c r="AD46" s="667"/>
      <c r="AE46" s="1175"/>
      <c r="AF46" s="5317"/>
      <c r="AG46" s="5161" t="s">
        <v>62</v>
      </c>
      <c r="AH46" s="5336"/>
      <c r="AI46" s="5161" t="s">
        <v>62</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348</v>
      </c>
      <c r="B47" s="1278" t="s">
        <v>349</v>
      </c>
      <c r="C47" s="1278" t="s">
        <v>350</v>
      </c>
      <c r="D47" s="1278" t="s">
        <v>618</v>
      </c>
      <c r="E47" s="5315"/>
      <c r="F47" s="5315"/>
      <c r="G47" s="5315"/>
      <c r="H47" s="5315"/>
      <c r="I47" s="5335"/>
      <c r="J47" s="5335"/>
      <c r="K47" s="5312"/>
      <c r="L47" s="1279"/>
      <c r="P47" s="5313"/>
      <c r="Q47" s="5313"/>
      <c r="R47" s="281"/>
      <c r="S47" s="1368"/>
      <c r="T47" s="218"/>
      <c r="U47" s="218"/>
      <c r="V47" s="250"/>
      <c r="W47" s="250"/>
      <c r="X47" s="254" t="str">
        <f>Y46&amp;"-"&amp;AA46</f>
        <v>-</v>
      </c>
      <c r="Y47" s="5318"/>
      <c r="Z47" s="5161"/>
      <c r="AA47" s="5318"/>
      <c r="AB47" s="5161"/>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348</v>
      </c>
      <c r="B48" s="1278" t="s">
        <v>349</v>
      </c>
      <c r="C48" s="1278" t="s">
        <v>350</v>
      </c>
      <c r="D48" s="1278" t="s">
        <v>618</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348</v>
      </c>
      <c r="B49" s="1278" t="s">
        <v>349</v>
      </c>
      <c r="C49" s="1278" t="s">
        <v>350</v>
      </c>
      <c r="D49" s="1278" t="s">
        <v>618</v>
      </c>
      <c r="E49" s="5315"/>
      <c r="F49" s="5315"/>
      <c r="G49" s="5315"/>
      <c r="H49" s="5315"/>
      <c r="I49" s="5312"/>
      <c r="J49" s="1278"/>
      <c r="K49" s="1278"/>
      <c r="L49" s="1279"/>
      <c r="P49" s="5313"/>
      <c r="Q49" s="1362"/>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348</v>
      </c>
      <c r="B50" s="1278" t="s">
        <v>349</v>
      </c>
      <c r="C50" s="1278" t="s">
        <v>350</v>
      </c>
      <c r="D50" s="1278" t="s">
        <v>618</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348</v>
      </c>
      <c r="B51" s="1259" t="s">
        <v>349</v>
      </c>
      <c r="C51" s="1231"/>
      <c r="D51" s="1231"/>
      <c r="E51" s="5315"/>
      <c r="F51" s="5314"/>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348</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5" hidden="1" customWidth="1"/>
    <col min="13" max="14" width="12.28515625" style="2171" hidden="1" customWidth="1"/>
    <col min="15" max="15" width="23.42578125" style="2171" hidden="1" customWidth="1"/>
    <col min="16" max="16" width="3.7109375" style="4586"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369"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65"/>
      <c r="Q3" s="276"/>
      <c r="R3" s="277"/>
      <c r="S3" s="1369"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369" t="e">
        <f>INDEX(PT_DIFFERENTIATION_NUM_CS,MATCH(C4,PT_DIFFERENTIATION_CS_ID,0))</f>
        <v>#N/A</v>
      </c>
      <c r="T4" s="229" t="s">
        <v>603</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604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62"/>
      <c r="R5" s="280"/>
      <c r="S5" s="1369"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369"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369"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68"/>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62"/>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59"/>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59"/>
      <c r="M19" s="1277"/>
      <c r="N19" s="1277"/>
      <c r="O19" s="1277"/>
      <c r="P19" s="1277"/>
      <c r="Q19" s="1286"/>
      <c r="R19" s="1286"/>
      <c r="S19" s="647"/>
      <c r="AB19" s="1281"/>
      <c r="AI19" s="1281"/>
      <c r="AL19" s="436"/>
      <c r="AM19" s="436"/>
      <c r="AN19" s="436"/>
      <c r="AO19" s="436"/>
      <c r="AP19" s="436"/>
    </row>
    <row r="20" spans="1:42" s="1832" customFormat="1" ht="12" hidden="1" customHeight="1">
      <c r="L20" s="1359"/>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64" t="s">
        <v>611</v>
      </c>
      <c r="W38" s="5151" t="s">
        <v>551</v>
      </c>
      <c r="X38" s="5150"/>
      <c r="Y38" s="5151" t="s">
        <v>552</v>
      </c>
      <c r="Z38" s="5156"/>
      <c r="AA38" s="5150"/>
      <c r="AB38" s="5327"/>
      <c r="AC38" s="1364" t="s">
        <v>611</v>
      </c>
      <c r="AD38" s="5151" t="s">
        <v>551</v>
      </c>
      <c r="AE38" s="5150"/>
      <c r="AF38" s="5151" t="s">
        <v>552</v>
      </c>
      <c r="AG38" s="5156"/>
      <c r="AH38" s="5150"/>
      <c r="AI38" s="5327"/>
      <c r="AJ38" s="5330"/>
      <c r="AK38" s="5180"/>
    </row>
    <row r="39" spans="1:42" ht="33.7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64" t="s">
        <v>614</v>
      </c>
      <c r="W39" s="1127" t="s">
        <v>615</v>
      </c>
      <c r="X39" s="1127" t="s">
        <v>616</v>
      </c>
      <c r="Y39" s="1367" t="s">
        <v>562</v>
      </c>
      <c r="Z39" s="5282" t="s">
        <v>563</v>
      </c>
      <c r="AA39" s="5284"/>
      <c r="AB39" s="5328"/>
      <c r="AC39" s="1364" t="s">
        <v>614</v>
      </c>
      <c r="AD39" s="1127" t="s">
        <v>615</v>
      </c>
      <c r="AE39" s="1127" t="s">
        <v>616</v>
      </c>
      <c r="AF39" s="1367" t="s">
        <v>562</v>
      </c>
      <c r="AG39" s="5282" t="s">
        <v>563</v>
      </c>
      <c r="AH39" s="5284"/>
      <c r="AI39" s="5328"/>
      <c r="AJ39" s="5331"/>
      <c r="AK39" s="5180"/>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63">
        <f ca="1">OFFSET(V40,0,-1)+1</f>
        <v>3</v>
      </c>
      <c r="W40" s="1363">
        <f ca="1">OFFSET(W40,0,-1)+1</f>
        <v>4</v>
      </c>
      <c r="X40" s="1363">
        <f ca="1">OFFSET(X40,0,-1)+1</f>
        <v>5</v>
      </c>
      <c r="Y40" s="1363">
        <f ca="1">OFFSET(Y40,0,-1)+1</f>
        <v>6</v>
      </c>
      <c r="Z40" s="5321">
        <f ca="1">OFFSET(Z40,0,-1)+1</f>
        <v>7</v>
      </c>
      <c r="AA40" s="5321"/>
      <c r="AB40" s="1363">
        <f ca="1">OFFSET(AB40,0,-2)+1</f>
        <v>8</v>
      </c>
      <c r="AC40" s="1363">
        <f ca="1">OFFSET(AC40,0,-1)+1</f>
        <v>9</v>
      </c>
      <c r="AD40" s="1363">
        <f ca="1">OFFSET(AD40,0,-1)+1</f>
        <v>10</v>
      </c>
      <c r="AE40" s="1363">
        <f ca="1">OFFSET(AE40,0,-1)+1</f>
        <v>11</v>
      </c>
      <c r="AF40" s="1363">
        <f ca="1">OFFSET(AF40,0,-1)+1</f>
        <v>12</v>
      </c>
      <c r="AG40" s="5321">
        <f ca="1">OFFSET(AG40,0,-1)+1</f>
        <v>13</v>
      </c>
      <c r="AH40" s="5321"/>
      <c r="AI40" s="1363">
        <f ca="1">OFFSET(AI40,0,-2)+1</f>
        <v>14</v>
      </c>
      <c r="AJ40" s="1153">
        <f ca="1">OFFSET(AJ40,0,-1)</f>
        <v>14</v>
      </c>
      <c r="AK40" s="1363">
        <f ca="1">OFFSET(AK40,0,-1)+1</f>
        <v>15</v>
      </c>
      <c r="AL40" s="436"/>
      <c r="AM40" s="436"/>
      <c r="AN40" s="436"/>
      <c r="AO40" s="436"/>
      <c r="AP40" s="436"/>
    </row>
    <row r="41" spans="1:42" ht="23.25" customHeight="1">
      <c r="A41" s="1278" t="s">
        <v>353</v>
      </c>
      <c r="B41" s="1278"/>
      <c r="C41" s="1278"/>
      <c r="D41" s="1278"/>
      <c r="E41" s="5314">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353</v>
      </c>
      <c r="B42" s="1278" t="s">
        <v>354</v>
      </c>
      <c r="C42" s="1278"/>
      <c r="D42" s="1278"/>
      <c r="E42" s="5315"/>
      <c r="F42" s="5314">
        <v>1</v>
      </c>
      <c r="G42" s="1278"/>
      <c r="H42" s="1278"/>
      <c r="I42" s="1278"/>
      <c r="J42" s="1278"/>
      <c r="K42" s="1278"/>
      <c r="L42" s="1279"/>
      <c r="M42" s="1280"/>
      <c r="N42" s="1280"/>
      <c r="O42" s="1280"/>
      <c r="P42" s="1365"/>
      <c r="Q42" s="276"/>
      <c r="R42" s="277"/>
      <c r="S42" s="1369"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353</v>
      </c>
      <c r="B43" s="1278" t="s">
        <v>354</v>
      </c>
      <c r="C43" s="1278" t="s">
        <v>355</v>
      </c>
      <c r="D43" s="1278"/>
      <c r="E43" s="5315"/>
      <c r="F43" s="5315"/>
      <c r="G43" s="5314">
        <v>1</v>
      </c>
      <c r="H43" s="1278"/>
      <c r="I43" s="1278"/>
      <c r="J43" s="1278"/>
      <c r="K43" s="1278"/>
      <c r="L43" s="1279"/>
      <c r="M43" s="1280"/>
      <c r="N43" s="1280"/>
      <c r="O43" s="1280"/>
      <c r="P43" s="278"/>
      <c r="Q43" s="276"/>
      <c r="R43" s="277"/>
      <c r="S43" s="1369" t="str">
        <f>INDEX(PT_DIFFERENTIATION_NUM_CS,MATCH(C43,PT_DIFFERENTIATION_CS_ID,0))</f>
        <v>..</v>
      </c>
      <c r="T43" s="229" t="s">
        <v>603</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604</v>
      </c>
      <c r="AM43" s="425"/>
      <c r="AN43" s="425" t="str">
        <f t="shared" si="1"/>
        <v>Наименование централизованной системы холодного водоснабжения</v>
      </c>
      <c r="AO43" s="425"/>
      <c r="AP43" s="425"/>
    </row>
    <row r="44" spans="1:42" ht="23.25" customHeight="1">
      <c r="A44" s="1278" t="s">
        <v>353</v>
      </c>
      <c r="B44" s="1278" t="s">
        <v>354</v>
      </c>
      <c r="C44" s="1278" t="s">
        <v>355</v>
      </c>
      <c r="D44" s="1278" t="s">
        <v>619</v>
      </c>
      <c r="E44" s="5315"/>
      <c r="F44" s="5315"/>
      <c r="G44" s="5315"/>
      <c r="H44" s="5315"/>
      <c r="I44" s="5312" t="str">
        <f>S43&amp;".1"</f>
        <v>...1</v>
      </c>
      <c r="J44" s="1278"/>
      <c r="K44" s="1278"/>
      <c r="L44" s="1279"/>
      <c r="P44" s="5313">
        <v>1</v>
      </c>
      <c r="Q44" s="1362"/>
      <c r="R44" s="280"/>
      <c r="S44" s="1369"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353</v>
      </c>
      <c r="B45" s="1278" t="s">
        <v>354</v>
      </c>
      <c r="C45" s="1278" t="s">
        <v>355</v>
      </c>
      <c r="D45" s="1278" t="s">
        <v>619</v>
      </c>
      <c r="E45" s="5315"/>
      <c r="F45" s="5315"/>
      <c r="G45" s="5315"/>
      <c r="H45" s="5315"/>
      <c r="I45" s="5335"/>
      <c r="J45" s="5312" t="str">
        <f>I44&amp;".1"</f>
        <v>...1.1</v>
      </c>
      <c r="K45" s="1278"/>
      <c r="L45" s="1279" t="s">
        <v>525</v>
      </c>
      <c r="P45" s="5313"/>
      <c r="Q45" s="5313">
        <v>1</v>
      </c>
      <c r="R45" s="281"/>
      <c r="S45" s="1369"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353</v>
      </c>
      <c r="B46" s="1278" t="s">
        <v>354</v>
      </c>
      <c r="C46" s="1278" t="s">
        <v>355</v>
      </c>
      <c r="D46" s="1278" t="s">
        <v>619</v>
      </c>
      <c r="E46" s="5315"/>
      <c r="F46" s="5315"/>
      <c r="G46" s="5315"/>
      <c r="H46" s="5315"/>
      <c r="I46" s="5335"/>
      <c r="J46" s="5335"/>
      <c r="K46" s="5312" t="str">
        <f>J45&amp;".1"</f>
        <v>...1.1.1</v>
      </c>
      <c r="L46" s="1279"/>
      <c r="P46" s="5313"/>
      <c r="Q46" s="5313"/>
      <c r="R46" s="281">
        <v>1</v>
      </c>
      <c r="S46" s="1369" t="str">
        <f>$K46</f>
        <v>...1.1.1</v>
      </c>
      <c r="T46" s="1351"/>
      <c r="U46" s="218"/>
      <c r="V46" s="667"/>
      <c r="W46" s="667"/>
      <c r="X46" s="1175"/>
      <c r="Y46" s="5317"/>
      <c r="Z46" s="5161" t="s">
        <v>62</v>
      </c>
      <c r="AA46" s="5317"/>
      <c r="AB46" s="5161" t="s">
        <v>62</v>
      </c>
      <c r="AC46" s="667"/>
      <c r="AD46" s="667"/>
      <c r="AE46" s="1175"/>
      <c r="AF46" s="5317"/>
      <c r="AG46" s="5161" t="s">
        <v>62</v>
      </c>
      <c r="AH46" s="5336"/>
      <c r="AI46" s="5161" t="s">
        <v>62</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353</v>
      </c>
      <c r="B47" s="1278" t="s">
        <v>354</v>
      </c>
      <c r="C47" s="1278" t="s">
        <v>355</v>
      </c>
      <c r="D47" s="1278" t="s">
        <v>619</v>
      </c>
      <c r="E47" s="5315"/>
      <c r="F47" s="5315"/>
      <c r="G47" s="5315"/>
      <c r="H47" s="5315"/>
      <c r="I47" s="5335"/>
      <c r="J47" s="5335"/>
      <c r="K47" s="5312"/>
      <c r="L47" s="1279"/>
      <c r="P47" s="5313"/>
      <c r="Q47" s="5313"/>
      <c r="R47" s="281"/>
      <c r="S47" s="1368"/>
      <c r="T47" s="218"/>
      <c r="U47" s="218"/>
      <c r="V47" s="250"/>
      <c r="W47" s="250"/>
      <c r="X47" s="254" t="str">
        <f>Y46&amp;"-"&amp;AA46</f>
        <v>-</v>
      </c>
      <c r="Y47" s="5318"/>
      <c r="Z47" s="5161"/>
      <c r="AA47" s="5318"/>
      <c r="AB47" s="5161"/>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353</v>
      </c>
      <c r="B48" s="1278" t="s">
        <v>354</v>
      </c>
      <c r="C48" s="1278" t="s">
        <v>355</v>
      </c>
      <c r="D48" s="1278" t="s">
        <v>619</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353</v>
      </c>
      <c r="B49" s="1278" t="s">
        <v>354</v>
      </c>
      <c r="C49" s="1278" t="s">
        <v>355</v>
      </c>
      <c r="D49" s="1278" t="s">
        <v>619</v>
      </c>
      <c r="E49" s="5315"/>
      <c r="F49" s="5315"/>
      <c r="G49" s="5315"/>
      <c r="H49" s="5315"/>
      <c r="I49" s="5312"/>
      <c r="J49" s="1278"/>
      <c r="K49" s="1278"/>
      <c r="L49" s="1279"/>
      <c r="P49" s="5313"/>
      <c r="Q49" s="1362"/>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353</v>
      </c>
      <c r="B50" s="1278" t="s">
        <v>354</v>
      </c>
      <c r="C50" s="1278" t="s">
        <v>355</v>
      </c>
      <c r="D50" s="1278" t="s">
        <v>619</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353</v>
      </c>
      <c r="B51" s="1259" t="s">
        <v>354</v>
      </c>
      <c r="C51" s="1231"/>
      <c r="D51" s="1231"/>
      <c r="E51" s="5315"/>
      <c r="F51" s="5314"/>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353</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5" hidden="1" customWidth="1"/>
    <col min="13" max="14" width="12.28515625" style="2171" hidden="1" customWidth="1"/>
    <col min="15" max="15" width="23.42578125" style="2171" hidden="1" customWidth="1"/>
    <col min="16" max="16" width="3.7109375" style="4586"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369"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65"/>
      <c r="Q3" s="276"/>
      <c r="R3" s="277"/>
      <c r="S3" s="1369"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369" t="e">
        <f>INDEX(PT_DIFFERENTIATION_NUM_CS,MATCH(C4,PT_DIFFERENTIATION_CS_ID,0))</f>
        <v>#N/A</v>
      </c>
      <c r="T4" s="229" t="s">
        <v>603</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604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62"/>
      <c r="R5" s="280"/>
      <c r="S5" s="1369"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369"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369"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68"/>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62"/>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370"/>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59"/>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59"/>
      <c r="M19" s="1277"/>
      <c r="N19" s="1277"/>
      <c r="O19" s="1277"/>
      <c r="P19" s="1277"/>
      <c r="Q19" s="1286"/>
      <c r="R19" s="1286"/>
      <c r="S19" s="647"/>
      <c r="AB19" s="1281"/>
      <c r="AI19" s="1281"/>
      <c r="AL19" s="436"/>
      <c r="AM19" s="436"/>
      <c r="AN19" s="436"/>
      <c r="AO19" s="436"/>
      <c r="AP19" s="436"/>
    </row>
    <row r="20" spans="1:42" s="1832" customFormat="1" ht="12" hidden="1" customHeight="1">
      <c r="L20" s="1359"/>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64" t="s">
        <v>611</v>
      </c>
      <c r="W38" s="5151" t="s">
        <v>551</v>
      </c>
      <c r="X38" s="5150"/>
      <c r="Y38" s="5151" t="s">
        <v>552</v>
      </c>
      <c r="Z38" s="5156"/>
      <c r="AA38" s="5150"/>
      <c r="AB38" s="5327"/>
      <c r="AC38" s="1364" t="s">
        <v>611</v>
      </c>
      <c r="AD38" s="5151" t="s">
        <v>551</v>
      </c>
      <c r="AE38" s="5150"/>
      <c r="AF38" s="5151" t="s">
        <v>552</v>
      </c>
      <c r="AG38" s="5156"/>
      <c r="AH38" s="5150"/>
      <c r="AI38" s="5327"/>
      <c r="AJ38" s="5330"/>
      <c r="AK38" s="5180"/>
    </row>
    <row r="39" spans="1:42" ht="33.7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64" t="s">
        <v>614</v>
      </c>
      <c r="W39" s="1127" t="s">
        <v>615</v>
      </c>
      <c r="X39" s="1127" t="s">
        <v>616</v>
      </c>
      <c r="Y39" s="1367" t="s">
        <v>562</v>
      </c>
      <c r="Z39" s="5282" t="s">
        <v>563</v>
      </c>
      <c r="AA39" s="5284"/>
      <c r="AB39" s="5328"/>
      <c r="AC39" s="1364" t="s">
        <v>614</v>
      </c>
      <c r="AD39" s="1127" t="s">
        <v>615</v>
      </c>
      <c r="AE39" s="1127" t="s">
        <v>616</v>
      </c>
      <c r="AF39" s="1367" t="s">
        <v>562</v>
      </c>
      <c r="AG39" s="5282" t="s">
        <v>563</v>
      </c>
      <c r="AH39" s="5284"/>
      <c r="AI39" s="5328"/>
      <c r="AJ39" s="5331"/>
      <c r="AK39" s="5180"/>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63">
        <f ca="1">OFFSET(V40,0,-1)+1</f>
        <v>3</v>
      </c>
      <c r="W40" s="1363">
        <f ca="1">OFFSET(W40,0,-1)+1</f>
        <v>4</v>
      </c>
      <c r="X40" s="1363">
        <f ca="1">OFFSET(X40,0,-1)+1</f>
        <v>5</v>
      </c>
      <c r="Y40" s="1363">
        <f ca="1">OFFSET(Y40,0,-1)+1</f>
        <v>6</v>
      </c>
      <c r="Z40" s="5321">
        <f ca="1">OFFSET(Z40,0,-1)+1</f>
        <v>7</v>
      </c>
      <c r="AA40" s="5321"/>
      <c r="AB40" s="1363">
        <f ca="1">OFFSET(AB40,0,-2)+1</f>
        <v>8</v>
      </c>
      <c r="AC40" s="1363">
        <f ca="1">OFFSET(AC40,0,-1)+1</f>
        <v>9</v>
      </c>
      <c r="AD40" s="1363">
        <f ca="1">OFFSET(AD40,0,-1)+1</f>
        <v>10</v>
      </c>
      <c r="AE40" s="1363">
        <f ca="1">OFFSET(AE40,0,-1)+1</f>
        <v>11</v>
      </c>
      <c r="AF40" s="1363">
        <f ca="1">OFFSET(AF40,0,-1)+1</f>
        <v>12</v>
      </c>
      <c r="AG40" s="5321">
        <f ca="1">OFFSET(AG40,0,-1)+1</f>
        <v>13</v>
      </c>
      <c r="AH40" s="5321"/>
      <c r="AI40" s="1363">
        <f ca="1">OFFSET(AI40,0,-2)+1</f>
        <v>14</v>
      </c>
      <c r="AJ40" s="1153">
        <f ca="1">OFFSET(AJ40,0,-1)</f>
        <v>14</v>
      </c>
      <c r="AK40" s="1363">
        <f ca="1">OFFSET(AK40,0,-1)+1</f>
        <v>15</v>
      </c>
      <c r="AL40" s="436"/>
      <c r="AM40" s="436"/>
      <c r="AN40" s="436"/>
      <c r="AO40" s="436"/>
      <c r="AP40" s="436"/>
    </row>
    <row r="41" spans="1:42" ht="23.25" customHeight="1">
      <c r="A41" s="1278" t="s">
        <v>358</v>
      </c>
      <c r="B41" s="1278"/>
      <c r="C41" s="1278"/>
      <c r="D41" s="1278"/>
      <c r="E41" s="5314">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358</v>
      </c>
      <c r="B42" s="1278" t="s">
        <v>359</v>
      </c>
      <c r="C42" s="1278"/>
      <c r="D42" s="1278"/>
      <c r="E42" s="5315"/>
      <c r="F42" s="5314">
        <v>1</v>
      </c>
      <c r="G42" s="1278"/>
      <c r="H42" s="1278"/>
      <c r="I42" s="1278"/>
      <c r="J42" s="1278"/>
      <c r="K42" s="1278"/>
      <c r="L42" s="1279"/>
      <c r="M42" s="1280"/>
      <c r="N42" s="1280"/>
      <c r="O42" s="1280"/>
      <c r="P42" s="1365"/>
      <c r="Q42" s="276"/>
      <c r="R42" s="277"/>
      <c r="S42" s="1369"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358</v>
      </c>
      <c r="B43" s="1278" t="s">
        <v>359</v>
      </c>
      <c r="C43" s="1278" t="s">
        <v>360</v>
      </c>
      <c r="D43" s="1278"/>
      <c r="E43" s="5315"/>
      <c r="F43" s="5315"/>
      <c r="G43" s="5314">
        <v>1</v>
      </c>
      <c r="H43" s="1278"/>
      <c r="I43" s="1278"/>
      <c r="J43" s="1278"/>
      <c r="K43" s="1278"/>
      <c r="L43" s="1279"/>
      <c r="M43" s="1280"/>
      <c r="N43" s="1280"/>
      <c r="O43" s="1280"/>
      <c r="P43" s="278"/>
      <c r="Q43" s="276"/>
      <c r="R43" s="277"/>
      <c r="S43" s="1369" t="str">
        <f>INDEX(PT_DIFFERENTIATION_NUM_CS,MATCH(C43,PT_DIFFERENTIATION_CS_ID,0))</f>
        <v>..</v>
      </c>
      <c r="T43" s="229" t="s">
        <v>603</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604</v>
      </c>
      <c r="AM43" s="425"/>
      <c r="AN43" s="425" t="str">
        <f t="shared" si="1"/>
        <v>Наименование централизованной системы холодного водоснабжения</v>
      </c>
      <c r="AO43" s="425"/>
      <c r="AP43" s="425"/>
    </row>
    <row r="44" spans="1:42" ht="23.25" customHeight="1">
      <c r="A44" s="1278" t="s">
        <v>358</v>
      </c>
      <c r="B44" s="1278" t="s">
        <v>359</v>
      </c>
      <c r="C44" s="1278" t="s">
        <v>360</v>
      </c>
      <c r="D44" s="1278" t="s">
        <v>620</v>
      </c>
      <c r="E44" s="5315"/>
      <c r="F44" s="5315"/>
      <c r="G44" s="5315"/>
      <c r="H44" s="5315"/>
      <c r="I44" s="5312" t="str">
        <f>S43&amp;".1"</f>
        <v>...1</v>
      </c>
      <c r="J44" s="1278"/>
      <c r="K44" s="1278"/>
      <c r="L44" s="1279"/>
      <c r="P44" s="5313">
        <v>1</v>
      </c>
      <c r="Q44" s="1362"/>
      <c r="R44" s="280"/>
      <c r="S44" s="1369"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358</v>
      </c>
      <c r="B45" s="1278" t="s">
        <v>359</v>
      </c>
      <c r="C45" s="1278" t="s">
        <v>360</v>
      </c>
      <c r="D45" s="1278" t="s">
        <v>620</v>
      </c>
      <c r="E45" s="5315"/>
      <c r="F45" s="5315"/>
      <c r="G45" s="5315"/>
      <c r="H45" s="5315"/>
      <c r="I45" s="5335"/>
      <c r="J45" s="5312" t="str">
        <f>I44&amp;".1"</f>
        <v>...1.1</v>
      </c>
      <c r="K45" s="1278"/>
      <c r="L45" s="1279" t="s">
        <v>525</v>
      </c>
      <c r="P45" s="5313"/>
      <c r="Q45" s="5313">
        <v>1</v>
      </c>
      <c r="R45" s="281"/>
      <c r="S45" s="1369"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358</v>
      </c>
      <c r="B46" s="1278" t="s">
        <v>359</v>
      </c>
      <c r="C46" s="1278" t="s">
        <v>360</v>
      </c>
      <c r="D46" s="1278" t="s">
        <v>620</v>
      </c>
      <c r="E46" s="5315"/>
      <c r="F46" s="5315"/>
      <c r="G46" s="5315"/>
      <c r="H46" s="5315"/>
      <c r="I46" s="5335"/>
      <c r="J46" s="5335"/>
      <c r="K46" s="5312" t="str">
        <f>J45&amp;".1"</f>
        <v>...1.1.1</v>
      </c>
      <c r="L46" s="1279"/>
      <c r="P46" s="5313"/>
      <c r="Q46" s="5313"/>
      <c r="R46" s="281">
        <v>1</v>
      </c>
      <c r="S46" s="1369" t="str">
        <f>$K46</f>
        <v>...1.1.1</v>
      </c>
      <c r="T46" s="1351"/>
      <c r="U46" s="218"/>
      <c r="V46" s="667"/>
      <c r="W46" s="667"/>
      <c r="X46" s="1175"/>
      <c r="Y46" s="5317"/>
      <c r="Z46" s="5161" t="s">
        <v>62</v>
      </c>
      <c r="AA46" s="5317"/>
      <c r="AB46" s="5161" t="s">
        <v>62</v>
      </c>
      <c r="AC46" s="667"/>
      <c r="AD46" s="667"/>
      <c r="AE46" s="1175"/>
      <c r="AF46" s="5317"/>
      <c r="AG46" s="5161" t="s">
        <v>62</v>
      </c>
      <c r="AH46" s="5336"/>
      <c r="AI46" s="5161" t="s">
        <v>62</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358</v>
      </c>
      <c r="B47" s="1278" t="s">
        <v>359</v>
      </c>
      <c r="C47" s="1278" t="s">
        <v>360</v>
      </c>
      <c r="D47" s="1278" t="s">
        <v>620</v>
      </c>
      <c r="E47" s="5315"/>
      <c r="F47" s="5315"/>
      <c r="G47" s="5315"/>
      <c r="H47" s="5315"/>
      <c r="I47" s="5335"/>
      <c r="J47" s="5335"/>
      <c r="K47" s="5312"/>
      <c r="L47" s="1279"/>
      <c r="P47" s="5313"/>
      <c r="Q47" s="5313"/>
      <c r="R47" s="281"/>
      <c r="S47" s="1368"/>
      <c r="T47" s="218"/>
      <c r="U47" s="218"/>
      <c r="V47" s="250"/>
      <c r="W47" s="250"/>
      <c r="X47" s="254" t="str">
        <f>Y46&amp;"-"&amp;AA46</f>
        <v>-</v>
      </c>
      <c r="Y47" s="5318"/>
      <c r="Z47" s="5161"/>
      <c r="AA47" s="5318"/>
      <c r="AB47" s="5161"/>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358</v>
      </c>
      <c r="B48" s="1278" t="s">
        <v>359</v>
      </c>
      <c r="C48" s="1278" t="s">
        <v>360</v>
      </c>
      <c r="D48" s="1278" t="s">
        <v>620</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358</v>
      </c>
      <c r="B49" s="1278" t="s">
        <v>359</v>
      </c>
      <c r="C49" s="1278" t="s">
        <v>360</v>
      </c>
      <c r="D49" s="1278" t="s">
        <v>620</v>
      </c>
      <c r="E49" s="5315"/>
      <c r="F49" s="5315"/>
      <c r="G49" s="5315"/>
      <c r="H49" s="5315"/>
      <c r="I49" s="5312"/>
      <c r="J49" s="1278"/>
      <c r="K49" s="1278"/>
      <c r="L49" s="1279"/>
      <c r="P49" s="5313"/>
      <c r="Q49" s="1362"/>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358</v>
      </c>
      <c r="B50" s="1278" t="s">
        <v>359</v>
      </c>
      <c r="C50" s="1278" t="s">
        <v>360</v>
      </c>
      <c r="D50" s="1278" t="s">
        <v>620</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358</v>
      </c>
      <c r="B51" s="1259" t="s">
        <v>359</v>
      </c>
      <c r="C51" s="1231"/>
      <c r="D51" s="1231"/>
      <c r="E51" s="5315"/>
      <c r="F51" s="5314"/>
      <c r="G51" s="1231"/>
      <c r="H51" s="1231"/>
      <c r="I51" s="1231"/>
      <c r="J51" s="1231"/>
      <c r="K51" s="1231"/>
      <c r="L51" s="1370"/>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358</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4587" hidden="1" customWidth="1"/>
    <col min="13" max="14" width="12.28515625" style="2171" hidden="1" customWidth="1"/>
    <col min="15" max="15" width="23.42578125" style="2171" hidden="1" customWidth="1"/>
    <col min="16" max="16" width="3.7109375" style="2171" hidden="1" customWidth="1"/>
    <col min="17" max="17" width="3.7109375" style="2172" hidden="1" customWidth="1"/>
    <col min="18" max="18" width="3.7109375" style="3147" customWidth="1"/>
    <col min="19" max="19" width="12.7109375" style="3148" customWidth="1"/>
    <col min="20" max="20" width="32" style="2112" customWidth="1"/>
    <col min="21" max="21" width="0.140625" style="2112" customWidth="1"/>
    <col min="22" max="25" width="21.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2" width="3.7109375" style="2112" customWidth="1"/>
    <col min="33" max="33" width="24.7109375" style="2112" customWidth="1"/>
    <col min="34" max="36" width="3.7109375" style="2112" customWidth="1"/>
    <col min="37" max="37" width="24.7109375" style="2112" customWidth="1"/>
    <col min="38" max="40" width="3.7109375" style="2112" customWidth="1"/>
    <col min="41" max="41" width="18.85546875" style="2112" customWidth="1"/>
    <col min="42" max="44" width="3.7109375" style="2112" customWidth="1"/>
    <col min="45" max="45" width="18.85546875" style="2112" customWidth="1"/>
    <col min="46" max="49" width="21.7109375" style="2112" customWidth="1"/>
    <col min="50" max="50" width="11.7109375" style="2112" customWidth="1"/>
    <col min="51" max="51" width="3.7109375" style="2112" customWidth="1"/>
    <col min="52" max="52" width="11.7109375" style="2112" customWidth="1"/>
    <col min="53" max="53" width="8.5703125" style="2112" hidden="1" customWidth="1"/>
    <col min="54" max="54" width="4.7109375" style="2112" customWidth="1"/>
    <col min="55" max="55" width="115.7109375" style="2112"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5314">
        <v>1</v>
      </c>
      <c r="F2" s="1278"/>
      <c r="G2" s="1278"/>
      <c r="H2" s="1278"/>
      <c r="I2" s="1278"/>
      <c r="J2" s="1278"/>
      <c r="K2" s="1278"/>
      <c r="L2" s="1279"/>
      <c r="M2" s="1280"/>
      <c r="N2" s="1280"/>
      <c r="O2" s="1280"/>
      <c r="P2" s="1324"/>
      <c r="Q2" s="785"/>
      <c r="R2" s="279"/>
      <c r="S2" s="1376" t="e">
        <f>INDEX(PT_DIFFERENTIATION_NUM_NTAR,MATCH(A2,PT_DIFFERENTIATION_NTAR_ID,0))</f>
        <v>#N/A</v>
      </c>
      <c r="T2" s="216" t="s">
        <v>127</v>
      </c>
      <c r="U2" s="218"/>
      <c r="V2" s="5301"/>
      <c r="W2" s="5301"/>
      <c r="X2" s="5301"/>
      <c r="Y2" s="5301"/>
      <c r="Z2" s="5301"/>
      <c r="AA2" s="5301"/>
      <c r="AB2" s="5301"/>
      <c r="AC2" s="5302"/>
      <c r="AD2" s="5300" t="e">
        <f>INDEX(PT_DIFFERENTIATION_NTAR,MATCH(A2,PT_DIFFERENTIATION_NTAR_ID,0))</f>
        <v>#N/A</v>
      </c>
      <c r="AE2" s="5301"/>
      <c r="AF2" s="5301"/>
      <c r="AG2" s="5301"/>
      <c r="AH2" s="5301"/>
      <c r="AI2" s="5301"/>
      <c r="AJ2" s="5301"/>
      <c r="AK2" s="5301"/>
      <c r="AL2" s="5301"/>
      <c r="AM2" s="5301"/>
      <c r="AN2" s="5301"/>
      <c r="AO2" s="5301"/>
      <c r="AP2" s="5301"/>
      <c r="AQ2" s="5301"/>
      <c r="AR2" s="5301"/>
      <c r="AS2" s="5301"/>
      <c r="AT2" s="5301"/>
      <c r="AU2" s="5301"/>
      <c r="AV2" s="5301"/>
      <c r="AW2" s="5301"/>
      <c r="AX2" s="5301"/>
      <c r="AY2" s="5301"/>
      <c r="AZ2" s="5301"/>
      <c r="BA2" s="5301"/>
      <c r="BB2" s="530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5315"/>
      <c r="F3" s="5314">
        <v>1</v>
      </c>
      <c r="G3" s="1278"/>
      <c r="H3" s="1278"/>
      <c r="I3" s="1278"/>
      <c r="J3" s="1278"/>
      <c r="K3" s="1278"/>
      <c r="L3" s="1279"/>
      <c r="M3" s="1280"/>
      <c r="N3" s="1280"/>
      <c r="O3" s="1280"/>
      <c r="P3" s="1325"/>
      <c r="Q3" s="1326"/>
      <c r="R3" s="277"/>
      <c r="S3" s="1376" t="e">
        <f>INDEX(PT_DIFFERENTIATION_NUM_TER,MATCH(B3,PT_DIFFERENTIATION_TER_ID,0))</f>
        <v>#N/A</v>
      </c>
      <c r="T3" s="228" t="s">
        <v>516</v>
      </c>
      <c r="U3" s="218"/>
      <c r="V3" s="5301"/>
      <c r="W3" s="5301"/>
      <c r="X3" s="5301"/>
      <c r="Y3" s="5301"/>
      <c r="Z3" s="5301"/>
      <c r="AA3" s="5301"/>
      <c r="AB3" s="5301"/>
      <c r="AC3" s="5302"/>
      <c r="AD3" s="5300" t="e">
        <f>INDEX(PT_DIFFERENTIATION_TER,MATCH(B3,PT_DIFFERENTIATION_TER_ID,0))</f>
        <v>#N/A</v>
      </c>
      <c r="AE3" s="5301"/>
      <c r="AF3" s="5301"/>
      <c r="AG3" s="5301"/>
      <c r="AH3" s="5301"/>
      <c r="AI3" s="5301"/>
      <c r="AJ3" s="5301"/>
      <c r="AK3" s="5301"/>
      <c r="AL3" s="5301"/>
      <c r="AM3" s="5301"/>
      <c r="AN3" s="5301"/>
      <c r="AO3" s="5301"/>
      <c r="AP3" s="5301"/>
      <c r="AQ3" s="5301"/>
      <c r="AR3" s="5301"/>
      <c r="AS3" s="5301"/>
      <c r="AT3" s="5301"/>
      <c r="AU3" s="5301"/>
      <c r="AV3" s="5301"/>
      <c r="AW3" s="5301"/>
      <c r="AX3" s="5301"/>
      <c r="AY3" s="5301"/>
      <c r="AZ3" s="5301"/>
      <c r="BA3" s="5301"/>
      <c r="BB3" s="5302"/>
      <c r="BC3" s="1176" t="s">
        <v>517</v>
      </c>
      <c r="BE3" s="425"/>
      <c r="BF3" s="425" t="str">
        <f t="shared" si="0"/>
        <v>Территория действия тарифа</v>
      </c>
      <c r="BG3" s="425"/>
      <c r="BH3" s="425"/>
    </row>
    <row r="4" spans="1:60" ht="42" hidden="1" customHeight="1">
      <c r="A4" s="1278"/>
      <c r="B4" s="1278"/>
      <c r="C4" s="1278"/>
      <c r="D4" s="1278"/>
      <c r="E4" s="5315"/>
      <c r="F4" s="5315"/>
      <c r="G4" s="5314">
        <v>1</v>
      </c>
      <c r="H4" s="1278"/>
      <c r="I4" s="1278"/>
      <c r="J4" s="1278"/>
      <c r="K4" s="1278"/>
      <c r="L4" s="1279"/>
      <c r="M4" s="1280"/>
      <c r="N4" s="1280"/>
      <c r="O4" s="1280"/>
      <c r="P4" s="1327"/>
      <c r="Q4" s="1326"/>
      <c r="R4" s="277"/>
      <c r="S4" s="1376" t="e">
        <f>INDEX(PT_DIFFERENTIATION_NUM_CS,MATCH(C4,PT_DIFFERENTIATION_CS_ID,0))</f>
        <v>#N/A</v>
      </c>
      <c r="T4" s="229" t="s">
        <v>603</v>
      </c>
      <c r="U4" s="218"/>
      <c r="V4" s="5301"/>
      <c r="W4" s="5301"/>
      <c r="X4" s="5301"/>
      <c r="Y4" s="5301"/>
      <c r="Z4" s="5301"/>
      <c r="AA4" s="5301"/>
      <c r="AB4" s="5301"/>
      <c r="AC4" s="5302"/>
      <c r="AD4" s="5300" t="e">
        <f>INDEX(PT_DIFFERENTIATION_CS,MATCH(C4,PT_DIFFERENTIATION_CS_ID,0))</f>
        <v>#N/A</v>
      </c>
      <c r="AE4" s="5301"/>
      <c r="AF4" s="5301"/>
      <c r="AG4" s="5301"/>
      <c r="AH4" s="5301"/>
      <c r="AI4" s="5301"/>
      <c r="AJ4" s="5301"/>
      <c r="AK4" s="5301"/>
      <c r="AL4" s="5301"/>
      <c r="AM4" s="5301"/>
      <c r="AN4" s="5301"/>
      <c r="AO4" s="5301"/>
      <c r="AP4" s="5301"/>
      <c r="AQ4" s="5301"/>
      <c r="AR4" s="5301"/>
      <c r="AS4" s="5301"/>
      <c r="AT4" s="5301"/>
      <c r="AU4" s="5301"/>
      <c r="AV4" s="5301"/>
      <c r="AW4" s="5301"/>
      <c r="AX4" s="5301"/>
      <c r="AY4" s="5301"/>
      <c r="AZ4" s="5301"/>
      <c r="BA4" s="5301"/>
      <c r="BB4" s="5302"/>
      <c r="BC4" s="1176" t="s">
        <v>604</v>
      </c>
      <c r="BE4" s="425"/>
      <c r="BF4" s="425" t="str">
        <f t="shared" si="0"/>
        <v>Наименование централизованной системы холодного водоснабжения</v>
      </c>
      <c r="BG4" s="425"/>
      <c r="BH4" s="425"/>
    </row>
    <row r="5" spans="1:60" s="1819" customFormat="1" ht="14.25" hidden="1" customHeight="1">
      <c r="A5" s="1259"/>
      <c r="B5" s="1259"/>
      <c r="C5" s="1259"/>
      <c r="D5" s="1259"/>
      <c r="E5" s="5315"/>
      <c r="F5" s="5315"/>
      <c r="G5" s="5315"/>
      <c r="H5" s="5314">
        <v>1</v>
      </c>
      <c r="I5" s="1259"/>
      <c r="J5" s="1259"/>
      <c r="K5" s="1259"/>
      <c r="L5" s="1262"/>
      <c r="M5" s="1232"/>
      <c r="N5" s="1232"/>
      <c r="O5" s="1232"/>
      <c r="P5" s="1406"/>
      <c r="Q5" s="1407"/>
      <c r="R5" s="281"/>
      <c r="S5" s="948"/>
      <c r="T5" s="1408"/>
      <c r="U5" s="1299"/>
      <c r="V5" s="5342"/>
      <c r="W5" s="5342"/>
      <c r="X5" s="5342"/>
      <c r="Y5" s="5342"/>
      <c r="Z5" s="5342"/>
      <c r="AA5" s="5342"/>
      <c r="AB5" s="5342"/>
      <c r="AC5" s="5343"/>
      <c r="AD5" s="5341"/>
      <c r="AE5" s="5342"/>
      <c r="AF5" s="5342"/>
      <c r="AG5" s="5342"/>
      <c r="AH5" s="5342"/>
      <c r="AI5" s="5342"/>
      <c r="AJ5" s="5342"/>
      <c r="AK5" s="5342"/>
      <c r="AL5" s="5342"/>
      <c r="AM5" s="5342"/>
      <c r="AN5" s="5342"/>
      <c r="AO5" s="5342"/>
      <c r="AP5" s="5342"/>
      <c r="AQ5" s="5342"/>
      <c r="AR5" s="5342"/>
      <c r="AS5" s="5342"/>
      <c r="AT5" s="5342"/>
      <c r="AU5" s="5342"/>
      <c r="AV5" s="5342"/>
      <c r="AW5" s="5342"/>
      <c r="AX5" s="5342"/>
      <c r="AY5" s="5342"/>
      <c r="AZ5" s="5342"/>
      <c r="BA5" s="5342"/>
      <c r="BB5" s="5343"/>
      <c r="BC5" s="1300" t="s">
        <v>521</v>
      </c>
      <c r="BE5" s="425"/>
      <c r="BF5" s="425" t="str">
        <f t="shared" si="0"/>
        <v/>
      </c>
      <c r="BG5" s="425"/>
      <c r="BH5" s="425"/>
    </row>
    <row r="6" spans="1:60" s="1819" customFormat="1" ht="14.25" hidden="1" customHeight="1">
      <c r="A6" s="1259"/>
      <c r="B6" s="1259"/>
      <c r="C6" s="1259"/>
      <c r="D6" s="1259"/>
      <c r="E6" s="5315"/>
      <c r="F6" s="5315"/>
      <c r="G6" s="5315"/>
      <c r="H6" s="5315"/>
      <c r="I6" s="5312" t="str">
        <f>S5&amp;".1"</f>
        <v>.1</v>
      </c>
      <c r="J6" s="1259"/>
      <c r="K6" s="1259"/>
      <c r="L6" s="1262" t="s">
        <v>522</v>
      </c>
      <c r="M6" s="435"/>
      <c r="N6" s="435"/>
      <c r="O6" s="435"/>
      <c r="P6" s="5313">
        <v>1</v>
      </c>
      <c r="Q6" s="1373"/>
      <c r="R6" s="280"/>
      <c r="S6" s="948"/>
      <c r="T6" s="1298"/>
      <c r="U6" s="1299"/>
      <c r="V6" s="5342"/>
      <c r="W6" s="5342"/>
      <c r="X6" s="5342"/>
      <c r="Y6" s="5342"/>
      <c r="Z6" s="5342"/>
      <c r="AA6" s="5342"/>
      <c r="AB6" s="5342"/>
      <c r="AC6" s="5343"/>
      <c r="AD6" s="5341"/>
      <c r="AE6" s="5342"/>
      <c r="AF6" s="5342"/>
      <c r="AG6" s="5342"/>
      <c r="AH6" s="5342"/>
      <c r="AI6" s="5342"/>
      <c r="AJ6" s="5342"/>
      <c r="AK6" s="5342"/>
      <c r="AL6" s="5342"/>
      <c r="AM6" s="5342"/>
      <c r="AN6" s="5342"/>
      <c r="AO6" s="5342"/>
      <c r="AP6" s="5342"/>
      <c r="AQ6" s="5342"/>
      <c r="AR6" s="5342"/>
      <c r="AS6" s="5342"/>
      <c r="AT6" s="5342"/>
      <c r="AU6" s="5342"/>
      <c r="AV6" s="5342"/>
      <c r="AW6" s="5342"/>
      <c r="AX6" s="5342"/>
      <c r="AY6" s="5342"/>
      <c r="AZ6" s="5342"/>
      <c r="BA6" s="5342"/>
      <c r="BB6" s="5343"/>
      <c r="BC6" s="1300"/>
      <c r="BE6" s="425"/>
      <c r="BF6" s="425" t="str">
        <f t="shared" si="0"/>
        <v/>
      </c>
      <c r="BG6" s="425"/>
      <c r="BH6" s="425"/>
    </row>
    <row r="7" spans="1:60" s="1819" customFormat="1" ht="14.25" hidden="1" customHeight="1">
      <c r="A7" s="1259"/>
      <c r="B7" s="1259"/>
      <c r="C7" s="1259"/>
      <c r="D7" s="1259"/>
      <c r="E7" s="5315"/>
      <c r="F7" s="5315"/>
      <c r="G7" s="5315"/>
      <c r="H7" s="5315"/>
      <c r="I7" s="5335"/>
      <c r="J7" s="5312" t="str">
        <f>S5&amp;".1"</f>
        <v>.1</v>
      </c>
      <c r="K7" s="1259"/>
      <c r="L7" s="1262"/>
      <c r="M7" s="435"/>
      <c r="N7" s="435"/>
      <c r="O7" s="435"/>
      <c r="P7" s="5313"/>
      <c r="Q7" s="5313">
        <v>1</v>
      </c>
      <c r="R7" s="281"/>
      <c r="S7" s="948"/>
      <c r="T7" s="1314"/>
      <c r="U7" s="1299"/>
      <c r="V7" s="5342"/>
      <c r="W7" s="5342"/>
      <c r="X7" s="5342"/>
      <c r="Y7" s="5342"/>
      <c r="Z7" s="5342"/>
      <c r="AA7" s="5342"/>
      <c r="AB7" s="5342"/>
      <c r="AC7" s="5343"/>
      <c r="AD7" s="5341"/>
      <c r="AE7" s="5342"/>
      <c r="AF7" s="5342"/>
      <c r="AG7" s="5342"/>
      <c r="AH7" s="5342"/>
      <c r="AI7" s="5342"/>
      <c r="AJ7" s="5342"/>
      <c r="AK7" s="5342"/>
      <c r="AL7" s="5342"/>
      <c r="AM7" s="5342"/>
      <c r="AN7" s="5342"/>
      <c r="AO7" s="5342"/>
      <c r="AP7" s="5342"/>
      <c r="AQ7" s="5342"/>
      <c r="AR7" s="5342"/>
      <c r="AS7" s="5342"/>
      <c r="AT7" s="5342"/>
      <c r="AU7" s="5342"/>
      <c r="AV7" s="5342"/>
      <c r="AW7" s="5342"/>
      <c r="AX7" s="5342"/>
      <c r="AY7" s="5342"/>
      <c r="AZ7" s="5342"/>
      <c r="BA7" s="5342"/>
      <c r="BB7" s="5343"/>
      <c r="BC7" s="1300"/>
      <c r="BE7" s="425"/>
      <c r="BF7" s="425" t="str">
        <f t="shared" si="0"/>
        <v/>
      </c>
      <c r="BG7" s="425"/>
      <c r="BH7" s="425"/>
    </row>
    <row r="8" spans="1:60" ht="11.25" hidden="1" customHeight="1">
      <c r="A8" s="1278"/>
      <c r="B8" s="1278"/>
      <c r="C8" s="1278"/>
      <c r="D8" s="1278"/>
      <c r="E8" s="5315"/>
      <c r="F8" s="5315"/>
      <c r="G8" s="5315"/>
      <c r="H8" s="5315"/>
      <c r="I8" s="5335"/>
      <c r="J8" s="5335"/>
      <c r="K8" s="5312" t="e">
        <f>S4&amp;".1"</f>
        <v>#N/A</v>
      </c>
      <c r="L8" s="1279"/>
      <c r="P8" s="5313"/>
      <c r="Q8" s="5313"/>
      <c r="R8" s="5370">
        <v>1</v>
      </c>
      <c r="S8" s="5364" t="e">
        <f>$K8</f>
        <v>#N/A</v>
      </c>
      <c r="T8" s="5382"/>
      <c r="U8" s="218"/>
      <c r="V8" s="667"/>
      <c r="W8" s="1175"/>
      <c r="X8" s="667"/>
      <c r="Y8" s="1175"/>
      <c r="Z8" s="1642"/>
      <c r="AA8" s="1371" t="s">
        <v>62</v>
      </c>
      <c r="AB8" s="1642"/>
      <c r="AC8" s="1371" t="s">
        <v>62</v>
      </c>
      <c r="AD8" s="5240" t="s">
        <v>62</v>
      </c>
      <c r="AE8" s="5350"/>
      <c r="AF8" s="5269">
        <v>1</v>
      </c>
      <c r="AG8" s="5386"/>
      <c r="AH8" s="5161" t="s">
        <v>62</v>
      </c>
      <c r="AI8" s="5350"/>
      <c r="AJ8" s="5269">
        <v>1</v>
      </c>
      <c r="AK8" s="5385" t="s">
        <v>24</v>
      </c>
      <c r="AL8" s="5161" t="s">
        <v>62</v>
      </c>
      <c r="AM8" s="5259"/>
      <c r="AN8" s="5269">
        <v>1</v>
      </c>
      <c r="AO8" s="5379"/>
      <c r="AP8" s="5380" t="s">
        <v>62</v>
      </c>
      <c r="AQ8" s="231"/>
      <c r="AR8" s="1374">
        <v>1</v>
      </c>
      <c r="AS8" s="1377" t="s">
        <v>24</v>
      </c>
      <c r="AT8" s="667"/>
      <c r="AU8" s="1175"/>
      <c r="AV8" s="667"/>
      <c r="AW8" s="1175"/>
      <c r="AX8" s="1642"/>
      <c r="AY8" s="1371" t="s">
        <v>62</v>
      </c>
      <c r="AZ8" s="1642"/>
      <c r="BA8" s="1371" t="s">
        <v>62</v>
      </c>
      <c r="BB8" s="1264"/>
      <c r="BC8" s="5309" t="s">
        <v>621</v>
      </c>
      <c r="BE8" s="425"/>
      <c r="BF8" s="425" t="str">
        <f t="shared" si="0"/>
        <v/>
      </c>
      <c r="BG8" s="425"/>
      <c r="BH8" s="425"/>
    </row>
    <row r="9" spans="1:60" ht="11.25" hidden="1" customHeight="1">
      <c r="A9" s="1278"/>
      <c r="B9" s="1278"/>
      <c r="C9" s="1278"/>
      <c r="D9" s="1278"/>
      <c r="E9" s="5315"/>
      <c r="F9" s="5315"/>
      <c r="G9" s="5315"/>
      <c r="H9" s="5315"/>
      <c r="I9" s="5335"/>
      <c r="J9" s="5335"/>
      <c r="K9" s="5312"/>
      <c r="L9" s="1279"/>
      <c r="P9" s="5313"/>
      <c r="Q9" s="5313"/>
      <c r="R9" s="5370"/>
      <c r="S9" s="5365"/>
      <c r="T9" s="5383"/>
      <c r="U9" s="218"/>
      <c r="V9" s="1308"/>
      <c r="W9" s="1405"/>
      <c r="X9" s="1308"/>
      <c r="Y9" s="1405"/>
      <c r="Z9" s="1308"/>
      <c r="AA9" s="1308"/>
      <c r="AB9" s="1308"/>
      <c r="AC9" s="1308"/>
      <c r="AD9" s="5241"/>
      <c r="AE9" s="5350"/>
      <c r="AF9" s="5269"/>
      <c r="AG9" s="5386"/>
      <c r="AH9" s="5161"/>
      <c r="AI9" s="5350"/>
      <c r="AJ9" s="5269"/>
      <c r="AK9" s="5385"/>
      <c r="AL9" s="5161"/>
      <c r="AM9" s="5264"/>
      <c r="AN9" s="5269"/>
      <c r="AO9" s="5379"/>
      <c r="AP9" s="5381"/>
      <c r="AQ9" s="238"/>
      <c r="AR9" s="349"/>
      <c r="AS9" s="349" t="s">
        <v>622</v>
      </c>
      <c r="AT9" s="1308"/>
      <c r="AU9" s="1405"/>
      <c r="AV9" s="1308"/>
      <c r="AW9" s="1405"/>
      <c r="AX9" s="1308"/>
      <c r="AY9" s="1308"/>
      <c r="AZ9" s="1308"/>
      <c r="BA9" s="1308"/>
      <c r="BB9" s="1312"/>
      <c r="BC9" s="5310"/>
      <c r="BE9" s="425"/>
      <c r="BF9" s="425"/>
      <c r="BG9" s="425"/>
      <c r="BH9" s="425"/>
    </row>
    <row r="10" spans="1:60" ht="11.25" hidden="1" customHeight="1">
      <c r="A10" s="1278"/>
      <c r="B10" s="1278"/>
      <c r="C10" s="1278"/>
      <c r="D10" s="1278"/>
      <c r="E10" s="5315"/>
      <c r="F10" s="5315"/>
      <c r="G10" s="5315"/>
      <c r="H10" s="5315"/>
      <c r="I10" s="5335"/>
      <c r="J10" s="5335"/>
      <c r="K10" s="5312"/>
      <c r="L10" s="1279"/>
      <c r="P10" s="5313"/>
      <c r="Q10" s="5313"/>
      <c r="R10" s="5370"/>
      <c r="S10" s="5365"/>
      <c r="T10" s="5383"/>
      <c r="U10" s="218"/>
      <c r="V10" s="1308"/>
      <c r="W10" s="1405"/>
      <c r="X10" s="1308"/>
      <c r="Y10" s="1405"/>
      <c r="Z10" s="1308"/>
      <c r="AA10" s="1308"/>
      <c r="AB10" s="1308"/>
      <c r="AC10" s="1308"/>
      <c r="AD10" s="5241"/>
      <c r="AE10" s="5350"/>
      <c r="AF10" s="5269"/>
      <c r="AG10" s="5386"/>
      <c r="AH10" s="5161"/>
      <c r="AI10" s="5350"/>
      <c r="AJ10" s="5269"/>
      <c r="AK10" s="5385"/>
      <c r="AL10" s="5161"/>
      <c r="AM10" s="238"/>
      <c r="AN10" s="1409"/>
      <c r="AO10" s="1409" t="s">
        <v>623</v>
      </c>
      <c r="AP10" s="349"/>
      <c r="AQ10" s="349"/>
      <c r="AR10" s="349"/>
      <c r="AS10" s="1308"/>
      <c r="AT10" s="1308"/>
      <c r="AU10" s="1405"/>
      <c r="AV10" s="1308"/>
      <c r="AW10" s="1405"/>
      <c r="AX10" s="1308"/>
      <c r="AY10" s="1308"/>
      <c r="AZ10" s="1308"/>
      <c r="BA10" s="1308"/>
      <c r="BB10" s="1312"/>
      <c r="BC10" s="5310"/>
      <c r="BE10" s="425"/>
      <c r="BF10" s="425"/>
      <c r="BG10" s="425"/>
      <c r="BH10" s="425"/>
    </row>
    <row r="11" spans="1:60" ht="11.25" hidden="1" customHeight="1">
      <c r="A11" s="1278"/>
      <c r="B11" s="1278"/>
      <c r="C11" s="1278"/>
      <c r="D11" s="1278"/>
      <c r="E11" s="5315"/>
      <c r="F11" s="5315"/>
      <c r="G11" s="5315"/>
      <c r="H11" s="5315"/>
      <c r="I11" s="5335"/>
      <c r="J11" s="5335"/>
      <c r="K11" s="5312"/>
      <c r="L11" s="1279"/>
      <c r="P11" s="5313"/>
      <c r="Q11" s="5313"/>
      <c r="R11" s="5370"/>
      <c r="S11" s="5365"/>
      <c r="T11" s="5383"/>
      <c r="U11" s="218"/>
      <c r="V11" s="1308"/>
      <c r="W11" s="1405"/>
      <c r="X11" s="1308"/>
      <c r="Y11" s="1405"/>
      <c r="Z11" s="1308"/>
      <c r="AA11" s="1308"/>
      <c r="AB11" s="1308"/>
      <c r="AC11" s="1308"/>
      <c r="AD11" s="5241"/>
      <c r="AE11" s="5350"/>
      <c r="AF11" s="5269"/>
      <c r="AG11" s="5386"/>
      <c r="AH11" s="5161"/>
      <c r="AI11" s="212"/>
      <c r="AJ11" s="348"/>
      <c r="AK11" s="233" t="s">
        <v>624</v>
      </c>
      <c r="AL11" s="1308"/>
      <c r="AM11" s="1308"/>
      <c r="AN11" s="1308"/>
      <c r="AO11" s="1308"/>
      <c r="AP11" s="1308"/>
      <c r="AQ11" s="1308"/>
      <c r="AR11" s="1308"/>
      <c r="AS11" s="1308"/>
      <c r="AT11" s="1308"/>
      <c r="AU11" s="1405"/>
      <c r="AV11" s="1308"/>
      <c r="AW11" s="1405"/>
      <c r="AX11" s="1308"/>
      <c r="AY11" s="1308"/>
      <c r="AZ11" s="1308"/>
      <c r="BA11" s="1308"/>
      <c r="BB11" s="1312"/>
      <c r="BC11" s="5310"/>
      <c r="BE11" s="425"/>
      <c r="BF11" s="425"/>
      <c r="BG11" s="425"/>
      <c r="BH11" s="425"/>
    </row>
    <row r="12" spans="1:60" ht="11.25" hidden="1" customHeight="1">
      <c r="A12" s="1278"/>
      <c r="B12" s="1278"/>
      <c r="C12" s="1278"/>
      <c r="D12" s="1278"/>
      <c r="E12" s="5315"/>
      <c r="F12" s="5315"/>
      <c r="G12" s="5315"/>
      <c r="H12" s="5315"/>
      <c r="I12" s="5335"/>
      <c r="J12" s="5335"/>
      <c r="K12" s="5312"/>
      <c r="L12" s="1279"/>
      <c r="P12" s="5313"/>
      <c r="Q12" s="5313"/>
      <c r="R12" s="5370"/>
      <c r="S12" s="5366"/>
      <c r="T12" s="5384"/>
      <c r="U12" s="218"/>
      <c r="V12" s="1308"/>
      <c r="W12" s="1309" t="str">
        <f>Z8&amp;"-"&amp;AB8</f>
        <v>-</v>
      </c>
      <c r="X12" s="1308"/>
      <c r="Y12" s="1309" t="str">
        <f>AB8&amp;"-"&amp;AD8</f>
        <v>-да</v>
      </c>
      <c r="Z12" s="1308"/>
      <c r="AA12" s="1308"/>
      <c r="AB12" s="1308"/>
      <c r="AC12" s="1308"/>
      <c r="AD12" s="5166"/>
      <c r="AE12" s="232"/>
      <c r="AF12" s="234"/>
      <c r="AG12" s="349" t="s">
        <v>625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5310"/>
      <c r="BE12" s="425"/>
      <c r="BF12" s="425" t="str">
        <f t="shared" ref="BF12:BF18" si="1">IF(T12="","",T12)</f>
        <v/>
      </c>
      <c r="BG12" s="425"/>
      <c r="BH12" s="425"/>
    </row>
    <row r="13" spans="1:60" ht="11.25" hidden="1" customHeight="1">
      <c r="A13" s="1278"/>
      <c r="B13" s="1278"/>
      <c r="C13" s="1278"/>
      <c r="D13" s="1278"/>
      <c r="E13" s="5315"/>
      <c r="F13" s="5315"/>
      <c r="G13" s="5315"/>
      <c r="H13" s="5315"/>
      <c r="I13" s="5335"/>
      <c r="J13" s="5312"/>
      <c r="K13" s="1278"/>
      <c r="L13" s="1279"/>
      <c r="P13" s="5313"/>
      <c r="Q13" s="5313"/>
      <c r="R13" s="280"/>
      <c r="S13" s="1197"/>
      <c r="T13" s="205" t="s">
        <v>589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5311"/>
      <c r="BE13" s="425"/>
      <c r="BF13" s="425" t="str">
        <f t="shared" si="1"/>
        <v>Добавить строку</v>
      </c>
      <c r="BG13" s="425"/>
      <c r="BH13" s="425"/>
    </row>
    <row r="14" spans="1:60" s="1819" customFormat="1" ht="14.25" hidden="1" customHeight="1">
      <c r="A14" s="1259"/>
      <c r="B14" s="1259"/>
      <c r="C14" s="1259"/>
      <c r="D14" s="1259"/>
      <c r="E14" s="5315"/>
      <c r="F14" s="5315"/>
      <c r="G14" s="5315"/>
      <c r="H14" s="5315"/>
      <c r="I14" s="5312"/>
      <c r="J14" s="1259"/>
      <c r="K14" s="1259"/>
      <c r="L14" s="1262"/>
      <c r="M14" s="435"/>
      <c r="N14" s="435"/>
      <c r="O14" s="435"/>
      <c r="P14" s="5313"/>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5315"/>
      <c r="F15" s="5315"/>
      <c r="G15" s="5315"/>
      <c r="H15" s="5314"/>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167" customFormat="1" ht="14.25" hidden="1" customHeight="1">
      <c r="A16" s="1259"/>
      <c r="B16" s="1259"/>
      <c r="C16" s="1259"/>
      <c r="D16" s="1231"/>
      <c r="E16" s="5315"/>
      <c r="F16" s="5315"/>
      <c r="G16" s="5314"/>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167" customFormat="1" ht="14.25" hidden="1" customHeight="1">
      <c r="A17" s="1259"/>
      <c r="B17" s="1259"/>
      <c r="C17" s="1231"/>
      <c r="D17" s="1231"/>
      <c r="E17" s="5315"/>
      <c r="F17" s="5314"/>
      <c r="G17" s="1231"/>
      <c r="H17" s="1231"/>
      <c r="I17" s="1231"/>
      <c r="J17" s="1231"/>
      <c r="K17" s="1231"/>
      <c r="L17" s="1375"/>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5314"/>
      <c r="F18" s="1259"/>
      <c r="G18" s="1259"/>
      <c r="H18" s="1259"/>
      <c r="I18" s="1259"/>
      <c r="J18" s="1259"/>
      <c r="K18" s="1259"/>
      <c r="L18" s="1262"/>
      <c r="M18" s="1238"/>
      <c r="N18" s="1238"/>
      <c r="O18" s="443"/>
      <c r="P18" s="312"/>
      <c r="Q18" s="1260"/>
      <c r="R18" s="312"/>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72" t="s">
        <v>62</v>
      </c>
      <c r="AZ20" s="1644"/>
      <c r="BA20" s="1372" t="s">
        <v>62</v>
      </c>
    </row>
    <row r="21" spans="1:60" ht="14.25" hidden="1" customHeight="1">
      <c r="BD21" s="421"/>
      <c r="BE21" s="421"/>
      <c r="BF21" s="421"/>
      <c r="BG21" s="421"/>
      <c r="BH21" s="421"/>
    </row>
    <row r="22" spans="1:60" ht="14.25" hidden="1" customHeight="1">
      <c r="O22" s="1282" t="s">
        <v>533</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4582" customFormat="1" ht="14.25" hidden="1" customHeight="1">
      <c r="M24" s="1417"/>
      <c r="N24" s="1417"/>
      <c r="O24" s="1418" t="s">
        <v>534</v>
      </c>
      <c r="P24" s="1417"/>
      <c r="Q24" s="1419"/>
      <c r="R24" s="1419"/>
      <c r="AA24" s="1416" t="s">
        <v>536</v>
      </c>
      <c r="AC24" s="1416" t="s">
        <v>537</v>
      </c>
      <c r="AD24" s="1416" t="s">
        <v>590</v>
      </c>
      <c r="AH24" s="1416" t="s">
        <v>590</v>
      </c>
      <c r="AK24" s="1416" t="s">
        <v>626</v>
      </c>
      <c r="AL24" s="1416" t="s">
        <v>590</v>
      </c>
      <c r="AP24" s="1416" t="s">
        <v>590</v>
      </c>
      <c r="AY24" s="1416" t="s">
        <v>536</v>
      </c>
      <c r="BA24" s="1416" t="s">
        <v>537</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52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5298"/>
      <c r="U28" s="5298"/>
      <c r="V28" s="5298"/>
      <c r="W28" s="5298"/>
      <c r="X28" s="5298"/>
      <c r="Y28" s="5298"/>
      <c r="Z28" s="5298"/>
      <c r="AA28" s="5298"/>
      <c r="AB28" s="5298"/>
      <c r="AC28" s="5298"/>
      <c r="AD28" s="5298"/>
      <c r="AE28" s="5298"/>
      <c r="AF28" s="5298"/>
      <c r="AG28" s="5298"/>
      <c r="AH28" s="5298"/>
      <c r="AI28" s="5298"/>
      <c r="AJ28" s="5298"/>
      <c r="AK28" s="5298"/>
      <c r="AL28" s="5298"/>
      <c r="AM28" s="5298"/>
      <c r="AN28" s="5298"/>
      <c r="AO28" s="5298"/>
      <c r="AP28" s="5298"/>
      <c r="AQ28" s="5298"/>
      <c r="AR28" s="5298"/>
      <c r="AS28" s="5298"/>
      <c r="AT28" s="5298"/>
      <c r="AU28" s="5298"/>
      <c r="AV28" s="5298"/>
      <c r="AW28" s="5298"/>
      <c r="AX28" s="5298"/>
      <c r="AY28" s="5298"/>
      <c r="AZ28" s="5298"/>
      <c r="BA28" s="1151"/>
    </row>
    <row r="29" spans="1:60" ht="14.25" customHeight="1">
      <c r="Q29" s="209"/>
      <c r="R29" s="304"/>
      <c r="S29" s="5245" t="str">
        <f>IF(org=0,"Не определено",org)</f>
        <v>ПАО "ТГК-1" (филиал "Кольский")</v>
      </c>
      <c r="T29" s="5245"/>
      <c r="U29" s="5245"/>
      <c r="V29" s="5245"/>
      <c r="W29" s="5245"/>
      <c r="X29" s="5245"/>
      <c r="Y29" s="5245"/>
      <c r="Z29" s="5245"/>
      <c r="AA29" s="5245"/>
      <c r="AB29" s="5245"/>
      <c r="AC29" s="5245"/>
      <c r="AD29" s="5245"/>
      <c r="AE29" s="5245"/>
      <c r="AF29" s="5245"/>
      <c r="AG29" s="5245"/>
      <c r="AH29" s="5245"/>
      <c r="AI29" s="5245"/>
      <c r="AJ29" s="5245"/>
      <c r="AK29" s="5245"/>
      <c r="AL29" s="5245"/>
      <c r="AM29" s="5245"/>
      <c r="AN29" s="5245"/>
      <c r="AO29" s="5245"/>
      <c r="AP29" s="5245"/>
      <c r="AQ29" s="5245"/>
      <c r="AR29" s="5245"/>
      <c r="AS29" s="5245"/>
      <c r="AT29" s="5245"/>
      <c r="AU29" s="5245"/>
      <c r="AV29" s="5245"/>
      <c r="AW29" s="5245"/>
      <c r="AX29" s="5245"/>
      <c r="AY29" s="5245"/>
      <c r="AZ29" s="524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180" customFormat="1" ht="25.5" customHeight="1">
      <c r="A31" s="1283"/>
      <c r="B31" s="1283"/>
      <c r="C31" s="1283"/>
      <c r="D31" s="1283"/>
      <c r="E31" s="1283"/>
      <c r="F31" s="1283"/>
      <c r="G31" s="1283"/>
      <c r="H31" s="1283"/>
      <c r="I31" s="1283"/>
      <c r="J31" s="1283"/>
      <c r="K31" s="1283"/>
      <c r="L31" s="1284"/>
      <c r="M31" s="1283"/>
      <c r="N31" s="1283"/>
      <c r="O31" s="1283"/>
      <c r="P31" s="1283"/>
      <c r="Q31" s="1283"/>
      <c r="S31" s="5306" t="s">
        <v>38</v>
      </c>
      <c r="T31" s="5306"/>
      <c r="U31" s="1287"/>
      <c r="V31" s="5307" t="str">
        <f>IF(TITLE_NAME_OR_PR_CHANGE="",IF(TITLE_NAME_OR_PR="","",TITLE_NAME_OR_PR),TITLE_NAME_OR_PR_CHANGE)</f>
        <v>Комитет по тарифному регулированию Мурманской области</v>
      </c>
      <c r="W31" s="5307"/>
      <c r="X31" s="5307"/>
      <c r="Y31" s="5307"/>
      <c r="Z31" s="5307"/>
      <c r="AA31" s="5307"/>
      <c r="AB31" s="5307"/>
      <c r="AC31" s="252"/>
      <c r="AD31" s="5307" t="str">
        <f>IF(TITLE_NAME_OR_PR_CHANGE="",IF(TITLE_NAME_OR_PR="","",TITLE_NAME_OR_PR),TITLE_NAME_OR_PR_CHANGE)</f>
        <v>Комитет по тарифному регулированию Мурманской области</v>
      </c>
      <c r="AE31" s="5307"/>
      <c r="AF31" s="5307"/>
      <c r="AG31" s="5307"/>
      <c r="AH31" s="5307"/>
      <c r="AI31" s="5307"/>
      <c r="AJ31" s="5307"/>
      <c r="AK31" s="5307"/>
      <c r="AL31" s="5307"/>
      <c r="AM31" s="5307"/>
      <c r="AN31" s="5307"/>
      <c r="AO31" s="5307"/>
      <c r="AP31" s="5307"/>
      <c r="AQ31" s="5307"/>
      <c r="AR31" s="5307"/>
      <c r="AS31" s="5307"/>
      <c r="AT31" s="5307"/>
      <c r="AU31" s="5307"/>
      <c r="AV31" s="5307"/>
      <c r="AW31" s="5307"/>
      <c r="AX31" s="5307"/>
      <c r="AY31" s="5307"/>
      <c r="AZ31" s="5307"/>
      <c r="BA31" s="252"/>
      <c r="BB31" s="252"/>
      <c r="BC31" s="199"/>
      <c r="BD31" s="295"/>
      <c r="BE31" s="295"/>
      <c r="BF31" s="295"/>
      <c r="BG31" s="295"/>
      <c r="BH31" s="295"/>
    </row>
    <row r="32" spans="1:60" s="2180" customFormat="1" ht="18.75" customHeight="1">
      <c r="A32" s="1283"/>
      <c r="B32" s="1283"/>
      <c r="C32" s="1283"/>
      <c r="D32" s="1283"/>
      <c r="E32" s="1283"/>
      <c r="F32" s="1283"/>
      <c r="G32" s="1283"/>
      <c r="H32" s="1283"/>
      <c r="I32" s="1283"/>
      <c r="J32" s="1283"/>
      <c r="K32" s="1283"/>
      <c r="L32" s="1284"/>
      <c r="M32" s="1283"/>
      <c r="N32" s="1283"/>
      <c r="O32" s="1283"/>
      <c r="P32" s="1283"/>
      <c r="Q32" s="1283"/>
      <c r="S32" s="5306" t="s">
        <v>539</v>
      </c>
      <c r="T32" s="5306"/>
      <c r="U32" s="1287"/>
      <c r="V32" s="5316">
        <f>IF(TITLE_DATE_PR_CHANGE="",IF(TITLE_DATE_PR="","",TITLE_DATE_PR),TITLE_DATE_PR_CHANGE)</f>
        <v>45646.340555555558</v>
      </c>
      <c r="W32" s="5316"/>
      <c r="X32" s="5316"/>
      <c r="Y32" s="5316"/>
      <c r="Z32" s="5316"/>
      <c r="AA32" s="5316"/>
      <c r="AB32" s="5316"/>
      <c r="AC32" s="252"/>
      <c r="AD32" s="5316">
        <f>IF(TITLE_DATE_PR_CHANGE="",IF(TITLE_DATE_PR="","",TITLE_DATE_PR),TITLE_DATE_PR_CHANGE)</f>
        <v>45646.340555555558</v>
      </c>
      <c r="AE32" s="5316"/>
      <c r="AF32" s="5316"/>
      <c r="AG32" s="5316"/>
      <c r="AH32" s="5316"/>
      <c r="AI32" s="5316"/>
      <c r="AJ32" s="5316"/>
      <c r="AK32" s="5316"/>
      <c r="AL32" s="5316"/>
      <c r="AM32" s="5316"/>
      <c r="AN32" s="5316"/>
      <c r="AO32" s="5316"/>
      <c r="AP32" s="5316"/>
      <c r="AQ32" s="5316"/>
      <c r="AR32" s="5316"/>
      <c r="AS32" s="5316"/>
      <c r="AT32" s="5316"/>
      <c r="AU32" s="5316"/>
      <c r="AV32" s="5316"/>
      <c r="AW32" s="5316"/>
      <c r="AX32" s="5316"/>
      <c r="AY32" s="5316"/>
      <c r="AZ32" s="5316"/>
      <c r="BA32" s="252"/>
      <c r="BB32" s="252"/>
      <c r="BC32" s="199"/>
      <c r="BD32" s="295"/>
      <c r="BE32" s="295"/>
      <c r="BF32" s="295"/>
      <c r="BG32" s="295"/>
      <c r="BH32" s="295"/>
    </row>
    <row r="33" spans="1:60" s="2180" customFormat="1" ht="18.75" customHeight="1">
      <c r="A33" s="1283"/>
      <c r="B33" s="1283"/>
      <c r="C33" s="1283"/>
      <c r="D33" s="1283"/>
      <c r="E33" s="1283"/>
      <c r="F33" s="1283"/>
      <c r="G33" s="1283"/>
      <c r="H33" s="1283"/>
      <c r="I33" s="1283"/>
      <c r="J33" s="1283"/>
      <c r="K33" s="1283"/>
      <c r="L33" s="1284"/>
      <c r="M33" s="1283"/>
      <c r="N33" s="1283"/>
      <c r="O33" s="1283"/>
      <c r="P33" s="1283"/>
      <c r="Q33" s="1283"/>
      <c r="S33" s="5306" t="s">
        <v>540</v>
      </c>
      <c r="T33" s="5306"/>
      <c r="U33" s="1287"/>
      <c r="V33" s="5307" t="str">
        <f>IF(TITLE_NUMBER_PR_CHANGE="",IF(TITLE_NUMBER_PR="","",TITLE_NUMBER_PR),TITLE_NUMBER_PR_CHANGE)</f>
        <v>51/6; 51/7</v>
      </c>
      <c r="W33" s="5307"/>
      <c r="X33" s="5307"/>
      <c r="Y33" s="5307"/>
      <c r="Z33" s="5307"/>
      <c r="AA33" s="5307"/>
      <c r="AB33" s="5307"/>
      <c r="AC33" s="252"/>
      <c r="AD33" s="5307" t="str">
        <f>IF(TITLE_NUMBER_PR_CHANGE="",IF(TITLE_NUMBER_PR="","",TITLE_NUMBER_PR),TITLE_NUMBER_PR_CHANGE)</f>
        <v>51/6; 51/7</v>
      </c>
      <c r="AE33" s="5307"/>
      <c r="AF33" s="5307"/>
      <c r="AG33" s="5307"/>
      <c r="AH33" s="5307"/>
      <c r="AI33" s="5307"/>
      <c r="AJ33" s="5307"/>
      <c r="AK33" s="5307"/>
      <c r="AL33" s="5307"/>
      <c r="AM33" s="5307"/>
      <c r="AN33" s="5307"/>
      <c r="AO33" s="5307"/>
      <c r="AP33" s="5307"/>
      <c r="AQ33" s="5307"/>
      <c r="AR33" s="5307"/>
      <c r="AS33" s="5307"/>
      <c r="AT33" s="5307"/>
      <c r="AU33" s="5307"/>
      <c r="AV33" s="5307"/>
      <c r="AW33" s="5307"/>
      <c r="AX33" s="5307"/>
      <c r="AY33" s="5307"/>
      <c r="AZ33" s="5307"/>
      <c r="BA33" s="252"/>
      <c r="BB33" s="252"/>
      <c r="BC33" s="199"/>
      <c r="BD33" s="295"/>
      <c r="BE33" s="295"/>
      <c r="BF33" s="295"/>
      <c r="BG33" s="295"/>
      <c r="BH33" s="295"/>
    </row>
    <row r="34" spans="1:60" s="2180" customFormat="1" ht="18.75" customHeight="1">
      <c r="A34" s="1283"/>
      <c r="B34" s="1283"/>
      <c r="C34" s="1283"/>
      <c r="D34" s="1283"/>
      <c r="E34" s="1283"/>
      <c r="F34" s="1283"/>
      <c r="G34" s="1283"/>
      <c r="H34" s="1283"/>
      <c r="I34" s="1283"/>
      <c r="J34" s="1283"/>
      <c r="K34" s="1283"/>
      <c r="L34" s="1284"/>
      <c r="M34" s="1283"/>
      <c r="N34" s="1283"/>
      <c r="O34" s="1283"/>
      <c r="P34" s="1283"/>
      <c r="Q34" s="1283"/>
      <c r="S34" s="5306" t="s">
        <v>40</v>
      </c>
      <c r="T34" s="5306"/>
      <c r="U34" s="1287"/>
      <c r="V34" s="5307" t="str">
        <f>IF(TITLE_IST_PUB_CHANGE="",IF(TITLE_IST_PUB="","",TITLE_IST_PUB),TITLE_IST_PUB_CHANGE)</f>
        <v>Официальный электронный бюллетень Правительства Мурманской области</v>
      </c>
      <c r="W34" s="5307"/>
      <c r="X34" s="5307"/>
      <c r="Y34" s="5307"/>
      <c r="Z34" s="5307"/>
      <c r="AA34" s="5307"/>
      <c r="AB34" s="5307"/>
      <c r="AC34" s="252"/>
      <c r="AD34" s="5307" t="str">
        <f>IF(TITLE_IST_PUB_CHANGE="",IF(TITLE_IST_PUB="","",TITLE_IST_PUB),TITLE_IST_PUB_CHANGE)</f>
        <v>Официальный электронный бюллетень Правительства Мурманской области</v>
      </c>
      <c r="AE34" s="5307"/>
      <c r="AF34" s="5307"/>
      <c r="AG34" s="5307"/>
      <c r="AH34" s="5307"/>
      <c r="AI34" s="5307"/>
      <c r="AJ34" s="5307"/>
      <c r="AK34" s="5307"/>
      <c r="AL34" s="5307"/>
      <c r="AM34" s="5307"/>
      <c r="AN34" s="5307"/>
      <c r="AO34" s="5307"/>
      <c r="AP34" s="5307"/>
      <c r="AQ34" s="5307"/>
      <c r="AR34" s="5307"/>
      <c r="AS34" s="5307"/>
      <c r="AT34" s="5307"/>
      <c r="AU34" s="5307"/>
      <c r="AV34" s="5307"/>
      <c r="AW34" s="5307"/>
      <c r="AX34" s="5307"/>
      <c r="AY34" s="5307"/>
      <c r="AZ34" s="5307"/>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180" customFormat="1" ht="18.75" hidden="1" customHeight="1">
      <c r="A36" s="1283"/>
      <c r="B36" s="1283"/>
      <c r="C36" s="1283"/>
      <c r="D36" s="1283"/>
      <c r="E36" s="1283"/>
      <c r="F36" s="1283"/>
      <c r="G36" s="1283"/>
      <c r="H36" s="1283"/>
      <c r="I36" s="1283"/>
      <c r="J36" s="1283"/>
      <c r="K36" s="1283"/>
      <c r="L36" s="1284"/>
      <c r="M36" s="1283"/>
      <c r="N36" s="1283"/>
      <c r="O36" s="1283"/>
      <c r="P36" s="1283"/>
      <c r="Q36" s="1283"/>
      <c r="S36" s="5306" t="s">
        <v>539</v>
      </c>
      <c r="T36" s="5306"/>
      <c r="U36" s="1287"/>
      <c r="V36" s="5316">
        <f>IF(TITLE_DATE_PR_CHANGE="",IF(TITLE_DATE_PR="","",TITLE_DATE_PR),TITLE_DATE_PR_CHANGE)</f>
        <v>45646.340555555558</v>
      </c>
      <c r="W36" s="5316"/>
      <c r="X36" s="5316"/>
      <c r="Y36" s="5316"/>
      <c r="Z36" s="5316"/>
      <c r="AA36" s="5316"/>
      <c r="AB36" s="5316"/>
      <c r="AC36" s="252"/>
      <c r="AD36" s="5316">
        <f>IF(TITLE_DATE_PR_CHANGE="",IF(TITLE_DATE_PR="","",TITLE_DATE_PR),TITLE_DATE_PR_CHANGE)</f>
        <v>45646.340555555558</v>
      </c>
      <c r="AE36" s="5316"/>
      <c r="AF36" s="5316"/>
      <c r="AG36" s="5316"/>
      <c r="AH36" s="5316"/>
      <c r="AI36" s="5316"/>
      <c r="AJ36" s="5316"/>
      <c r="AK36" s="5316"/>
      <c r="AL36" s="5316"/>
      <c r="AM36" s="5316"/>
      <c r="AN36" s="5316"/>
      <c r="AO36" s="5316"/>
      <c r="AP36" s="5316"/>
      <c r="AQ36" s="5316"/>
      <c r="AR36" s="5316"/>
      <c r="AS36" s="5316"/>
      <c r="AT36" s="5316"/>
      <c r="AU36" s="5316"/>
      <c r="AV36" s="5316"/>
      <c r="AW36" s="5316"/>
      <c r="AX36" s="5316"/>
      <c r="AY36" s="5316"/>
      <c r="AZ36" s="5316"/>
      <c r="BA36" s="252"/>
      <c r="BB36" s="252"/>
      <c r="BC36" s="199"/>
      <c r="BD36" s="295"/>
      <c r="BE36" s="295"/>
      <c r="BF36" s="295"/>
      <c r="BG36" s="295"/>
      <c r="BH36" s="295"/>
    </row>
    <row r="37" spans="1:60" s="2180" customFormat="1" ht="18.75" hidden="1" customHeight="1">
      <c r="A37" s="1283"/>
      <c r="B37" s="1283"/>
      <c r="C37" s="1283"/>
      <c r="D37" s="1283"/>
      <c r="E37" s="1283"/>
      <c r="F37" s="1283"/>
      <c r="G37" s="1283"/>
      <c r="H37" s="1283"/>
      <c r="I37" s="1283"/>
      <c r="J37" s="1283"/>
      <c r="K37" s="1283"/>
      <c r="L37" s="1284"/>
      <c r="M37" s="1283"/>
      <c r="N37" s="1283"/>
      <c r="O37" s="1283"/>
      <c r="P37" s="1283"/>
      <c r="Q37" s="1283"/>
      <c r="S37" s="5306" t="s">
        <v>540</v>
      </c>
      <c r="T37" s="5306"/>
      <c r="U37" s="1287"/>
      <c r="V37" s="5307" t="str">
        <f>IF(TITLE_NUMBER_PR_CHANGE="",IF(TITLE_NUMBER_PR="","",TITLE_NUMBER_PR),TITLE_NUMBER_PR_CHANGE)</f>
        <v>51/6; 51/7</v>
      </c>
      <c r="W37" s="5307"/>
      <c r="X37" s="5307"/>
      <c r="Y37" s="5307"/>
      <c r="Z37" s="5307"/>
      <c r="AA37" s="5307"/>
      <c r="AB37" s="5307"/>
      <c r="AC37" s="252"/>
      <c r="AD37" s="5307" t="str">
        <f>IF(TITLE_NUMBER_PR_CHANGE="",IF(TITLE_NUMBER_PR="","",TITLE_NUMBER_PR),TITLE_NUMBER_PR_CHANGE)</f>
        <v>51/6; 51/7</v>
      </c>
      <c r="AE37" s="5307"/>
      <c r="AF37" s="5307"/>
      <c r="AG37" s="5307"/>
      <c r="AH37" s="5307"/>
      <c r="AI37" s="5307"/>
      <c r="AJ37" s="5307"/>
      <c r="AK37" s="5307"/>
      <c r="AL37" s="5307"/>
      <c r="AM37" s="5307"/>
      <c r="AN37" s="5307"/>
      <c r="AO37" s="5307"/>
      <c r="AP37" s="5307"/>
      <c r="AQ37" s="5307"/>
      <c r="AR37" s="5307"/>
      <c r="AS37" s="5307"/>
      <c r="AT37" s="5307"/>
      <c r="AU37" s="5307"/>
      <c r="AV37" s="5307"/>
      <c r="AW37" s="5307"/>
      <c r="AX37" s="5307"/>
      <c r="AY37" s="5307"/>
      <c r="AZ37" s="5307"/>
      <c r="BA37" s="252"/>
      <c r="BB37" s="252"/>
      <c r="BC37" s="199"/>
      <c r="BD37" s="295"/>
      <c r="BE37" s="295"/>
      <c r="BF37" s="295"/>
      <c r="BG37" s="295"/>
      <c r="BH37" s="295"/>
    </row>
    <row r="38" spans="1:60" s="218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543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543</v>
      </c>
      <c r="BD38" s="295"/>
      <c r="BE38" s="295"/>
      <c r="BF38" s="295"/>
      <c r="BG38" s="295"/>
      <c r="BH38" s="295"/>
    </row>
    <row r="39" spans="1:60" ht="14.25" customHeight="1">
      <c r="Q39" s="209"/>
      <c r="R39" s="304"/>
      <c r="S39" s="1194"/>
      <c r="T39" s="289"/>
      <c r="U39" s="1152"/>
      <c r="V39" s="5308"/>
      <c r="W39" s="5308"/>
      <c r="X39" s="5308"/>
      <c r="Y39" s="5308"/>
      <c r="Z39" s="5308"/>
      <c r="AA39" s="5308"/>
      <c r="AB39" s="5308"/>
      <c r="AC39" s="5308"/>
      <c r="AD39" s="5308"/>
      <c r="AE39" s="5308"/>
      <c r="AF39" s="5308"/>
      <c r="AG39" s="5308"/>
      <c r="AH39" s="5308"/>
      <c r="AI39" s="5308"/>
      <c r="AJ39" s="5308"/>
      <c r="AK39" s="5308"/>
      <c r="AL39" s="5308"/>
      <c r="AM39" s="5308"/>
      <c r="AN39" s="5308"/>
      <c r="AO39" s="5308"/>
      <c r="AP39" s="5308"/>
      <c r="AQ39" s="5308"/>
      <c r="AR39" s="5308"/>
      <c r="AS39" s="5308"/>
      <c r="AT39" s="5308"/>
      <c r="AU39" s="5308"/>
      <c r="AV39" s="5308"/>
      <c r="AW39" s="5308"/>
      <c r="AX39" s="5308"/>
      <c r="AY39" s="5308"/>
      <c r="AZ39" s="5308"/>
      <c r="BA39" s="5308"/>
    </row>
    <row r="40" spans="1:60" ht="14.25" customHeight="1">
      <c r="Q40" s="209"/>
      <c r="R40" s="304"/>
      <c r="S40" s="5180" t="s">
        <v>417</v>
      </c>
      <c r="T40" s="5180"/>
      <c r="U40" s="5180"/>
      <c r="V40" s="5180"/>
      <c r="W40" s="5180"/>
      <c r="X40" s="5180"/>
      <c r="Y40" s="5180"/>
      <c r="Z40" s="5180"/>
      <c r="AA40" s="5180"/>
      <c r="AB40" s="5180"/>
      <c r="AC40" s="5180"/>
      <c r="AD40" s="5180"/>
      <c r="AE40" s="5180"/>
      <c r="AF40" s="5180"/>
      <c r="AG40" s="5180"/>
      <c r="AH40" s="5180"/>
      <c r="AI40" s="5180"/>
      <c r="AJ40" s="5180"/>
      <c r="AK40" s="5180"/>
      <c r="AL40" s="5180"/>
      <c r="AM40" s="5180"/>
      <c r="AN40" s="5180"/>
      <c r="AO40" s="5180"/>
      <c r="AP40" s="5180"/>
      <c r="AQ40" s="5180"/>
      <c r="AR40" s="5180"/>
      <c r="AS40" s="5180"/>
      <c r="AT40" s="5180"/>
      <c r="AU40" s="5180"/>
      <c r="AV40" s="5180"/>
      <c r="AW40" s="5180"/>
      <c r="AX40" s="5180"/>
      <c r="AY40" s="5180"/>
      <c r="AZ40" s="5180"/>
      <c r="BA40" s="5180"/>
      <c r="BB40" s="5180"/>
      <c r="BC40" s="5180" t="s">
        <v>418</v>
      </c>
    </row>
    <row r="41" spans="1:60" ht="14.25" customHeight="1">
      <c r="Q41" s="209"/>
      <c r="R41" s="304"/>
      <c r="S41" s="5322" t="s">
        <v>83</v>
      </c>
      <c r="T41" s="5274" t="s">
        <v>627</v>
      </c>
      <c r="U41" s="219"/>
      <c r="V41" s="5323" t="s">
        <v>545</v>
      </c>
      <c r="W41" s="5324"/>
      <c r="X41" s="5324"/>
      <c r="Y41" s="5324"/>
      <c r="Z41" s="5324"/>
      <c r="AA41" s="5324"/>
      <c r="AB41" s="5325"/>
      <c r="AC41" s="5326" t="s">
        <v>546</v>
      </c>
      <c r="AD41" s="5352" t="s">
        <v>628</v>
      </c>
      <c r="AE41" s="5338"/>
      <c r="AF41" s="5338"/>
      <c r="AG41" s="5353"/>
      <c r="AH41" s="5352" t="s">
        <v>629</v>
      </c>
      <c r="AI41" s="5338"/>
      <c r="AJ41" s="5338"/>
      <c r="AK41" s="5353"/>
      <c r="AL41" s="5352" t="s">
        <v>630</v>
      </c>
      <c r="AM41" s="5338"/>
      <c r="AN41" s="5338"/>
      <c r="AO41" s="5353"/>
      <c r="AP41" s="5352" t="s">
        <v>631</v>
      </c>
      <c r="AQ41" s="5338"/>
      <c r="AR41" s="5338"/>
      <c r="AS41" s="5353"/>
      <c r="AT41" s="5323" t="s">
        <v>545</v>
      </c>
      <c r="AU41" s="5324"/>
      <c r="AV41" s="5324"/>
      <c r="AW41" s="5324"/>
      <c r="AX41" s="5324"/>
      <c r="AY41" s="5324"/>
      <c r="AZ41" s="5325"/>
      <c r="BA41" s="5326" t="s">
        <v>546</v>
      </c>
      <c r="BB41" s="5329" t="s">
        <v>548</v>
      </c>
      <c r="BC41" s="5180"/>
    </row>
    <row r="42" spans="1:60" ht="33.75" customHeight="1">
      <c r="Q42" s="209"/>
      <c r="R42" s="304"/>
      <c r="S42" s="5322"/>
      <c r="T42" s="5274"/>
      <c r="U42" s="937"/>
      <c r="V42" s="5259" t="s">
        <v>632</v>
      </c>
      <c r="W42" s="5260"/>
      <c r="X42" s="5259" t="s">
        <v>633</v>
      </c>
      <c r="Y42" s="5260"/>
      <c r="Z42" s="5259" t="s">
        <v>634</v>
      </c>
      <c r="AA42" s="5347"/>
      <c r="AB42" s="5260"/>
      <c r="AC42" s="5327"/>
      <c r="AD42" s="5354"/>
      <c r="AE42" s="5355"/>
      <c r="AF42" s="5355"/>
      <c r="AG42" s="5356"/>
      <c r="AH42" s="5354"/>
      <c r="AI42" s="5355"/>
      <c r="AJ42" s="5355"/>
      <c r="AK42" s="5356"/>
      <c r="AL42" s="5354"/>
      <c r="AM42" s="5355"/>
      <c r="AN42" s="5355"/>
      <c r="AO42" s="5356"/>
      <c r="AP42" s="5354"/>
      <c r="AQ42" s="5355"/>
      <c r="AR42" s="5355"/>
      <c r="AS42" s="5356"/>
      <c r="AT42" s="5259" t="s">
        <v>632</v>
      </c>
      <c r="AU42" s="5260"/>
      <c r="AV42" s="5259" t="s">
        <v>633</v>
      </c>
      <c r="AW42" s="5260"/>
      <c r="AX42" s="5259" t="s">
        <v>634</v>
      </c>
      <c r="AY42" s="5347"/>
      <c r="AZ42" s="5260"/>
      <c r="BA42" s="5327"/>
      <c r="BB42" s="5330"/>
      <c r="BC42" s="5180"/>
    </row>
    <row r="43" spans="1:60" ht="14.25" customHeight="1">
      <c r="Q43" s="209"/>
      <c r="R43" s="304"/>
      <c r="S43" s="5322"/>
      <c r="T43" s="5274"/>
      <c r="U43" s="937"/>
      <c r="V43" s="5264"/>
      <c r="W43" s="5265"/>
      <c r="X43" s="5264"/>
      <c r="Y43" s="5265"/>
      <c r="Z43" s="5264"/>
      <c r="AA43" s="5348"/>
      <c r="AB43" s="5265"/>
      <c r="AC43" s="5327"/>
      <c r="AD43" s="5354"/>
      <c r="AE43" s="5355"/>
      <c r="AF43" s="5355"/>
      <c r="AG43" s="5356"/>
      <c r="AH43" s="5354"/>
      <c r="AI43" s="5355"/>
      <c r="AJ43" s="5355"/>
      <c r="AK43" s="5356"/>
      <c r="AL43" s="5354"/>
      <c r="AM43" s="5355"/>
      <c r="AN43" s="5355"/>
      <c r="AO43" s="5356"/>
      <c r="AP43" s="5354"/>
      <c r="AQ43" s="5355"/>
      <c r="AR43" s="5355"/>
      <c r="AS43" s="5356"/>
      <c r="AT43" s="5264"/>
      <c r="AU43" s="5265"/>
      <c r="AV43" s="5264"/>
      <c r="AW43" s="5265"/>
      <c r="AX43" s="5264"/>
      <c r="AY43" s="5348"/>
      <c r="AZ43" s="5265"/>
      <c r="BA43" s="5327"/>
      <c r="BB43" s="5330"/>
      <c r="BC43" s="5180"/>
    </row>
    <row r="44" spans="1:60" ht="14.25" customHeight="1">
      <c r="A44" s="1285"/>
      <c r="B44" s="1285" t="s">
        <v>139</v>
      </c>
      <c r="C44" s="1285" t="s">
        <v>140</v>
      </c>
      <c r="D44" s="1285" t="s">
        <v>141</v>
      </c>
      <c r="E44" s="1279" t="s">
        <v>553</v>
      </c>
      <c r="F44" s="1279" t="s">
        <v>554</v>
      </c>
      <c r="G44" s="1279" t="s">
        <v>555</v>
      </c>
      <c r="H44" s="1279" t="s">
        <v>556</v>
      </c>
      <c r="I44" s="1279" t="s">
        <v>557</v>
      </c>
      <c r="J44" s="1279" t="s">
        <v>558</v>
      </c>
      <c r="K44" s="1279" t="s">
        <v>559</v>
      </c>
      <c r="L44" s="1279" t="s">
        <v>534</v>
      </c>
      <c r="Q44" s="209"/>
      <c r="R44" s="304"/>
      <c r="S44" s="5322"/>
      <c r="T44" s="5274"/>
      <c r="U44" s="220"/>
      <c r="V44" s="1360" t="s">
        <v>600</v>
      </c>
      <c r="W44" s="1360" t="s">
        <v>601</v>
      </c>
      <c r="X44" s="1360" t="s">
        <v>600</v>
      </c>
      <c r="Y44" s="1360" t="s">
        <v>601</v>
      </c>
      <c r="Z44" s="1367" t="s">
        <v>562</v>
      </c>
      <c r="AA44" s="5282" t="s">
        <v>563</v>
      </c>
      <c r="AB44" s="5284"/>
      <c r="AC44" s="5328"/>
      <c r="AD44" s="5357"/>
      <c r="AE44" s="5358"/>
      <c r="AF44" s="5358"/>
      <c r="AG44" s="5359"/>
      <c r="AH44" s="5357"/>
      <c r="AI44" s="5358"/>
      <c r="AJ44" s="5358"/>
      <c r="AK44" s="5359"/>
      <c r="AL44" s="5357"/>
      <c r="AM44" s="5358"/>
      <c r="AN44" s="5358"/>
      <c r="AO44" s="5359"/>
      <c r="AP44" s="5357"/>
      <c r="AQ44" s="5358"/>
      <c r="AR44" s="5358"/>
      <c r="AS44" s="5359"/>
      <c r="AT44" s="1360" t="s">
        <v>600</v>
      </c>
      <c r="AU44" s="1360" t="s">
        <v>601</v>
      </c>
      <c r="AV44" s="1360" t="s">
        <v>600</v>
      </c>
      <c r="AW44" s="1360" t="s">
        <v>601</v>
      </c>
      <c r="AX44" s="1367" t="s">
        <v>562</v>
      </c>
      <c r="AY44" s="5282" t="s">
        <v>563</v>
      </c>
      <c r="AZ44" s="5284"/>
      <c r="BA44" s="5328"/>
      <c r="BB44" s="5331"/>
      <c r="BC44" s="5180"/>
    </row>
    <row r="45" spans="1:60" s="1818"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114</v>
      </c>
      <c r="T45" s="1171" t="s">
        <v>98</v>
      </c>
      <c r="U45" s="1153" t="str">
        <f ca="1">OFFSET(U45,0,-1)</f>
        <v>2</v>
      </c>
      <c r="V45" s="1363">
        <f t="shared" ref="V45:AA45" ca="1" si="2">OFFSET(V45,0,-1)+1</f>
        <v>3</v>
      </c>
      <c r="W45" s="1363">
        <f t="shared" ca="1" si="2"/>
        <v>4</v>
      </c>
      <c r="X45" s="1363">
        <f t="shared" ca="1" si="2"/>
        <v>5</v>
      </c>
      <c r="Y45" s="1363">
        <f t="shared" ca="1" si="2"/>
        <v>6</v>
      </c>
      <c r="Z45" s="1363">
        <f t="shared" ca="1" si="2"/>
        <v>7</v>
      </c>
      <c r="AA45" s="5321">
        <f t="shared" ca="1" si="2"/>
        <v>8</v>
      </c>
      <c r="AB45" s="5321"/>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5321">
        <f ca="1">OFFSET(AY45,0,-1)+1</f>
        <v>3</v>
      </c>
      <c r="AZ45" s="5321"/>
      <c r="BA45" s="1363">
        <f ca="1">OFFSET(BA45,0,-2)+1</f>
        <v>4</v>
      </c>
      <c r="BB45" s="1153">
        <f ca="1">OFFSET(BB45,0,-1)</f>
        <v>4</v>
      </c>
      <c r="BC45" s="1363">
        <f ca="1">OFFSET(BC45,0,-1)+1</f>
        <v>5</v>
      </c>
      <c r="BD45" s="436"/>
      <c r="BE45" s="436"/>
      <c r="BF45" s="436"/>
      <c r="BG45" s="436"/>
      <c r="BH45" s="436"/>
    </row>
    <row r="46" spans="1:60" ht="21" customHeight="1">
      <c r="A46" s="1278" t="s">
        <v>363</v>
      </c>
      <c r="B46" s="1278"/>
      <c r="C46" s="1278"/>
      <c r="D46" s="1278"/>
      <c r="E46" s="5314">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127</v>
      </c>
      <c r="U46" s="218"/>
      <c r="V46" s="5301"/>
      <c r="W46" s="5301"/>
      <c r="X46" s="5301"/>
      <c r="Y46" s="5301"/>
      <c r="Z46" s="5301"/>
      <c r="AA46" s="5301"/>
      <c r="AB46" s="5301"/>
      <c r="AC46" s="5302"/>
      <c r="AD46" s="5300" t="str">
        <f>INDEX(PT_DIFFERENTIATION_NTAR,MATCH(A46,PT_DIFFERENTIATION_NTAR_ID,0))</f>
        <v/>
      </c>
      <c r="AE46" s="5301"/>
      <c r="AF46" s="5301"/>
      <c r="AG46" s="5301"/>
      <c r="AH46" s="5301"/>
      <c r="AI46" s="5301"/>
      <c r="AJ46" s="5301"/>
      <c r="AK46" s="5301"/>
      <c r="AL46" s="5301"/>
      <c r="AM46" s="5301"/>
      <c r="AN46" s="5301"/>
      <c r="AO46" s="5301"/>
      <c r="AP46" s="5301"/>
      <c r="AQ46" s="5301"/>
      <c r="AR46" s="5301"/>
      <c r="AS46" s="5301"/>
      <c r="AT46" s="5301"/>
      <c r="AU46" s="5301"/>
      <c r="AV46" s="5301"/>
      <c r="AW46" s="5301"/>
      <c r="AX46" s="5301"/>
      <c r="AY46" s="5301"/>
      <c r="AZ46" s="5301"/>
      <c r="BA46" s="5301"/>
      <c r="BB46" s="530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363</v>
      </c>
      <c r="B47" s="1278" t="s">
        <v>364</v>
      </c>
      <c r="C47" s="1278"/>
      <c r="D47" s="1278"/>
      <c r="E47" s="5315"/>
      <c r="F47" s="5314">
        <v>1</v>
      </c>
      <c r="G47" s="1278"/>
      <c r="H47" s="1278"/>
      <c r="I47" s="1278"/>
      <c r="J47" s="1278"/>
      <c r="K47" s="1278"/>
      <c r="L47" s="1279"/>
      <c r="M47" s="1280"/>
      <c r="N47" s="1280"/>
      <c r="O47" s="1280"/>
      <c r="P47" s="1325"/>
      <c r="Q47" s="1326"/>
      <c r="R47" s="277"/>
      <c r="S47" s="1369" t="str">
        <f>INDEX(PT_DIFFERENTIATION_NUM_TER,MATCH(B47,PT_DIFFERENTIATION_TER_ID,0))</f>
        <v>.</v>
      </c>
      <c r="T47" s="228" t="s">
        <v>516</v>
      </c>
      <c r="U47" s="218"/>
      <c r="V47" s="5301"/>
      <c r="W47" s="5301"/>
      <c r="X47" s="5301"/>
      <c r="Y47" s="5301"/>
      <c r="Z47" s="5301"/>
      <c r="AA47" s="5301"/>
      <c r="AB47" s="5301"/>
      <c r="AC47" s="5302"/>
      <c r="AD47" s="5300" t="str">
        <f>INDEX(PT_DIFFERENTIATION_TER,MATCH(B47,PT_DIFFERENTIATION_TER_ID,0))</f>
        <v/>
      </c>
      <c r="AE47" s="5301"/>
      <c r="AF47" s="5301"/>
      <c r="AG47" s="5301"/>
      <c r="AH47" s="5301"/>
      <c r="AI47" s="5301"/>
      <c r="AJ47" s="5301"/>
      <c r="AK47" s="5301"/>
      <c r="AL47" s="5301"/>
      <c r="AM47" s="5301"/>
      <c r="AN47" s="5301"/>
      <c r="AO47" s="5301"/>
      <c r="AP47" s="5301"/>
      <c r="AQ47" s="5301"/>
      <c r="AR47" s="5301"/>
      <c r="AS47" s="5301"/>
      <c r="AT47" s="5301"/>
      <c r="AU47" s="5301"/>
      <c r="AV47" s="5301"/>
      <c r="AW47" s="5301"/>
      <c r="AX47" s="5301"/>
      <c r="AY47" s="5301"/>
      <c r="AZ47" s="5301"/>
      <c r="BA47" s="5301"/>
      <c r="BB47" s="5302"/>
      <c r="BC47" s="1176" t="s">
        <v>517</v>
      </c>
      <c r="BE47" s="425"/>
      <c r="BF47" s="425" t="str">
        <f t="shared" si="3"/>
        <v>Территория действия тарифа</v>
      </c>
      <c r="BG47" s="425"/>
      <c r="BH47" s="425"/>
    </row>
    <row r="48" spans="1:60" ht="42" customHeight="1">
      <c r="A48" s="1278" t="s">
        <v>363</v>
      </c>
      <c r="B48" s="1278" t="s">
        <v>364</v>
      </c>
      <c r="C48" s="1278" t="s">
        <v>365</v>
      </c>
      <c r="D48" s="1278"/>
      <c r="E48" s="5315"/>
      <c r="F48" s="5315"/>
      <c r="G48" s="5314">
        <v>1</v>
      </c>
      <c r="H48" s="1278"/>
      <c r="I48" s="1278"/>
      <c r="J48" s="1278"/>
      <c r="K48" s="1278"/>
      <c r="L48" s="1279"/>
      <c r="M48" s="1280"/>
      <c r="N48" s="1280"/>
      <c r="O48" s="1280"/>
      <c r="P48" s="1327"/>
      <c r="Q48" s="1326"/>
      <c r="R48" s="277"/>
      <c r="S48" s="1369" t="str">
        <f>INDEX(PT_DIFFERENTIATION_NUM_CS,MATCH(C48,PT_DIFFERENTIATION_CS_ID,0))</f>
        <v>..</v>
      </c>
      <c r="T48" s="229" t="s">
        <v>603</v>
      </c>
      <c r="U48" s="218"/>
      <c r="V48" s="5301"/>
      <c r="W48" s="5301"/>
      <c r="X48" s="5301"/>
      <c r="Y48" s="5301"/>
      <c r="Z48" s="5301"/>
      <c r="AA48" s="5301"/>
      <c r="AB48" s="5301"/>
      <c r="AC48" s="5302"/>
      <c r="AD48" s="5300" t="str">
        <f>INDEX(PT_DIFFERENTIATION_CS,MATCH(C48,PT_DIFFERENTIATION_CS_ID,0))</f>
        <v/>
      </c>
      <c r="AE48" s="5301"/>
      <c r="AF48" s="5301"/>
      <c r="AG48" s="5301"/>
      <c r="AH48" s="5301"/>
      <c r="AI48" s="5301"/>
      <c r="AJ48" s="5301"/>
      <c r="AK48" s="5301"/>
      <c r="AL48" s="5301"/>
      <c r="AM48" s="5301"/>
      <c r="AN48" s="5301"/>
      <c r="AO48" s="5301"/>
      <c r="AP48" s="5301"/>
      <c r="AQ48" s="5301"/>
      <c r="AR48" s="5301"/>
      <c r="AS48" s="5301"/>
      <c r="AT48" s="5301"/>
      <c r="AU48" s="5301"/>
      <c r="AV48" s="5301"/>
      <c r="AW48" s="5301"/>
      <c r="AX48" s="5301"/>
      <c r="AY48" s="5301"/>
      <c r="AZ48" s="5301"/>
      <c r="BA48" s="5301"/>
      <c r="BB48" s="5302"/>
      <c r="BC48" s="1176" t="s">
        <v>604</v>
      </c>
      <c r="BE48" s="425"/>
      <c r="BF48" s="425" t="str">
        <f t="shared" si="3"/>
        <v>Наименование централизованной системы холодного водоснабжения</v>
      </c>
      <c r="BG48" s="425"/>
      <c r="BH48" s="425"/>
    </row>
    <row r="49" spans="1:60" s="1819" customFormat="1" ht="0" hidden="1" customHeight="1">
      <c r="A49" s="1259" t="s">
        <v>363</v>
      </c>
      <c r="B49" s="1259" t="s">
        <v>364</v>
      </c>
      <c r="C49" s="1259" t="s">
        <v>365</v>
      </c>
      <c r="D49" s="1259" t="s">
        <v>635</v>
      </c>
      <c r="E49" s="5315"/>
      <c r="F49" s="5315"/>
      <c r="G49" s="5315"/>
      <c r="H49" s="5314">
        <v>1</v>
      </c>
      <c r="I49" s="1259"/>
      <c r="J49" s="1259"/>
      <c r="K49" s="1259"/>
      <c r="L49" s="1262"/>
      <c r="M49" s="1232"/>
      <c r="N49" s="1232"/>
      <c r="O49" s="1232"/>
      <c r="P49" s="1406"/>
      <c r="Q49" s="1407"/>
      <c r="R49" s="281"/>
      <c r="S49" s="948"/>
      <c r="T49" s="1408"/>
      <c r="U49" s="1299"/>
      <c r="V49" s="5342"/>
      <c r="W49" s="5342"/>
      <c r="X49" s="5342"/>
      <c r="Y49" s="5342"/>
      <c r="Z49" s="5342"/>
      <c r="AA49" s="5342"/>
      <c r="AB49" s="5342"/>
      <c r="AC49" s="5343"/>
      <c r="AD49" s="5341"/>
      <c r="AE49" s="5342"/>
      <c r="AF49" s="5342"/>
      <c r="AG49" s="5342"/>
      <c r="AH49" s="5342"/>
      <c r="AI49" s="5342"/>
      <c r="AJ49" s="5342"/>
      <c r="AK49" s="5342"/>
      <c r="AL49" s="5342"/>
      <c r="AM49" s="5342"/>
      <c r="AN49" s="5342"/>
      <c r="AO49" s="5342"/>
      <c r="AP49" s="5342"/>
      <c r="AQ49" s="5342"/>
      <c r="AR49" s="5342"/>
      <c r="AS49" s="5342"/>
      <c r="AT49" s="5342"/>
      <c r="AU49" s="5342"/>
      <c r="AV49" s="5342"/>
      <c r="AW49" s="5342"/>
      <c r="AX49" s="5342"/>
      <c r="AY49" s="5342"/>
      <c r="AZ49" s="5342"/>
      <c r="BA49" s="5342"/>
      <c r="BB49" s="5343"/>
      <c r="BC49" s="1300" t="s">
        <v>521</v>
      </c>
      <c r="BE49" s="425"/>
      <c r="BF49" s="425" t="str">
        <f t="shared" si="3"/>
        <v/>
      </c>
      <c r="BG49" s="425"/>
      <c r="BH49" s="425"/>
    </row>
    <row r="50" spans="1:60" s="1819" customFormat="1" ht="0" hidden="1" customHeight="1">
      <c r="A50" s="1259" t="s">
        <v>363</v>
      </c>
      <c r="B50" s="1259" t="s">
        <v>364</v>
      </c>
      <c r="C50" s="1259" t="s">
        <v>365</v>
      </c>
      <c r="D50" s="1259" t="s">
        <v>635</v>
      </c>
      <c r="E50" s="5315"/>
      <c r="F50" s="5315"/>
      <c r="G50" s="5315"/>
      <c r="H50" s="5315"/>
      <c r="I50" s="5312" t="str">
        <f>S49&amp;".1"</f>
        <v>.1</v>
      </c>
      <c r="J50" s="1259"/>
      <c r="K50" s="1259"/>
      <c r="L50" s="1262" t="s">
        <v>522</v>
      </c>
      <c r="M50" s="435"/>
      <c r="N50" s="435"/>
      <c r="O50" s="435"/>
      <c r="P50" s="5313">
        <v>1</v>
      </c>
      <c r="Q50" s="1373"/>
      <c r="R50" s="280"/>
      <c r="S50" s="948"/>
      <c r="T50" s="1298"/>
      <c r="U50" s="1299"/>
      <c r="V50" s="5342"/>
      <c r="W50" s="5342"/>
      <c r="X50" s="5342"/>
      <c r="Y50" s="5342"/>
      <c r="Z50" s="5342"/>
      <c r="AA50" s="5342"/>
      <c r="AB50" s="5342"/>
      <c r="AC50" s="5343"/>
      <c r="AD50" s="5341"/>
      <c r="AE50" s="5342"/>
      <c r="AF50" s="5342"/>
      <c r="AG50" s="5342"/>
      <c r="AH50" s="5342"/>
      <c r="AI50" s="5342"/>
      <c r="AJ50" s="5342"/>
      <c r="AK50" s="5342"/>
      <c r="AL50" s="5342"/>
      <c r="AM50" s="5342"/>
      <c r="AN50" s="5342"/>
      <c r="AO50" s="5342"/>
      <c r="AP50" s="5342"/>
      <c r="AQ50" s="5342"/>
      <c r="AR50" s="5342"/>
      <c r="AS50" s="5342"/>
      <c r="AT50" s="5342"/>
      <c r="AU50" s="5342"/>
      <c r="AV50" s="5342"/>
      <c r="AW50" s="5342"/>
      <c r="AX50" s="5342"/>
      <c r="AY50" s="5342"/>
      <c r="AZ50" s="5342"/>
      <c r="BA50" s="5342"/>
      <c r="BB50" s="5343"/>
      <c r="BC50" s="1300"/>
      <c r="BE50" s="425"/>
      <c r="BF50" s="425" t="str">
        <f t="shared" si="3"/>
        <v/>
      </c>
      <c r="BG50" s="425"/>
      <c r="BH50" s="425"/>
    </row>
    <row r="51" spans="1:60" s="1819" customFormat="1" ht="0" hidden="1" customHeight="1">
      <c r="A51" s="1259" t="s">
        <v>363</v>
      </c>
      <c r="B51" s="1259" t="s">
        <v>364</v>
      </c>
      <c r="C51" s="1259" t="s">
        <v>365</v>
      </c>
      <c r="D51" s="1259" t="s">
        <v>635</v>
      </c>
      <c r="E51" s="5315"/>
      <c r="F51" s="5315"/>
      <c r="G51" s="5315"/>
      <c r="H51" s="5315"/>
      <c r="I51" s="5335"/>
      <c r="J51" s="5312" t="str">
        <f>S49&amp;".1"</f>
        <v>.1</v>
      </c>
      <c r="K51" s="1259"/>
      <c r="L51" s="1262"/>
      <c r="M51" s="435"/>
      <c r="N51" s="435"/>
      <c r="O51" s="435"/>
      <c r="P51" s="5313"/>
      <c r="Q51" s="5313">
        <v>1</v>
      </c>
      <c r="R51" s="281"/>
      <c r="S51" s="948"/>
      <c r="T51" s="1314"/>
      <c r="U51" s="1299"/>
      <c r="V51" s="5342"/>
      <c r="W51" s="5342"/>
      <c r="X51" s="5342"/>
      <c r="Y51" s="5342"/>
      <c r="Z51" s="5342"/>
      <c r="AA51" s="5342"/>
      <c r="AB51" s="5342"/>
      <c r="AC51" s="5343"/>
      <c r="AD51" s="5341"/>
      <c r="AE51" s="5342"/>
      <c r="AF51" s="5342"/>
      <c r="AG51" s="5342"/>
      <c r="AH51" s="5342"/>
      <c r="AI51" s="5342"/>
      <c r="AJ51" s="5342"/>
      <c r="AK51" s="5342"/>
      <c r="AL51" s="5342"/>
      <c r="AM51" s="5342"/>
      <c r="AN51" s="5387"/>
      <c r="AO51" s="5387"/>
      <c r="AP51" s="5342"/>
      <c r="AQ51" s="5342"/>
      <c r="AR51" s="5342"/>
      <c r="AS51" s="5342"/>
      <c r="AT51" s="5342"/>
      <c r="AU51" s="5342"/>
      <c r="AV51" s="5342"/>
      <c r="AW51" s="5342"/>
      <c r="AX51" s="5342"/>
      <c r="AY51" s="5342"/>
      <c r="AZ51" s="5342"/>
      <c r="BA51" s="5342"/>
      <c r="BB51" s="5343"/>
      <c r="BC51" s="1300"/>
      <c r="BE51" s="425"/>
      <c r="BF51" s="425" t="str">
        <f t="shared" si="3"/>
        <v/>
      </c>
      <c r="BG51" s="425"/>
      <c r="BH51" s="425"/>
    </row>
    <row r="52" spans="1:60" ht="11.25" customHeight="1">
      <c r="A52" s="1278" t="s">
        <v>363</v>
      </c>
      <c r="B52" s="1278" t="s">
        <v>364</v>
      </c>
      <c r="C52" s="1278" t="s">
        <v>365</v>
      </c>
      <c r="D52" s="1278" t="s">
        <v>635</v>
      </c>
      <c r="E52" s="5315"/>
      <c r="F52" s="5315"/>
      <c r="G52" s="5315"/>
      <c r="H52" s="5315"/>
      <c r="I52" s="5335"/>
      <c r="J52" s="5335"/>
      <c r="K52" s="5312" t="str">
        <f>S48&amp;".1"</f>
        <v>...1</v>
      </c>
      <c r="L52" s="1279"/>
      <c r="P52" s="5313"/>
      <c r="Q52" s="5313"/>
      <c r="R52" s="281">
        <v>1</v>
      </c>
      <c r="S52" s="5364" t="str">
        <f>$K52</f>
        <v>...1</v>
      </c>
      <c r="T52" s="5382"/>
      <c r="U52" s="218"/>
      <c r="V52" s="667"/>
      <c r="W52" s="1175"/>
      <c r="X52" s="667"/>
      <c r="Y52" s="1175"/>
      <c r="Z52" s="1642"/>
      <c r="AA52" s="1371" t="s">
        <v>62</v>
      </c>
      <c r="AB52" s="1642"/>
      <c r="AC52" s="1371" t="s">
        <v>62</v>
      </c>
      <c r="AD52" s="5240" t="s">
        <v>62</v>
      </c>
      <c r="AE52" s="5350"/>
      <c r="AF52" s="5269">
        <v>1</v>
      </c>
      <c r="AG52" s="5386"/>
      <c r="AH52" s="5161" t="s">
        <v>62</v>
      </c>
      <c r="AI52" s="5350"/>
      <c r="AJ52" s="5269">
        <v>1</v>
      </c>
      <c r="AK52" s="5385" t="s">
        <v>24</v>
      </c>
      <c r="AL52" s="5161" t="s">
        <v>62</v>
      </c>
      <c r="AM52" s="5259"/>
      <c r="AN52" s="5269">
        <v>1</v>
      </c>
      <c r="AO52" s="5379"/>
      <c r="AP52" s="5380" t="s">
        <v>62</v>
      </c>
      <c r="AQ52" s="231"/>
      <c r="AR52" s="1374">
        <v>1</v>
      </c>
      <c r="AS52" s="1377" t="s">
        <v>24</v>
      </c>
      <c r="AT52" s="667"/>
      <c r="AU52" s="1175"/>
      <c r="AV52" s="667"/>
      <c r="AW52" s="1175"/>
      <c r="AX52" s="1642"/>
      <c r="AY52" s="1371" t="s">
        <v>62</v>
      </c>
      <c r="AZ52" s="1642"/>
      <c r="BA52" s="1371" t="s">
        <v>62</v>
      </c>
      <c r="BB52" s="1264"/>
      <c r="BC52" s="5309" t="s">
        <v>621</v>
      </c>
      <c r="BE52" s="425"/>
      <c r="BF52" s="425" t="str">
        <f t="shared" si="3"/>
        <v/>
      </c>
      <c r="BG52" s="425"/>
      <c r="BH52" s="425"/>
    </row>
    <row r="53" spans="1:60" ht="11.25" customHeight="1">
      <c r="A53" s="1278"/>
      <c r="B53" s="1278"/>
      <c r="C53" s="1278"/>
      <c r="D53" s="1278"/>
      <c r="E53" s="5315"/>
      <c r="F53" s="5315"/>
      <c r="G53" s="5315"/>
      <c r="H53" s="5315"/>
      <c r="I53" s="5335"/>
      <c r="J53" s="5335"/>
      <c r="K53" s="5312"/>
      <c r="L53" s="1279"/>
      <c r="P53" s="5313"/>
      <c r="Q53" s="5313"/>
      <c r="R53" s="281"/>
      <c r="S53" s="5365"/>
      <c r="T53" s="5383"/>
      <c r="U53" s="218"/>
      <c r="V53" s="1308"/>
      <c r="W53" s="1405"/>
      <c r="X53" s="1308"/>
      <c r="Y53" s="1405"/>
      <c r="Z53" s="1308"/>
      <c r="AA53" s="1308"/>
      <c r="AB53" s="1308"/>
      <c r="AC53" s="1308"/>
      <c r="AD53" s="5241"/>
      <c r="AE53" s="5350"/>
      <c r="AF53" s="5269"/>
      <c r="AG53" s="5386"/>
      <c r="AH53" s="5161"/>
      <c r="AI53" s="5350"/>
      <c r="AJ53" s="5269"/>
      <c r="AK53" s="5385"/>
      <c r="AL53" s="5161"/>
      <c r="AM53" s="5264"/>
      <c r="AN53" s="5269"/>
      <c r="AO53" s="5379"/>
      <c r="AP53" s="5381"/>
      <c r="AQ53" s="238"/>
      <c r="AR53" s="349"/>
      <c r="AS53" s="349" t="s">
        <v>622</v>
      </c>
      <c r="AT53" s="1308"/>
      <c r="AU53" s="1405"/>
      <c r="AV53" s="1308"/>
      <c r="AW53" s="1405"/>
      <c r="AX53" s="1308"/>
      <c r="AY53" s="1308"/>
      <c r="AZ53" s="1308"/>
      <c r="BA53" s="1308"/>
      <c r="BB53" s="1312"/>
      <c r="BC53" s="5310"/>
      <c r="BE53" s="425"/>
      <c r="BF53" s="425"/>
      <c r="BG53" s="425"/>
      <c r="BH53" s="425"/>
    </row>
    <row r="54" spans="1:60" ht="11.25" customHeight="1">
      <c r="A54" s="1278" t="s">
        <v>363</v>
      </c>
      <c r="B54" s="1278"/>
      <c r="C54" s="1278"/>
      <c r="D54" s="1278"/>
      <c r="E54" s="5315"/>
      <c r="F54" s="5315"/>
      <c r="G54" s="5315"/>
      <c r="H54" s="5315"/>
      <c r="I54" s="5335"/>
      <c r="J54" s="5335"/>
      <c r="K54" s="5312"/>
      <c r="L54" s="1279"/>
      <c r="P54" s="5313"/>
      <c r="Q54" s="5313"/>
      <c r="R54" s="281"/>
      <c r="S54" s="5365"/>
      <c r="T54" s="5383"/>
      <c r="U54" s="218"/>
      <c r="V54" s="1308"/>
      <c r="W54" s="1405"/>
      <c r="X54" s="1308"/>
      <c r="Y54" s="1405"/>
      <c r="Z54" s="1308"/>
      <c r="AA54" s="1308"/>
      <c r="AB54" s="1308"/>
      <c r="AC54" s="1308"/>
      <c r="AD54" s="5241"/>
      <c r="AE54" s="5350"/>
      <c r="AF54" s="5269"/>
      <c r="AG54" s="5386"/>
      <c r="AH54" s="5161"/>
      <c r="AI54" s="5350"/>
      <c r="AJ54" s="5269"/>
      <c r="AK54" s="5385"/>
      <c r="AL54" s="5161"/>
      <c r="AM54" s="238"/>
      <c r="AN54" s="1409"/>
      <c r="AO54" s="1409" t="s">
        <v>623</v>
      </c>
      <c r="AP54" s="349"/>
      <c r="AQ54" s="349"/>
      <c r="AR54" s="349"/>
      <c r="AS54" s="1308"/>
      <c r="AT54" s="1308"/>
      <c r="AU54" s="1405"/>
      <c r="AV54" s="1308"/>
      <c r="AW54" s="1405"/>
      <c r="AX54" s="1308"/>
      <c r="AY54" s="1308"/>
      <c r="AZ54" s="1308"/>
      <c r="BA54" s="1308"/>
      <c r="BB54" s="1312"/>
      <c r="BC54" s="5310"/>
      <c r="BE54" s="425"/>
      <c r="BF54" s="425"/>
      <c r="BG54" s="425"/>
      <c r="BH54" s="425"/>
    </row>
    <row r="55" spans="1:60" ht="11.25" customHeight="1">
      <c r="A55" s="1278" t="s">
        <v>363</v>
      </c>
      <c r="B55" s="1278"/>
      <c r="C55" s="1278"/>
      <c r="D55" s="1278"/>
      <c r="E55" s="5315"/>
      <c r="F55" s="5315"/>
      <c r="G55" s="5315"/>
      <c r="H55" s="5315"/>
      <c r="I55" s="5335"/>
      <c r="J55" s="5335"/>
      <c r="K55" s="5312"/>
      <c r="L55" s="1279"/>
      <c r="P55" s="5313"/>
      <c r="Q55" s="5313"/>
      <c r="R55" s="281"/>
      <c r="S55" s="5365"/>
      <c r="T55" s="5383"/>
      <c r="U55" s="218"/>
      <c r="V55" s="1308"/>
      <c r="W55" s="1405"/>
      <c r="X55" s="1308"/>
      <c r="Y55" s="1405"/>
      <c r="Z55" s="1308"/>
      <c r="AA55" s="1308"/>
      <c r="AB55" s="1308"/>
      <c r="AC55" s="1308"/>
      <c r="AD55" s="5241"/>
      <c r="AE55" s="5350"/>
      <c r="AF55" s="5269"/>
      <c r="AG55" s="5386"/>
      <c r="AH55" s="5161"/>
      <c r="AI55" s="212"/>
      <c r="AJ55" s="348"/>
      <c r="AK55" s="233" t="s">
        <v>624</v>
      </c>
      <c r="AL55" s="1308"/>
      <c r="AM55" s="1308"/>
      <c r="AN55" s="1308"/>
      <c r="AO55" s="1308"/>
      <c r="AP55" s="1308"/>
      <c r="AQ55" s="1308"/>
      <c r="AR55" s="1308"/>
      <c r="AS55" s="1308"/>
      <c r="AT55" s="1308"/>
      <c r="AU55" s="1405"/>
      <c r="AV55" s="1308"/>
      <c r="AW55" s="1405"/>
      <c r="AX55" s="1308"/>
      <c r="AY55" s="1308"/>
      <c r="AZ55" s="1308"/>
      <c r="BA55" s="1308"/>
      <c r="BB55" s="1312"/>
      <c r="BC55" s="5310"/>
      <c r="BE55" s="425"/>
      <c r="BF55" s="425"/>
      <c r="BG55" s="425"/>
      <c r="BH55" s="425"/>
    </row>
    <row r="56" spans="1:60" ht="11.25" customHeight="1">
      <c r="A56" s="1278" t="s">
        <v>363</v>
      </c>
      <c r="B56" s="1278" t="s">
        <v>364</v>
      </c>
      <c r="C56" s="1278" t="s">
        <v>365</v>
      </c>
      <c r="D56" s="1278" t="s">
        <v>635</v>
      </c>
      <c r="E56" s="5315"/>
      <c r="F56" s="5315"/>
      <c r="G56" s="5315"/>
      <c r="H56" s="5315"/>
      <c r="I56" s="5335"/>
      <c r="J56" s="5335"/>
      <c r="K56" s="5312"/>
      <c r="L56" s="1279"/>
      <c r="P56" s="5313"/>
      <c r="Q56" s="5313"/>
      <c r="R56" s="281"/>
      <c r="S56" s="5366"/>
      <c r="T56" s="5384"/>
      <c r="U56" s="218"/>
      <c r="V56" s="1308"/>
      <c r="W56" s="1309" t="str">
        <f>Z52&amp;"-"&amp;AB52</f>
        <v>-</v>
      </c>
      <c r="X56" s="1308"/>
      <c r="Y56" s="1309" t="str">
        <f>AB52&amp;"-"&amp;AD52</f>
        <v>-да</v>
      </c>
      <c r="Z56" s="1308"/>
      <c r="AA56" s="1308"/>
      <c r="AB56" s="1308"/>
      <c r="AC56" s="1308"/>
      <c r="AD56" s="5166"/>
      <c r="AE56" s="232"/>
      <c r="AF56" s="234"/>
      <c r="AG56" s="349" t="s">
        <v>625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5310"/>
      <c r="BE56" s="425"/>
      <c r="BF56" s="425" t="str">
        <f t="shared" ref="BF56:BF63" si="4">IF(T56="","",T56)</f>
        <v/>
      </c>
      <c r="BG56" s="425"/>
      <c r="BH56" s="425"/>
    </row>
    <row r="57" spans="1:60" ht="11.25" customHeight="1">
      <c r="A57" s="1278" t="s">
        <v>363</v>
      </c>
      <c r="B57" s="1278" t="s">
        <v>364</v>
      </c>
      <c r="C57" s="1278" t="s">
        <v>365</v>
      </c>
      <c r="D57" s="1278" t="s">
        <v>635</v>
      </c>
      <c r="E57" s="5315"/>
      <c r="F57" s="5315"/>
      <c r="G57" s="5315"/>
      <c r="H57" s="5315"/>
      <c r="I57" s="5335"/>
      <c r="J57" s="5312"/>
      <c r="K57" s="1278"/>
      <c r="L57" s="1279"/>
      <c r="P57" s="5313"/>
      <c r="Q57" s="5313"/>
      <c r="R57" s="280"/>
      <c r="S57" s="1197"/>
      <c r="T57" s="205" t="s">
        <v>589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5311"/>
      <c r="BE57" s="425"/>
      <c r="BF57" s="425" t="str">
        <f t="shared" si="4"/>
        <v>Добавить строку</v>
      </c>
      <c r="BG57" s="425"/>
      <c r="BH57" s="425"/>
    </row>
    <row r="58" spans="1:60" s="1819" customFormat="1" ht="0" hidden="1" customHeight="1">
      <c r="A58" s="1259" t="s">
        <v>363</v>
      </c>
      <c r="B58" s="1259" t="s">
        <v>364</v>
      </c>
      <c r="C58" s="1259" t="s">
        <v>365</v>
      </c>
      <c r="D58" s="1259" t="s">
        <v>635</v>
      </c>
      <c r="E58" s="5315"/>
      <c r="F58" s="5315"/>
      <c r="G58" s="5315"/>
      <c r="H58" s="5315"/>
      <c r="I58" s="5312"/>
      <c r="J58" s="1259"/>
      <c r="K58" s="1259"/>
      <c r="L58" s="1262"/>
      <c r="M58" s="435"/>
      <c r="N58" s="435"/>
      <c r="O58" s="435"/>
      <c r="P58" s="5313"/>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363</v>
      </c>
      <c r="B59" s="1259" t="s">
        <v>364</v>
      </c>
      <c r="C59" s="1259" t="s">
        <v>365</v>
      </c>
      <c r="D59" s="1259" t="s">
        <v>635</v>
      </c>
      <c r="E59" s="5315"/>
      <c r="F59" s="5315"/>
      <c r="G59" s="5315"/>
      <c r="H59" s="5314"/>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167" customFormat="1" ht="0" hidden="1" customHeight="1">
      <c r="A60" s="1259" t="s">
        <v>363</v>
      </c>
      <c r="B60" s="1259" t="s">
        <v>364</v>
      </c>
      <c r="C60" s="1259" t="s">
        <v>365</v>
      </c>
      <c r="D60" s="1231"/>
      <c r="E60" s="5315"/>
      <c r="F60" s="5315"/>
      <c r="G60" s="5314"/>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167" customFormat="1" ht="0" hidden="1" customHeight="1">
      <c r="A61" s="1259" t="s">
        <v>363</v>
      </c>
      <c r="B61" s="1259" t="s">
        <v>364</v>
      </c>
      <c r="C61" s="1231"/>
      <c r="D61" s="1231"/>
      <c r="E61" s="5315"/>
      <c r="F61" s="5314"/>
      <c r="G61" s="1231"/>
      <c r="H61" s="1231"/>
      <c r="I61" s="1231"/>
      <c r="J61" s="1231"/>
      <c r="K61" s="1231"/>
      <c r="L61" s="1375"/>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363</v>
      </c>
      <c r="B62" s="1259"/>
      <c r="C62" s="1259"/>
      <c r="D62" s="1259"/>
      <c r="E62" s="5314"/>
      <c r="F62" s="1259"/>
      <c r="G62" s="1259"/>
      <c r="H62" s="1259"/>
      <c r="I62" s="1259"/>
      <c r="J62" s="1259"/>
      <c r="K62" s="1259"/>
      <c r="L62" s="1262"/>
      <c r="M62" s="1238"/>
      <c r="N62" s="1238"/>
      <c r="O62" s="443"/>
      <c r="P62" s="312"/>
      <c r="Q62" s="1260"/>
      <c r="R62" s="312"/>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167"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215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5334"/>
      <c r="U65" s="5334"/>
      <c r="V65" s="5334"/>
      <c r="W65" s="5334"/>
      <c r="X65" s="5334"/>
      <c r="Y65" s="5334"/>
      <c r="Z65" s="5334"/>
      <c r="AA65" s="5334"/>
      <c r="AB65" s="5334"/>
      <c r="AC65" s="5334"/>
      <c r="AD65" s="5334"/>
      <c r="AE65" s="5334"/>
      <c r="AF65" s="5334"/>
      <c r="AG65" s="5334"/>
      <c r="AH65" s="5334"/>
      <c r="AI65" s="5334"/>
      <c r="AJ65" s="5334"/>
      <c r="AK65" s="5334"/>
      <c r="AL65" s="5334"/>
      <c r="AM65" s="5334"/>
      <c r="AN65" s="5334"/>
      <c r="AO65" s="5334"/>
      <c r="AP65" s="5334"/>
      <c r="AQ65" s="5334"/>
      <c r="AR65" s="5334"/>
      <c r="AS65" s="5334"/>
      <c r="AT65" s="5334"/>
      <c r="AU65" s="5334"/>
      <c r="AV65" s="5334"/>
      <c r="AW65" s="5334"/>
      <c r="AX65" s="5334"/>
      <c r="AY65" s="5334"/>
      <c r="AZ65" s="5334"/>
      <c r="BA65" s="5334"/>
      <c r="BB65" s="5334"/>
      <c r="BC65" s="5334"/>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5334"/>
      <c r="U67" s="5334"/>
      <c r="V67" s="5334"/>
      <c r="W67" s="5334"/>
      <c r="X67" s="5334"/>
      <c r="Y67" s="5334"/>
      <c r="Z67" s="5334"/>
      <c r="AA67" s="5334"/>
      <c r="AB67" s="5334"/>
      <c r="AC67" s="5334"/>
      <c r="AD67" s="5334"/>
      <c r="AE67" s="5334"/>
      <c r="AF67" s="5334"/>
      <c r="AG67" s="5334"/>
      <c r="AH67" s="5334"/>
      <c r="AI67" s="5334"/>
      <c r="AJ67" s="5334"/>
      <c r="AK67" s="5334"/>
      <c r="AL67" s="5334"/>
      <c r="AM67" s="5334"/>
      <c r="AN67" s="5334"/>
      <c r="AO67" s="5334"/>
      <c r="AP67" s="5334"/>
      <c r="AQ67" s="5334"/>
      <c r="AR67" s="5334"/>
      <c r="AS67" s="5334"/>
      <c r="AT67" s="5334"/>
      <c r="AU67" s="5334"/>
      <c r="AV67" s="5334"/>
      <c r="AW67" s="5334"/>
      <c r="AX67" s="5334"/>
      <c r="AY67" s="5334"/>
      <c r="AZ67" s="5334"/>
      <c r="BA67" s="5334"/>
      <c r="BB67" s="5334"/>
      <c r="BC67" s="5334"/>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8" hidden="1" customWidth="1"/>
    <col min="13" max="14" width="12.28515625" style="2171" hidden="1" customWidth="1"/>
    <col min="15" max="15" width="23.42578125" style="2171" hidden="1" customWidth="1"/>
    <col min="16" max="16" width="3.7109375" style="4589"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402"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96"/>
      <c r="Q3" s="276"/>
      <c r="R3" s="277"/>
      <c r="S3" s="1402"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402" t="e">
        <f>INDEX(PT_DIFFERENTIATION_NUM_CS,MATCH(C4,PT_DIFFERENTIATION_CS_ID,0))</f>
        <v>#N/A</v>
      </c>
      <c r="T4" s="229" t="s">
        <v>636</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637</v>
      </c>
      <c r="AM4" s="425"/>
      <c r="AN4" s="425" t="str">
        <f t="shared" si="0"/>
        <v>Наименование централизованной системы водоотведения</v>
      </c>
      <c r="AO4" s="425"/>
      <c r="AP4" s="425"/>
    </row>
    <row r="5" spans="1:42" ht="23.25" hidden="1" customHeight="1">
      <c r="A5" s="1278"/>
      <c r="B5" s="1278"/>
      <c r="C5" s="1278"/>
      <c r="D5" s="1278"/>
      <c r="E5" s="5315"/>
      <c r="F5" s="5315"/>
      <c r="G5" s="5315"/>
      <c r="H5" s="5315"/>
      <c r="I5" s="5312" t="e">
        <f>S4&amp;".1"</f>
        <v>#N/A</v>
      </c>
      <c r="J5" s="1278"/>
      <c r="K5" s="1278"/>
      <c r="L5" s="1279"/>
      <c r="P5" s="5313">
        <v>1</v>
      </c>
      <c r="Q5" s="1390"/>
      <c r="R5" s="280"/>
      <c r="S5" s="1402"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402"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402"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99"/>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90"/>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87"/>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87"/>
      <c r="M19" s="1277"/>
      <c r="N19" s="1277"/>
      <c r="O19" s="1277"/>
      <c r="P19" s="1277"/>
      <c r="Q19" s="1286"/>
      <c r="R19" s="1286"/>
      <c r="S19" s="647"/>
      <c r="AB19" s="1281"/>
      <c r="AI19" s="1281"/>
      <c r="AL19" s="436"/>
      <c r="AM19" s="436"/>
      <c r="AN19" s="436"/>
      <c r="AO19" s="436"/>
      <c r="AP19" s="436"/>
    </row>
    <row r="20" spans="1:42" s="1832" customFormat="1" ht="12" hidden="1" customHeight="1">
      <c r="L20" s="1387"/>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92" t="s">
        <v>611</v>
      </c>
      <c r="W38" s="5151" t="s">
        <v>551</v>
      </c>
      <c r="X38" s="5150"/>
      <c r="Y38" s="5151" t="s">
        <v>552</v>
      </c>
      <c r="Z38" s="5156"/>
      <c r="AA38" s="5150"/>
      <c r="AB38" s="5327"/>
      <c r="AC38" s="1392" t="s">
        <v>611</v>
      </c>
      <c r="AD38" s="5151" t="s">
        <v>551</v>
      </c>
      <c r="AE38" s="5150"/>
      <c r="AF38" s="5151" t="s">
        <v>552</v>
      </c>
      <c r="AG38" s="5156"/>
      <c r="AH38" s="5150"/>
      <c r="AI38" s="5327"/>
      <c r="AJ38" s="5330"/>
      <c r="AK38" s="5180"/>
    </row>
    <row r="39" spans="1:42" ht="86.2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92" t="s">
        <v>638</v>
      </c>
      <c r="W39" s="1127" t="s">
        <v>639</v>
      </c>
      <c r="X39" s="1127" t="s">
        <v>616</v>
      </c>
      <c r="Y39" s="1398" t="s">
        <v>562</v>
      </c>
      <c r="Z39" s="5282" t="s">
        <v>563</v>
      </c>
      <c r="AA39" s="5284"/>
      <c r="AB39" s="5328"/>
      <c r="AC39" s="1392" t="s">
        <v>638</v>
      </c>
      <c r="AD39" s="1127" t="s">
        <v>639</v>
      </c>
      <c r="AE39" s="1127" t="s">
        <v>616</v>
      </c>
      <c r="AF39" s="1398" t="s">
        <v>562</v>
      </c>
      <c r="AG39" s="5282" t="s">
        <v>563</v>
      </c>
      <c r="AH39" s="5284"/>
      <c r="AI39" s="5328"/>
      <c r="AJ39" s="5331"/>
      <c r="AK39" s="5180"/>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91">
        <f ca="1">OFFSET(V40,0,-1)+1</f>
        <v>3</v>
      </c>
      <c r="W40" s="1391">
        <f ca="1">OFFSET(W40,0,-1)+1</f>
        <v>4</v>
      </c>
      <c r="X40" s="1391">
        <f ca="1">OFFSET(X40,0,-1)+1</f>
        <v>5</v>
      </c>
      <c r="Y40" s="1391">
        <f ca="1">OFFSET(Y40,0,-1)+1</f>
        <v>6</v>
      </c>
      <c r="Z40" s="5321">
        <f ca="1">OFFSET(Z40,0,-1)+1</f>
        <v>7</v>
      </c>
      <c r="AA40" s="5321"/>
      <c r="AB40" s="1391">
        <f ca="1">OFFSET(AB40,0,-2)+1</f>
        <v>8</v>
      </c>
      <c r="AC40" s="1391">
        <f ca="1">OFFSET(AC40,0,-1)+1</f>
        <v>9</v>
      </c>
      <c r="AD40" s="1391">
        <f ca="1">OFFSET(AD40,0,-1)+1</f>
        <v>10</v>
      </c>
      <c r="AE40" s="1391">
        <f ca="1">OFFSET(AE40,0,-1)+1</f>
        <v>11</v>
      </c>
      <c r="AF40" s="1391">
        <f ca="1">OFFSET(AF40,0,-1)+1</f>
        <v>12</v>
      </c>
      <c r="AG40" s="5321">
        <f ca="1">OFFSET(AG40,0,-1)+1</f>
        <v>13</v>
      </c>
      <c r="AH40" s="5321"/>
      <c r="AI40" s="1391">
        <f ca="1">OFFSET(AI40,0,-2)+1</f>
        <v>14</v>
      </c>
      <c r="AJ40" s="1153">
        <f ca="1">OFFSET(AJ40,0,-1)</f>
        <v>14</v>
      </c>
      <c r="AK40" s="1391">
        <f ca="1">OFFSET(AK40,0,-1)+1</f>
        <v>15</v>
      </c>
      <c r="AL40" s="436"/>
      <c r="AM40" s="436"/>
      <c r="AN40" s="436"/>
      <c r="AO40" s="436"/>
      <c r="AP40" s="436"/>
    </row>
    <row r="41" spans="1:42" ht="23.25" customHeight="1">
      <c r="A41" s="1278" t="s">
        <v>383</v>
      </c>
      <c r="B41" s="1278"/>
      <c r="C41" s="1278"/>
      <c r="D41" s="1278"/>
      <c r="E41" s="5314">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383</v>
      </c>
      <c r="B42" s="1278" t="s">
        <v>384</v>
      </c>
      <c r="C42" s="1278"/>
      <c r="D42" s="1278"/>
      <c r="E42" s="5315"/>
      <c r="F42" s="5314">
        <v>1</v>
      </c>
      <c r="G42" s="1278"/>
      <c r="H42" s="1278"/>
      <c r="I42" s="1278"/>
      <c r="J42" s="1278"/>
      <c r="K42" s="1278"/>
      <c r="L42" s="1279"/>
      <c r="M42" s="1280"/>
      <c r="N42" s="1280"/>
      <c r="O42" s="1280"/>
      <c r="P42" s="1396"/>
      <c r="Q42" s="276"/>
      <c r="R42" s="277"/>
      <c r="S42" s="1402"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383</v>
      </c>
      <c r="B43" s="1278" t="s">
        <v>384</v>
      </c>
      <c r="C43" s="1278" t="s">
        <v>385</v>
      </c>
      <c r="D43" s="1278"/>
      <c r="E43" s="5315"/>
      <c r="F43" s="5315"/>
      <c r="G43" s="5314">
        <v>1</v>
      </c>
      <c r="H43" s="1278"/>
      <c r="I43" s="1278"/>
      <c r="J43" s="1278"/>
      <c r="K43" s="1278"/>
      <c r="L43" s="1279"/>
      <c r="M43" s="1280"/>
      <c r="N43" s="1280"/>
      <c r="O43" s="1280"/>
      <c r="P43" s="278"/>
      <c r="Q43" s="276"/>
      <c r="R43" s="277"/>
      <c r="S43" s="1402" t="str">
        <f>INDEX(PT_DIFFERENTIATION_NUM_CS,MATCH(C43,PT_DIFFERENTIATION_CS_ID,0))</f>
        <v>..</v>
      </c>
      <c r="T43" s="229" t="s">
        <v>636</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637</v>
      </c>
      <c r="AM43" s="425"/>
      <c r="AN43" s="425" t="str">
        <f t="shared" si="1"/>
        <v>Наименование централизованной системы водоотведения</v>
      </c>
      <c r="AO43" s="425"/>
      <c r="AP43" s="425"/>
    </row>
    <row r="44" spans="1:42" ht="23.25" customHeight="1">
      <c r="A44" s="1278" t="s">
        <v>383</v>
      </c>
      <c r="B44" s="1278" t="s">
        <v>384</v>
      </c>
      <c r="C44" s="1278" t="s">
        <v>385</v>
      </c>
      <c r="D44" s="1278" t="s">
        <v>640</v>
      </c>
      <c r="E44" s="5315"/>
      <c r="F44" s="5315"/>
      <c r="G44" s="5315"/>
      <c r="H44" s="5315"/>
      <c r="I44" s="5312" t="str">
        <f>S43&amp;".1"</f>
        <v>...1</v>
      </c>
      <c r="J44" s="1278"/>
      <c r="K44" s="1278"/>
      <c r="L44" s="1279"/>
      <c r="P44" s="5313">
        <v>1</v>
      </c>
      <c r="Q44" s="1390"/>
      <c r="R44" s="280"/>
      <c r="S44" s="1402"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383</v>
      </c>
      <c r="B45" s="1278" t="s">
        <v>384</v>
      </c>
      <c r="C45" s="1278" t="s">
        <v>385</v>
      </c>
      <c r="D45" s="1278" t="s">
        <v>640</v>
      </c>
      <c r="E45" s="5315"/>
      <c r="F45" s="5315"/>
      <c r="G45" s="5315"/>
      <c r="H45" s="5315"/>
      <c r="I45" s="5335"/>
      <c r="J45" s="5312" t="str">
        <f>I44&amp;".1"</f>
        <v>...1.1</v>
      </c>
      <c r="K45" s="1278"/>
      <c r="L45" s="1279" t="s">
        <v>525</v>
      </c>
      <c r="P45" s="5313"/>
      <c r="Q45" s="5313">
        <v>1</v>
      </c>
      <c r="R45" s="281"/>
      <c r="S45" s="1402"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383</v>
      </c>
      <c r="B46" s="1278" t="s">
        <v>384</v>
      </c>
      <c r="C46" s="1278" t="s">
        <v>385</v>
      </c>
      <c r="D46" s="1278" t="s">
        <v>640</v>
      </c>
      <c r="E46" s="5315"/>
      <c r="F46" s="5315"/>
      <c r="G46" s="5315"/>
      <c r="H46" s="5315"/>
      <c r="I46" s="5335"/>
      <c r="J46" s="5335"/>
      <c r="K46" s="5312" t="str">
        <f>J45&amp;".1"</f>
        <v>...1.1.1</v>
      </c>
      <c r="L46" s="1279"/>
      <c r="P46" s="5313"/>
      <c r="Q46" s="5313"/>
      <c r="R46" s="281">
        <v>1</v>
      </c>
      <c r="S46" s="1402" t="str">
        <f>$K46</f>
        <v>...1.1.1</v>
      </c>
      <c r="T46" s="1351"/>
      <c r="U46" s="218"/>
      <c r="V46" s="1275"/>
      <c r="W46" s="1275"/>
      <c r="X46" s="1276"/>
      <c r="Y46" s="5319"/>
      <c r="Z46" s="5320" t="s">
        <v>62</v>
      </c>
      <c r="AA46" s="5319"/>
      <c r="AB46" s="5320" t="s">
        <v>62</v>
      </c>
      <c r="AC46" s="667"/>
      <c r="AD46" s="667"/>
      <c r="AE46" s="1175"/>
      <c r="AF46" s="5317"/>
      <c r="AG46" s="5161" t="s">
        <v>62</v>
      </c>
      <c r="AH46" s="5336"/>
      <c r="AI46" s="5161" t="s">
        <v>57</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383</v>
      </c>
      <c r="B47" s="1278" t="s">
        <v>384</v>
      </c>
      <c r="C47" s="1278" t="s">
        <v>385</v>
      </c>
      <c r="D47" s="1278" t="s">
        <v>640</v>
      </c>
      <c r="E47" s="5315"/>
      <c r="F47" s="5315"/>
      <c r="G47" s="5315"/>
      <c r="H47" s="5315"/>
      <c r="I47" s="5335"/>
      <c r="J47" s="5335"/>
      <c r="K47" s="5312"/>
      <c r="L47" s="1279"/>
      <c r="P47" s="5313"/>
      <c r="Q47" s="5313"/>
      <c r="R47" s="281"/>
      <c r="S47" s="1399"/>
      <c r="T47" s="218"/>
      <c r="U47" s="218"/>
      <c r="V47" s="1275"/>
      <c r="W47" s="1275"/>
      <c r="X47" s="254" t="str">
        <f>Y46&amp;"-"&amp;AA46</f>
        <v>-</v>
      </c>
      <c r="Y47" s="5320"/>
      <c r="Z47" s="5320"/>
      <c r="AA47" s="5320"/>
      <c r="AB47" s="5320"/>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383</v>
      </c>
      <c r="B48" s="1278" t="s">
        <v>384</v>
      </c>
      <c r="C48" s="1278" t="s">
        <v>385</v>
      </c>
      <c r="D48" s="1278" t="s">
        <v>640</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383</v>
      </c>
      <c r="B49" s="1278" t="s">
        <v>384</v>
      </c>
      <c r="C49" s="1278" t="s">
        <v>385</v>
      </c>
      <c r="D49" s="1278" t="s">
        <v>640</v>
      </c>
      <c r="E49" s="5315"/>
      <c r="F49" s="5315"/>
      <c r="G49" s="5315"/>
      <c r="H49" s="5315"/>
      <c r="I49" s="5312"/>
      <c r="J49" s="1278"/>
      <c r="K49" s="1278"/>
      <c r="L49" s="1279"/>
      <c r="P49" s="5313"/>
      <c r="Q49" s="1390"/>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383</v>
      </c>
      <c r="B50" s="1278" t="s">
        <v>384</v>
      </c>
      <c r="C50" s="1278" t="s">
        <v>385</v>
      </c>
      <c r="D50" s="1278" t="s">
        <v>640</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383</v>
      </c>
      <c r="B51" s="1259" t="s">
        <v>384</v>
      </c>
      <c r="C51" s="1231"/>
      <c r="D51" s="1231"/>
      <c r="E51" s="5315"/>
      <c r="F51" s="5314"/>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383</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8" hidden="1" customWidth="1"/>
    <col min="13" max="14" width="12.28515625" style="2171" hidden="1" customWidth="1"/>
    <col min="15" max="15" width="23.42578125" style="2171" hidden="1" customWidth="1"/>
    <col min="16" max="16" width="3.7109375" style="4589"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402"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96"/>
      <c r="Q3" s="276"/>
      <c r="R3" s="277"/>
      <c r="S3" s="1402"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402" t="e">
        <f>INDEX(PT_DIFFERENTIATION_NUM_CS,MATCH(C4,PT_DIFFERENTIATION_CS_ID,0))</f>
        <v>#N/A</v>
      </c>
      <c r="T4" s="229" t="s">
        <v>636</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637</v>
      </c>
      <c r="AM4" s="425"/>
      <c r="AN4" s="425" t="str">
        <f t="shared" si="0"/>
        <v>Наименование централизованной системы водоотведения</v>
      </c>
      <c r="AO4" s="425"/>
      <c r="AP4" s="425"/>
    </row>
    <row r="5" spans="1:42" ht="23.25" hidden="1" customHeight="1">
      <c r="A5" s="1278"/>
      <c r="B5" s="1278"/>
      <c r="C5" s="1278"/>
      <c r="D5" s="1278"/>
      <c r="E5" s="5315"/>
      <c r="F5" s="5315"/>
      <c r="G5" s="5315"/>
      <c r="H5" s="5315"/>
      <c r="I5" s="5312" t="e">
        <f>S4&amp;".1"</f>
        <v>#N/A</v>
      </c>
      <c r="J5" s="1278"/>
      <c r="K5" s="1278"/>
      <c r="L5" s="1279"/>
      <c r="P5" s="5313">
        <v>1</v>
      </c>
      <c r="Q5" s="1390"/>
      <c r="R5" s="280"/>
      <c r="S5" s="1402"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402"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402"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99"/>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90"/>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87"/>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87"/>
      <c r="M19" s="1277"/>
      <c r="N19" s="1277"/>
      <c r="O19" s="1277"/>
      <c r="P19" s="1277"/>
      <c r="Q19" s="1286"/>
      <c r="R19" s="1286"/>
      <c r="S19" s="647"/>
      <c r="AB19" s="1281"/>
      <c r="AI19" s="1281"/>
      <c r="AL19" s="436"/>
      <c r="AM19" s="436"/>
      <c r="AN19" s="436"/>
      <c r="AO19" s="436"/>
      <c r="AP19" s="436"/>
    </row>
    <row r="20" spans="1:42" s="1832" customFormat="1" ht="12" hidden="1" customHeight="1">
      <c r="L20" s="1387"/>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5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92" t="s">
        <v>611</v>
      </c>
      <c r="W38" s="5151" t="s">
        <v>551</v>
      </c>
      <c r="X38" s="5150"/>
      <c r="Y38" s="5151" t="s">
        <v>552</v>
      </c>
      <c r="Z38" s="5156"/>
      <c r="AA38" s="5150"/>
      <c r="AB38" s="5327"/>
      <c r="AC38" s="1392" t="s">
        <v>611</v>
      </c>
      <c r="AD38" s="5151" t="s">
        <v>551</v>
      </c>
      <c r="AE38" s="5150"/>
      <c r="AF38" s="5151" t="s">
        <v>552</v>
      </c>
      <c r="AG38" s="5156"/>
      <c r="AH38" s="5150"/>
      <c r="AI38" s="5327"/>
      <c r="AJ38" s="5330"/>
      <c r="AK38" s="5180"/>
    </row>
    <row r="39" spans="1:42" ht="86.2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92" t="s">
        <v>638</v>
      </c>
      <c r="W39" s="1127" t="s">
        <v>639</v>
      </c>
      <c r="X39" s="1127" t="s">
        <v>616</v>
      </c>
      <c r="Y39" s="1398" t="s">
        <v>562</v>
      </c>
      <c r="Z39" s="5282" t="s">
        <v>563</v>
      </c>
      <c r="AA39" s="5284"/>
      <c r="AB39" s="5328"/>
      <c r="AC39" s="1392" t="s">
        <v>638</v>
      </c>
      <c r="AD39" s="1127" t="s">
        <v>639</v>
      </c>
      <c r="AE39" s="1127" t="s">
        <v>616</v>
      </c>
      <c r="AF39" s="1398" t="s">
        <v>562</v>
      </c>
      <c r="AG39" s="5282" t="s">
        <v>563</v>
      </c>
      <c r="AH39" s="5284"/>
      <c r="AI39" s="5328"/>
      <c r="AJ39" s="5331"/>
      <c r="AK39" s="5180"/>
    </row>
    <row r="40" spans="1:42" s="1818"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91">
        <f ca="1">OFFSET(V40,0,-1)+1</f>
        <v>3</v>
      </c>
      <c r="W40" s="1391">
        <f ca="1">OFFSET(W40,0,-1)+1</f>
        <v>4</v>
      </c>
      <c r="X40" s="1391">
        <f ca="1">OFFSET(X40,0,-1)+1</f>
        <v>5</v>
      </c>
      <c r="Y40" s="1391">
        <f ca="1">OFFSET(Y40,0,-1)+1</f>
        <v>6</v>
      </c>
      <c r="Z40" s="5321">
        <f ca="1">OFFSET(Z40,0,-1)+1</f>
        <v>7</v>
      </c>
      <c r="AA40" s="5321"/>
      <c r="AB40" s="1391">
        <f ca="1">OFFSET(AB40,0,-2)+1</f>
        <v>8</v>
      </c>
      <c r="AC40" s="1391">
        <f ca="1">OFFSET(AC40,0,-1)+1</f>
        <v>9</v>
      </c>
      <c r="AD40" s="1391">
        <f ca="1">OFFSET(AD40,0,-1)+1</f>
        <v>10</v>
      </c>
      <c r="AE40" s="1391">
        <f ca="1">OFFSET(AE40,0,-1)+1</f>
        <v>11</v>
      </c>
      <c r="AF40" s="1391">
        <f ca="1">OFFSET(AF40,0,-1)+1</f>
        <v>12</v>
      </c>
      <c r="AG40" s="5321">
        <f ca="1">OFFSET(AG40,0,-1)+1</f>
        <v>13</v>
      </c>
      <c r="AH40" s="5321"/>
      <c r="AI40" s="1391">
        <f ca="1">OFFSET(AI40,0,-2)+1</f>
        <v>14</v>
      </c>
      <c r="AJ40" s="1153">
        <f ca="1">OFFSET(AJ40,0,-1)</f>
        <v>14</v>
      </c>
      <c r="AK40" s="1391">
        <f ca="1">OFFSET(AK40,0,-1)+1</f>
        <v>15</v>
      </c>
      <c r="AL40" s="436"/>
      <c r="AM40" s="436"/>
      <c r="AN40" s="436"/>
      <c r="AO40" s="436"/>
      <c r="AP40" s="436"/>
    </row>
    <row r="41" spans="1:42" ht="23.25" customHeight="1">
      <c r="A41" s="1278" t="s">
        <v>388</v>
      </c>
      <c r="B41" s="1278"/>
      <c r="C41" s="1278"/>
      <c r="D41" s="1278"/>
      <c r="E41" s="5314">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388</v>
      </c>
      <c r="B42" s="1278" t="s">
        <v>389</v>
      </c>
      <c r="C42" s="1278"/>
      <c r="D42" s="1278"/>
      <c r="E42" s="5315"/>
      <c r="F42" s="5314">
        <v>1</v>
      </c>
      <c r="G42" s="1278"/>
      <c r="H42" s="1278"/>
      <c r="I42" s="1278"/>
      <c r="J42" s="1278"/>
      <c r="K42" s="1278"/>
      <c r="L42" s="1279"/>
      <c r="M42" s="1280"/>
      <c r="N42" s="1280"/>
      <c r="O42" s="1280"/>
      <c r="P42" s="1396"/>
      <c r="Q42" s="276"/>
      <c r="R42" s="277"/>
      <c r="S42" s="1402"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388</v>
      </c>
      <c r="B43" s="1278" t="s">
        <v>389</v>
      </c>
      <c r="C43" s="1278" t="s">
        <v>390</v>
      </c>
      <c r="D43" s="1278"/>
      <c r="E43" s="5315"/>
      <c r="F43" s="5315"/>
      <c r="G43" s="5314">
        <v>1</v>
      </c>
      <c r="H43" s="1278"/>
      <c r="I43" s="1278"/>
      <c r="J43" s="1278"/>
      <c r="K43" s="1278"/>
      <c r="L43" s="1279"/>
      <c r="M43" s="1280"/>
      <c r="N43" s="1280"/>
      <c r="O43" s="1280"/>
      <c r="P43" s="278"/>
      <c r="Q43" s="276"/>
      <c r="R43" s="277"/>
      <c r="S43" s="1402" t="str">
        <f>INDEX(PT_DIFFERENTIATION_NUM_CS,MATCH(C43,PT_DIFFERENTIATION_CS_ID,0))</f>
        <v>..</v>
      </c>
      <c r="T43" s="229" t="s">
        <v>636</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637</v>
      </c>
      <c r="AM43" s="425"/>
      <c r="AN43" s="425" t="str">
        <f t="shared" si="1"/>
        <v>Наименование централизованной системы водоотведения</v>
      </c>
      <c r="AO43" s="425"/>
      <c r="AP43" s="425"/>
    </row>
    <row r="44" spans="1:42" ht="23.25" customHeight="1">
      <c r="A44" s="1278" t="s">
        <v>388</v>
      </c>
      <c r="B44" s="1278" t="s">
        <v>389</v>
      </c>
      <c r="C44" s="1278" t="s">
        <v>390</v>
      </c>
      <c r="D44" s="1278" t="s">
        <v>641</v>
      </c>
      <c r="E44" s="5315"/>
      <c r="F44" s="5315"/>
      <c r="G44" s="5315"/>
      <c r="H44" s="5315"/>
      <c r="I44" s="5312" t="str">
        <f>S43&amp;".1"</f>
        <v>...1</v>
      </c>
      <c r="J44" s="1278"/>
      <c r="K44" s="1278"/>
      <c r="L44" s="1279"/>
      <c r="P44" s="5313">
        <v>1</v>
      </c>
      <c r="Q44" s="1390"/>
      <c r="R44" s="280"/>
      <c r="S44" s="1402"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388</v>
      </c>
      <c r="B45" s="1278" t="s">
        <v>389</v>
      </c>
      <c r="C45" s="1278" t="s">
        <v>390</v>
      </c>
      <c r="D45" s="1278" t="s">
        <v>641</v>
      </c>
      <c r="E45" s="5315"/>
      <c r="F45" s="5315"/>
      <c r="G45" s="5315"/>
      <c r="H45" s="5315"/>
      <c r="I45" s="5335"/>
      <c r="J45" s="5312" t="str">
        <f>I44&amp;".1"</f>
        <v>...1.1</v>
      </c>
      <c r="K45" s="1278"/>
      <c r="L45" s="1279" t="s">
        <v>525</v>
      </c>
      <c r="P45" s="5313"/>
      <c r="Q45" s="5313">
        <v>1</v>
      </c>
      <c r="R45" s="281"/>
      <c r="S45" s="1402"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388</v>
      </c>
      <c r="B46" s="1278" t="s">
        <v>389</v>
      </c>
      <c r="C46" s="1278" t="s">
        <v>390</v>
      </c>
      <c r="D46" s="1278" t="s">
        <v>641</v>
      </c>
      <c r="E46" s="5315"/>
      <c r="F46" s="5315"/>
      <c r="G46" s="5315"/>
      <c r="H46" s="5315"/>
      <c r="I46" s="5335"/>
      <c r="J46" s="5335"/>
      <c r="K46" s="5312" t="str">
        <f>J45&amp;".1"</f>
        <v>...1.1.1</v>
      </c>
      <c r="L46" s="1279"/>
      <c r="P46" s="5313"/>
      <c r="Q46" s="5313"/>
      <c r="R46" s="281">
        <v>1</v>
      </c>
      <c r="S46" s="1402" t="str">
        <f>$K46</f>
        <v>...1.1.1</v>
      </c>
      <c r="T46" s="1351"/>
      <c r="U46" s="218"/>
      <c r="V46" s="1275"/>
      <c r="W46" s="1275"/>
      <c r="X46" s="1276"/>
      <c r="Y46" s="5319"/>
      <c r="Z46" s="5320" t="s">
        <v>62</v>
      </c>
      <c r="AA46" s="5319"/>
      <c r="AB46" s="5320" t="s">
        <v>62</v>
      </c>
      <c r="AC46" s="667"/>
      <c r="AD46" s="667"/>
      <c r="AE46" s="1175"/>
      <c r="AF46" s="5317"/>
      <c r="AG46" s="5161" t="s">
        <v>62</v>
      </c>
      <c r="AH46" s="5336"/>
      <c r="AI46" s="5161" t="s">
        <v>57</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388</v>
      </c>
      <c r="B47" s="1278" t="s">
        <v>389</v>
      </c>
      <c r="C47" s="1278" t="s">
        <v>390</v>
      </c>
      <c r="D47" s="1278" t="s">
        <v>641</v>
      </c>
      <c r="E47" s="5315"/>
      <c r="F47" s="5315"/>
      <c r="G47" s="5315"/>
      <c r="H47" s="5315"/>
      <c r="I47" s="5335"/>
      <c r="J47" s="5335"/>
      <c r="K47" s="5312"/>
      <c r="L47" s="1279"/>
      <c r="P47" s="5313"/>
      <c r="Q47" s="5313"/>
      <c r="R47" s="281"/>
      <c r="S47" s="1399"/>
      <c r="T47" s="218"/>
      <c r="U47" s="218"/>
      <c r="V47" s="1275"/>
      <c r="W47" s="1275"/>
      <c r="X47" s="254" t="str">
        <f>Y46&amp;"-"&amp;AA46</f>
        <v>-</v>
      </c>
      <c r="Y47" s="5320"/>
      <c r="Z47" s="5320"/>
      <c r="AA47" s="5320"/>
      <c r="AB47" s="5320"/>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388</v>
      </c>
      <c r="B48" s="1278" t="s">
        <v>389</v>
      </c>
      <c r="C48" s="1278" t="s">
        <v>390</v>
      </c>
      <c r="D48" s="1278" t="s">
        <v>641</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388</v>
      </c>
      <c r="B49" s="1278" t="s">
        <v>389</v>
      </c>
      <c r="C49" s="1278" t="s">
        <v>390</v>
      </c>
      <c r="D49" s="1278" t="s">
        <v>641</v>
      </c>
      <c r="E49" s="5315"/>
      <c r="F49" s="5315"/>
      <c r="G49" s="5315"/>
      <c r="H49" s="5315"/>
      <c r="I49" s="5312"/>
      <c r="J49" s="1278"/>
      <c r="K49" s="1278"/>
      <c r="L49" s="1279"/>
      <c r="P49" s="5313"/>
      <c r="Q49" s="1390"/>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388</v>
      </c>
      <c r="B50" s="1278" t="s">
        <v>389</v>
      </c>
      <c r="C50" s="1278" t="s">
        <v>390</v>
      </c>
      <c r="D50" s="1278" t="s">
        <v>641</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388</v>
      </c>
      <c r="B51" s="1259" t="s">
        <v>389</v>
      </c>
      <c r="C51" s="1231"/>
      <c r="D51" s="1231"/>
      <c r="E51" s="5315"/>
      <c r="F51" s="5314"/>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388</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4588" hidden="1" customWidth="1"/>
    <col min="13" max="14" width="12.28515625" style="2171" hidden="1" customWidth="1"/>
    <col min="15" max="15" width="23.42578125" style="2171" hidden="1" customWidth="1"/>
    <col min="16" max="16" width="3.7109375" style="2171" hidden="1" customWidth="1"/>
    <col min="17" max="17" width="3.7109375" style="2172" hidden="1" customWidth="1"/>
    <col min="18" max="18" width="3.7109375" style="3147" customWidth="1"/>
    <col min="19" max="19" width="12.7109375" style="3148" customWidth="1"/>
    <col min="20" max="20" width="32" style="2112" customWidth="1"/>
    <col min="21" max="21" width="0.140625" style="2112" customWidth="1"/>
    <col min="22" max="25" width="21.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2" width="3.7109375" style="2112" customWidth="1"/>
    <col min="33" max="33" width="24.7109375" style="2112" customWidth="1"/>
    <col min="34" max="36" width="3.7109375" style="2112" customWidth="1"/>
    <col min="37" max="37" width="24.7109375" style="2112" customWidth="1"/>
    <col min="38" max="40" width="3.7109375" style="2112" customWidth="1"/>
    <col min="41" max="41" width="18.85546875" style="2112" customWidth="1"/>
    <col min="42" max="44" width="3.7109375" style="2112" customWidth="1"/>
    <col min="45" max="45" width="18.85546875" style="2112" customWidth="1"/>
    <col min="46" max="49" width="21.7109375" style="2112" customWidth="1"/>
    <col min="50" max="50" width="11.7109375" style="2112" customWidth="1"/>
    <col min="51" max="51" width="3.7109375" style="2112" customWidth="1"/>
    <col min="52" max="52" width="11.7109375" style="2112" customWidth="1"/>
    <col min="53" max="53" width="8.5703125" style="2112" hidden="1" customWidth="1"/>
    <col min="54" max="54" width="4.7109375" style="2112" customWidth="1"/>
    <col min="55" max="55" width="115.7109375" style="2112"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5314">
        <v>1</v>
      </c>
      <c r="F2" s="1278"/>
      <c r="G2" s="1278"/>
      <c r="H2" s="1278"/>
      <c r="I2" s="1278"/>
      <c r="J2" s="1278"/>
      <c r="K2" s="1278"/>
      <c r="L2" s="1279"/>
      <c r="M2" s="1280"/>
      <c r="N2" s="1280"/>
      <c r="O2" s="1280"/>
      <c r="P2" s="1324"/>
      <c r="Q2" s="785"/>
      <c r="R2" s="279"/>
      <c r="S2" s="1402" t="e">
        <f>INDEX(PT_DIFFERENTIATION_NUM_NTAR,MATCH(A2,PT_DIFFERENTIATION_NTAR_ID,0))</f>
        <v>#N/A</v>
      </c>
      <c r="T2" s="216" t="s">
        <v>127</v>
      </c>
      <c r="U2" s="218"/>
      <c r="V2" s="5301"/>
      <c r="W2" s="5301"/>
      <c r="X2" s="5301"/>
      <c r="Y2" s="5301"/>
      <c r="Z2" s="5301"/>
      <c r="AA2" s="5301"/>
      <c r="AB2" s="5301"/>
      <c r="AC2" s="5302"/>
      <c r="AD2" s="5300" t="e">
        <f>INDEX(PT_DIFFERENTIATION_NTAR,MATCH(A2,PT_DIFFERENTIATION_NTAR_ID,0))</f>
        <v>#N/A</v>
      </c>
      <c r="AE2" s="5301"/>
      <c r="AF2" s="5301"/>
      <c r="AG2" s="5301"/>
      <c r="AH2" s="5301"/>
      <c r="AI2" s="5301"/>
      <c r="AJ2" s="5301"/>
      <c r="AK2" s="5301"/>
      <c r="AL2" s="5301"/>
      <c r="AM2" s="5301"/>
      <c r="AN2" s="5301"/>
      <c r="AO2" s="5301"/>
      <c r="AP2" s="5301"/>
      <c r="AQ2" s="5301"/>
      <c r="AR2" s="5301"/>
      <c r="AS2" s="5301"/>
      <c r="AT2" s="5301"/>
      <c r="AU2" s="5301"/>
      <c r="AV2" s="5301"/>
      <c r="AW2" s="5301"/>
      <c r="AX2" s="5301"/>
      <c r="AY2" s="5301"/>
      <c r="AZ2" s="5301"/>
      <c r="BA2" s="5301"/>
      <c r="BB2" s="530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5315"/>
      <c r="F3" s="5314">
        <v>1</v>
      </c>
      <c r="G3" s="1278"/>
      <c r="H3" s="1278"/>
      <c r="I3" s="1278"/>
      <c r="J3" s="1278"/>
      <c r="K3" s="1278"/>
      <c r="L3" s="1279"/>
      <c r="M3" s="1280"/>
      <c r="N3" s="1280"/>
      <c r="O3" s="1280"/>
      <c r="P3" s="1325"/>
      <c r="Q3" s="1326"/>
      <c r="R3" s="277"/>
      <c r="S3" s="1402" t="e">
        <f>INDEX(PT_DIFFERENTIATION_NUM_TER,MATCH(B3,PT_DIFFERENTIATION_TER_ID,0))</f>
        <v>#N/A</v>
      </c>
      <c r="T3" s="228" t="s">
        <v>516</v>
      </c>
      <c r="U3" s="218"/>
      <c r="V3" s="5301"/>
      <c r="W3" s="5301"/>
      <c r="X3" s="5301"/>
      <c r="Y3" s="5301"/>
      <c r="Z3" s="5301"/>
      <c r="AA3" s="5301"/>
      <c r="AB3" s="5301"/>
      <c r="AC3" s="5302"/>
      <c r="AD3" s="5300" t="e">
        <f>INDEX(PT_DIFFERENTIATION_TER,MATCH(B3,PT_DIFFERENTIATION_TER_ID,0))</f>
        <v>#N/A</v>
      </c>
      <c r="AE3" s="5301"/>
      <c r="AF3" s="5301"/>
      <c r="AG3" s="5301"/>
      <c r="AH3" s="5301"/>
      <c r="AI3" s="5301"/>
      <c r="AJ3" s="5301"/>
      <c r="AK3" s="5301"/>
      <c r="AL3" s="5301"/>
      <c r="AM3" s="5301"/>
      <c r="AN3" s="5301"/>
      <c r="AO3" s="5301"/>
      <c r="AP3" s="5301"/>
      <c r="AQ3" s="5301"/>
      <c r="AR3" s="5301"/>
      <c r="AS3" s="5301"/>
      <c r="AT3" s="5301"/>
      <c r="AU3" s="5301"/>
      <c r="AV3" s="5301"/>
      <c r="AW3" s="5301"/>
      <c r="AX3" s="5301"/>
      <c r="AY3" s="5301"/>
      <c r="AZ3" s="5301"/>
      <c r="BA3" s="5301"/>
      <c r="BB3" s="5302"/>
      <c r="BC3" s="1176" t="s">
        <v>517</v>
      </c>
      <c r="BE3" s="425"/>
      <c r="BF3" s="425" t="str">
        <f t="shared" si="0"/>
        <v>Территория действия тарифа</v>
      </c>
      <c r="BG3" s="425"/>
      <c r="BH3" s="425"/>
    </row>
    <row r="4" spans="1:60" ht="33.75" hidden="1" customHeight="1">
      <c r="A4" s="1278"/>
      <c r="B4" s="1278"/>
      <c r="C4" s="1278"/>
      <c r="D4" s="1278"/>
      <c r="E4" s="5315"/>
      <c r="F4" s="5315"/>
      <c r="G4" s="5314">
        <v>1</v>
      </c>
      <c r="H4" s="1278"/>
      <c r="I4" s="1278"/>
      <c r="J4" s="1278"/>
      <c r="K4" s="1278"/>
      <c r="L4" s="1279"/>
      <c r="M4" s="1280"/>
      <c r="N4" s="1280"/>
      <c r="O4" s="1280"/>
      <c r="P4" s="1327"/>
      <c r="Q4" s="1326"/>
      <c r="R4" s="277"/>
      <c r="S4" s="1402" t="e">
        <f>INDEX(PT_DIFFERENTIATION_NUM_CS,MATCH(C4,PT_DIFFERENTIATION_CS_ID,0))</f>
        <v>#N/A</v>
      </c>
      <c r="T4" s="229" t="s">
        <v>636</v>
      </c>
      <c r="U4" s="218"/>
      <c r="V4" s="5301"/>
      <c r="W4" s="5301"/>
      <c r="X4" s="5301"/>
      <c r="Y4" s="5301"/>
      <c r="Z4" s="5301"/>
      <c r="AA4" s="5301"/>
      <c r="AB4" s="5301"/>
      <c r="AC4" s="5302"/>
      <c r="AD4" s="5300" t="e">
        <f>INDEX(PT_DIFFERENTIATION_CS,MATCH(C4,PT_DIFFERENTIATION_CS_ID,0))</f>
        <v>#N/A</v>
      </c>
      <c r="AE4" s="5301"/>
      <c r="AF4" s="5301"/>
      <c r="AG4" s="5301"/>
      <c r="AH4" s="5301"/>
      <c r="AI4" s="5301"/>
      <c r="AJ4" s="5301"/>
      <c r="AK4" s="5301"/>
      <c r="AL4" s="5301"/>
      <c r="AM4" s="5301"/>
      <c r="AN4" s="5301"/>
      <c r="AO4" s="5301"/>
      <c r="AP4" s="5301"/>
      <c r="AQ4" s="5301"/>
      <c r="AR4" s="5301"/>
      <c r="AS4" s="5301"/>
      <c r="AT4" s="5301"/>
      <c r="AU4" s="5301"/>
      <c r="AV4" s="5301"/>
      <c r="AW4" s="5301"/>
      <c r="AX4" s="5301"/>
      <c r="AY4" s="5301"/>
      <c r="AZ4" s="5301"/>
      <c r="BA4" s="5301"/>
      <c r="BB4" s="5302"/>
      <c r="BC4" s="1176" t="s">
        <v>637</v>
      </c>
      <c r="BE4" s="425"/>
      <c r="BF4" s="425" t="str">
        <f t="shared" si="0"/>
        <v>Наименование централизованной системы водоотведения</v>
      </c>
      <c r="BG4" s="425"/>
      <c r="BH4" s="425"/>
    </row>
    <row r="5" spans="1:60" s="1819" customFormat="1" ht="14.25" hidden="1" customHeight="1">
      <c r="A5" s="1259"/>
      <c r="B5" s="1259"/>
      <c r="C5" s="1259"/>
      <c r="D5" s="1259"/>
      <c r="E5" s="5315"/>
      <c r="F5" s="5315"/>
      <c r="G5" s="5315"/>
      <c r="H5" s="5314">
        <v>1</v>
      </c>
      <c r="I5" s="1259"/>
      <c r="J5" s="1259"/>
      <c r="K5" s="1259"/>
      <c r="L5" s="1262"/>
      <c r="M5" s="1232"/>
      <c r="N5" s="1232"/>
      <c r="O5" s="1232"/>
      <c r="P5" s="1406"/>
      <c r="Q5" s="1407"/>
      <c r="R5" s="281"/>
      <c r="S5" s="948"/>
      <c r="T5" s="1408"/>
      <c r="U5" s="1299"/>
      <c r="V5" s="5342"/>
      <c r="W5" s="5342"/>
      <c r="X5" s="5342"/>
      <c r="Y5" s="5342"/>
      <c r="Z5" s="5342"/>
      <c r="AA5" s="5342"/>
      <c r="AB5" s="5342"/>
      <c r="AC5" s="5343"/>
      <c r="AD5" s="5341"/>
      <c r="AE5" s="5342"/>
      <c r="AF5" s="5342"/>
      <c r="AG5" s="5342"/>
      <c r="AH5" s="5342"/>
      <c r="AI5" s="5342"/>
      <c r="AJ5" s="5342"/>
      <c r="AK5" s="5342"/>
      <c r="AL5" s="5342"/>
      <c r="AM5" s="5342"/>
      <c r="AN5" s="5342"/>
      <c r="AO5" s="5342"/>
      <c r="AP5" s="5342"/>
      <c r="AQ5" s="5342"/>
      <c r="AR5" s="5342"/>
      <c r="AS5" s="5342"/>
      <c r="AT5" s="5342"/>
      <c r="AU5" s="5342"/>
      <c r="AV5" s="5342"/>
      <c r="AW5" s="5342"/>
      <c r="AX5" s="5342"/>
      <c r="AY5" s="5342"/>
      <c r="AZ5" s="5342"/>
      <c r="BA5" s="5342"/>
      <c r="BB5" s="5343"/>
      <c r="BC5" s="1300" t="s">
        <v>521</v>
      </c>
      <c r="BE5" s="425"/>
      <c r="BF5" s="425" t="str">
        <f t="shared" si="0"/>
        <v/>
      </c>
      <c r="BG5" s="425"/>
      <c r="BH5" s="425"/>
    </row>
    <row r="6" spans="1:60" s="1819" customFormat="1" ht="14.25" hidden="1" customHeight="1">
      <c r="A6" s="1259"/>
      <c r="B6" s="1259"/>
      <c r="C6" s="1259"/>
      <c r="D6" s="1259"/>
      <c r="E6" s="5315"/>
      <c r="F6" s="5315"/>
      <c r="G6" s="5315"/>
      <c r="H6" s="5315"/>
      <c r="I6" s="5312" t="str">
        <f>S5&amp;".1"</f>
        <v>.1</v>
      </c>
      <c r="J6" s="1259"/>
      <c r="K6" s="1259"/>
      <c r="L6" s="1262" t="s">
        <v>522</v>
      </c>
      <c r="M6" s="435"/>
      <c r="N6" s="435"/>
      <c r="O6" s="435"/>
      <c r="P6" s="5313">
        <v>1</v>
      </c>
      <c r="Q6" s="1390"/>
      <c r="R6" s="280"/>
      <c r="S6" s="948"/>
      <c r="T6" s="1298"/>
      <c r="U6" s="1299"/>
      <c r="V6" s="5342"/>
      <c r="W6" s="5342"/>
      <c r="X6" s="5342"/>
      <c r="Y6" s="5342"/>
      <c r="Z6" s="5342"/>
      <c r="AA6" s="5342"/>
      <c r="AB6" s="5342"/>
      <c r="AC6" s="5343"/>
      <c r="AD6" s="5341"/>
      <c r="AE6" s="5342"/>
      <c r="AF6" s="5342"/>
      <c r="AG6" s="5342"/>
      <c r="AH6" s="5342"/>
      <c r="AI6" s="5342"/>
      <c r="AJ6" s="5342"/>
      <c r="AK6" s="5342"/>
      <c r="AL6" s="5342"/>
      <c r="AM6" s="5342"/>
      <c r="AN6" s="5342"/>
      <c r="AO6" s="5342"/>
      <c r="AP6" s="5342"/>
      <c r="AQ6" s="5342"/>
      <c r="AR6" s="5342"/>
      <c r="AS6" s="5342"/>
      <c r="AT6" s="5342"/>
      <c r="AU6" s="5342"/>
      <c r="AV6" s="5342"/>
      <c r="AW6" s="5342"/>
      <c r="AX6" s="5342"/>
      <c r="AY6" s="5342"/>
      <c r="AZ6" s="5342"/>
      <c r="BA6" s="5342"/>
      <c r="BB6" s="5343"/>
      <c r="BC6" s="1300"/>
      <c r="BE6" s="425"/>
      <c r="BF6" s="425" t="str">
        <f t="shared" si="0"/>
        <v/>
      </c>
      <c r="BG6" s="425"/>
      <c r="BH6" s="425"/>
    </row>
    <row r="7" spans="1:60" s="1819" customFormat="1" ht="14.25" hidden="1" customHeight="1">
      <c r="A7" s="1259"/>
      <c r="B7" s="1259"/>
      <c r="C7" s="1259"/>
      <c r="D7" s="1259"/>
      <c r="E7" s="5315"/>
      <c r="F7" s="5315"/>
      <c r="G7" s="5315"/>
      <c r="H7" s="5315"/>
      <c r="I7" s="5335"/>
      <c r="J7" s="5312" t="str">
        <f>S5&amp;".1"</f>
        <v>.1</v>
      </c>
      <c r="K7" s="1259"/>
      <c r="L7" s="1262"/>
      <c r="M7" s="435"/>
      <c r="N7" s="435"/>
      <c r="O7" s="435"/>
      <c r="P7" s="5313"/>
      <c r="Q7" s="5313">
        <v>1</v>
      </c>
      <c r="R7" s="281"/>
      <c r="S7" s="948"/>
      <c r="T7" s="1314"/>
      <c r="U7" s="1299"/>
      <c r="V7" s="5342"/>
      <c r="W7" s="5342"/>
      <c r="X7" s="5342"/>
      <c r="Y7" s="5342"/>
      <c r="Z7" s="5342"/>
      <c r="AA7" s="5342"/>
      <c r="AB7" s="5342"/>
      <c r="AC7" s="5343"/>
      <c r="AD7" s="5341"/>
      <c r="AE7" s="5342"/>
      <c r="AF7" s="5342"/>
      <c r="AG7" s="5342"/>
      <c r="AH7" s="5342"/>
      <c r="AI7" s="5342"/>
      <c r="AJ7" s="5342"/>
      <c r="AK7" s="5342"/>
      <c r="AL7" s="5342"/>
      <c r="AM7" s="5342"/>
      <c r="AN7" s="5342"/>
      <c r="AO7" s="5342"/>
      <c r="AP7" s="5342"/>
      <c r="AQ7" s="5342"/>
      <c r="AR7" s="5342"/>
      <c r="AS7" s="5342"/>
      <c r="AT7" s="5342"/>
      <c r="AU7" s="5342"/>
      <c r="AV7" s="5342"/>
      <c r="AW7" s="5342"/>
      <c r="AX7" s="5342"/>
      <c r="AY7" s="5342"/>
      <c r="AZ7" s="5342"/>
      <c r="BA7" s="5342"/>
      <c r="BB7" s="5343"/>
      <c r="BC7" s="1300"/>
      <c r="BE7" s="425"/>
      <c r="BF7" s="425" t="str">
        <f t="shared" si="0"/>
        <v/>
      </c>
      <c r="BG7" s="425"/>
      <c r="BH7" s="425"/>
    </row>
    <row r="8" spans="1:60" ht="11.25" hidden="1" customHeight="1">
      <c r="A8" s="1278"/>
      <c r="B8" s="1278"/>
      <c r="C8" s="1278"/>
      <c r="D8" s="1278"/>
      <c r="E8" s="5315"/>
      <c r="F8" s="5315"/>
      <c r="G8" s="5315"/>
      <c r="H8" s="5315"/>
      <c r="I8" s="5335"/>
      <c r="J8" s="5335"/>
      <c r="K8" s="5312" t="e">
        <f>S4&amp;".1"</f>
        <v>#N/A</v>
      </c>
      <c r="L8" s="1279"/>
      <c r="P8" s="5313"/>
      <c r="Q8" s="5313"/>
      <c r="R8" s="5370">
        <v>1</v>
      </c>
      <c r="S8" s="5364" t="e">
        <f>$K8</f>
        <v>#N/A</v>
      </c>
      <c r="T8" s="5382"/>
      <c r="U8" s="218"/>
      <c r="V8" s="667"/>
      <c r="W8" s="1175"/>
      <c r="X8" s="667"/>
      <c r="Y8" s="1175"/>
      <c r="Z8" s="1642"/>
      <c r="AA8" s="1379" t="s">
        <v>62</v>
      </c>
      <c r="AB8" s="1642"/>
      <c r="AC8" s="1379" t="s">
        <v>62</v>
      </c>
      <c r="AD8" s="5240" t="s">
        <v>62</v>
      </c>
      <c r="AE8" s="5350"/>
      <c r="AF8" s="5269">
        <v>1</v>
      </c>
      <c r="AG8" s="5386"/>
      <c r="AH8" s="5161" t="s">
        <v>62</v>
      </c>
      <c r="AI8" s="5350"/>
      <c r="AJ8" s="5269">
        <v>1</v>
      </c>
      <c r="AK8" s="5385" t="s">
        <v>24</v>
      </c>
      <c r="AL8" s="5161" t="s">
        <v>62</v>
      </c>
      <c r="AM8" s="5259"/>
      <c r="AN8" s="5269">
        <v>1</v>
      </c>
      <c r="AO8" s="5379"/>
      <c r="AP8" s="5380" t="s">
        <v>62</v>
      </c>
      <c r="AQ8" s="231"/>
      <c r="AR8" s="1395">
        <v>1</v>
      </c>
      <c r="AS8" s="1401" t="s">
        <v>24</v>
      </c>
      <c r="AT8" s="667"/>
      <c r="AU8" s="1175"/>
      <c r="AV8" s="667"/>
      <c r="AW8" s="1175"/>
      <c r="AX8" s="1642"/>
      <c r="AY8" s="1379" t="s">
        <v>62</v>
      </c>
      <c r="AZ8" s="1642"/>
      <c r="BA8" s="1379" t="s">
        <v>62</v>
      </c>
      <c r="BB8" s="1264"/>
      <c r="BC8" s="5309" t="s">
        <v>621</v>
      </c>
      <c r="BE8" s="425"/>
      <c r="BF8" s="425" t="str">
        <f t="shared" si="0"/>
        <v/>
      </c>
      <c r="BG8" s="425"/>
      <c r="BH8" s="425"/>
    </row>
    <row r="9" spans="1:60" ht="11.25" hidden="1" customHeight="1">
      <c r="A9" s="1278"/>
      <c r="B9" s="1278"/>
      <c r="C9" s="1278"/>
      <c r="D9" s="1278"/>
      <c r="E9" s="5315"/>
      <c r="F9" s="5315"/>
      <c r="G9" s="5315"/>
      <c r="H9" s="5315"/>
      <c r="I9" s="5335"/>
      <c r="J9" s="5335"/>
      <c r="K9" s="5312"/>
      <c r="L9" s="1279"/>
      <c r="P9" s="5313"/>
      <c r="Q9" s="5313"/>
      <c r="R9" s="5370"/>
      <c r="S9" s="5365"/>
      <c r="T9" s="5383"/>
      <c r="U9" s="218"/>
      <c r="V9" s="1308"/>
      <c r="W9" s="1405"/>
      <c r="X9" s="1308"/>
      <c r="Y9" s="1405"/>
      <c r="Z9" s="1308"/>
      <c r="AA9" s="1308"/>
      <c r="AB9" s="1308"/>
      <c r="AC9" s="1308"/>
      <c r="AD9" s="5241"/>
      <c r="AE9" s="5350"/>
      <c r="AF9" s="5269"/>
      <c r="AG9" s="5386"/>
      <c r="AH9" s="5161"/>
      <c r="AI9" s="5350"/>
      <c r="AJ9" s="5269"/>
      <c r="AK9" s="5385"/>
      <c r="AL9" s="5161"/>
      <c r="AM9" s="5264"/>
      <c r="AN9" s="5269"/>
      <c r="AO9" s="5379"/>
      <c r="AP9" s="5381"/>
      <c r="AQ9" s="238"/>
      <c r="AR9" s="349"/>
      <c r="AS9" s="349" t="s">
        <v>622</v>
      </c>
      <c r="AT9" s="1308"/>
      <c r="AU9" s="1405"/>
      <c r="AV9" s="1308"/>
      <c r="AW9" s="1405"/>
      <c r="AX9" s="1308"/>
      <c r="AY9" s="1308"/>
      <c r="AZ9" s="1308"/>
      <c r="BA9" s="1308"/>
      <c r="BB9" s="1312"/>
      <c r="BC9" s="5310"/>
      <c r="BE9" s="425"/>
      <c r="BF9" s="425"/>
      <c r="BG9" s="425"/>
      <c r="BH9" s="425"/>
    </row>
    <row r="10" spans="1:60" ht="11.25" hidden="1" customHeight="1">
      <c r="A10" s="1278"/>
      <c r="B10" s="1278"/>
      <c r="C10" s="1278"/>
      <c r="D10" s="1278"/>
      <c r="E10" s="5315"/>
      <c r="F10" s="5315"/>
      <c r="G10" s="5315"/>
      <c r="H10" s="5315"/>
      <c r="I10" s="5335"/>
      <c r="J10" s="5335"/>
      <c r="K10" s="5312"/>
      <c r="L10" s="1279"/>
      <c r="P10" s="5313"/>
      <c r="Q10" s="5313"/>
      <c r="R10" s="5370"/>
      <c r="S10" s="5365"/>
      <c r="T10" s="5383"/>
      <c r="U10" s="218"/>
      <c r="V10" s="1308"/>
      <c r="W10" s="1405"/>
      <c r="X10" s="1308"/>
      <c r="Y10" s="1405"/>
      <c r="Z10" s="1308"/>
      <c r="AA10" s="1308"/>
      <c r="AB10" s="1308"/>
      <c r="AC10" s="1308"/>
      <c r="AD10" s="5241"/>
      <c r="AE10" s="5350"/>
      <c r="AF10" s="5269"/>
      <c r="AG10" s="5386"/>
      <c r="AH10" s="5161"/>
      <c r="AI10" s="5350"/>
      <c r="AJ10" s="5269"/>
      <c r="AK10" s="5385"/>
      <c r="AL10" s="5161"/>
      <c r="AM10" s="238"/>
      <c r="AN10" s="1409"/>
      <c r="AO10" s="1409" t="s">
        <v>642</v>
      </c>
      <c r="AP10" s="349"/>
      <c r="AQ10" s="349"/>
      <c r="AR10" s="349"/>
      <c r="AS10" s="1308"/>
      <c r="AT10" s="1308"/>
      <c r="AU10" s="1405"/>
      <c r="AV10" s="1308"/>
      <c r="AW10" s="1405"/>
      <c r="AX10" s="1308"/>
      <c r="AY10" s="1308"/>
      <c r="AZ10" s="1308"/>
      <c r="BA10" s="1308"/>
      <c r="BB10" s="1312"/>
      <c r="BC10" s="5310"/>
      <c r="BE10" s="425"/>
      <c r="BF10" s="425"/>
      <c r="BG10" s="425"/>
      <c r="BH10" s="425"/>
    </row>
    <row r="11" spans="1:60" ht="11.25" hidden="1" customHeight="1">
      <c r="A11" s="1278"/>
      <c r="B11" s="1278"/>
      <c r="C11" s="1278"/>
      <c r="D11" s="1278"/>
      <c r="E11" s="5315"/>
      <c r="F11" s="5315"/>
      <c r="G11" s="5315"/>
      <c r="H11" s="5315"/>
      <c r="I11" s="5335"/>
      <c r="J11" s="5335"/>
      <c r="K11" s="5312"/>
      <c r="L11" s="1279"/>
      <c r="P11" s="5313"/>
      <c r="Q11" s="5313"/>
      <c r="R11" s="5370"/>
      <c r="S11" s="5365"/>
      <c r="T11" s="5383"/>
      <c r="U11" s="218"/>
      <c r="V11" s="1308"/>
      <c r="W11" s="1405"/>
      <c r="X11" s="1308"/>
      <c r="Y11" s="1405"/>
      <c r="Z11" s="1308"/>
      <c r="AA11" s="1308"/>
      <c r="AB11" s="1308"/>
      <c r="AC11" s="1308"/>
      <c r="AD11" s="5241"/>
      <c r="AE11" s="5350"/>
      <c r="AF11" s="5269"/>
      <c r="AG11" s="5386"/>
      <c r="AH11" s="5161"/>
      <c r="AI11" s="212"/>
      <c r="AJ11" s="348"/>
      <c r="AK11" s="233" t="s">
        <v>643</v>
      </c>
      <c r="AL11" s="1308"/>
      <c r="AM11" s="1308"/>
      <c r="AN11" s="1308"/>
      <c r="AO11" s="1308"/>
      <c r="AP11" s="1308"/>
      <c r="AQ11" s="1308"/>
      <c r="AR11" s="1308"/>
      <c r="AS11" s="1308"/>
      <c r="AT11" s="1308"/>
      <c r="AU11" s="1405"/>
      <c r="AV11" s="1308"/>
      <c r="AW11" s="1405"/>
      <c r="AX11" s="1308"/>
      <c r="AY11" s="1308"/>
      <c r="AZ11" s="1308"/>
      <c r="BA11" s="1308"/>
      <c r="BB11" s="1312"/>
      <c r="BC11" s="5310"/>
      <c r="BE11" s="425"/>
      <c r="BF11" s="425"/>
      <c r="BG11" s="425"/>
      <c r="BH11" s="425"/>
    </row>
    <row r="12" spans="1:60" ht="11.25" hidden="1" customHeight="1">
      <c r="A12" s="1278"/>
      <c r="B12" s="1278"/>
      <c r="C12" s="1278"/>
      <c r="D12" s="1278"/>
      <c r="E12" s="5315"/>
      <c r="F12" s="5315"/>
      <c r="G12" s="5315"/>
      <c r="H12" s="5315"/>
      <c r="I12" s="5335"/>
      <c r="J12" s="5335"/>
      <c r="K12" s="5312"/>
      <c r="L12" s="1279"/>
      <c r="P12" s="5313"/>
      <c r="Q12" s="5313"/>
      <c r="R12" s="5370"/>
      <c r="S12" s="5366"/>
      <c r="T12" s="5384"/>
      <c r="U12" s="218"/>
      <c r="V12" s="1308"/>
      <c r="W12" s="1309" t="str">
        <f>Z8&amp;"-"&amp;AB8</f>
        <v>-</v>
      </c>
      <c r="X12" s="1308"/>
      <c r="Y12" s="1309" t="str">
        <f>AB8&amp;"-"&amp;AD8</f>
        <v>-да</v>
      </c>
      <c r="Z12" s="1308"/>
      <c r="AA12" s="1308"/>
      <c r="AB12" s="1308"/>
      <c r="AC12" s="1308"/>
      <c r="AD12" s="5166"/>
      <c r="AE12" s="232"/>
      <c r="AF12" s="234"/>
      <c r="AG12" s="349" t="s">
        <v>625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5310"/>
      <c r="BE12" s="425"/>
      <c r="BF12" s="425" t="str">
        <f t="shared" ref="BF12:BF18" si="1">IF(T12="","",T12)</f>
        <v/>
      </c>
      <c r="BG12" s="425"/>
      <c r="BH12" s="425"/>
    </row>
    <row r="13" spans="1:60" ht="11.25" hidden="1" customHeight="1">
      <c r="A13" s="1278"/>
      <c r="B13" s="1278"/>
      <c r="C13" s="1278"/>
      <c r="D13" s="1278"/>
      <c r="E13" s="5315"/>
      <c r="F13" s="5315"/>
      <c r="G13" s="5315"/>
      <c r="H13" s="5315"/>
      <c r="I13" s="5335"/>
      <c r="J13" s="5312"/>
      <c r="K13" s="1278"/>
      <c r="L13" s="1279"/>
      <c r="P13" s="5313"/>
      <c r="Q13" s="5313"/>
      <c r="R13" s="280"/>
      <c r="S13" s="1197"/>
      <c r="T13" s="205" t="s">
        <v>589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5311"/>
      <c r="BE13" s="425"/>
      <c r="BF13" s="425" t="str">
        <f t="shared" si="1"/>
        <v>Добавить строку</v>
      </c>
      <c r="BG13" s="425"/>
      <c r="BH13" s="425"/>
    </row>
    <row r="14" spans="1:60" s="1819" customFormat="1" ht="14.25" hidden="1" customHeight="1">
      <c r="A14" s="1259"/>
      <c r="B14" s="1259"/>
      <c r="C14" s="1259"/>
      <c r="D14" s="1259"/>
      <c r="E14" s="5315"/>
      <c r="F14" s="5315"/>
      <c r="G14" s="5315"/>
      <c r="H14" s="5315"/>
      <c r="I14" s="5312"/>
      <c r="J14" s="1259"/>
      <c r="K14" s="1259"/>
      <c r="L14" s="1262"/>
      <c r="M14" s="435"/>
      <c r="N14" s="435"/>
      <c r="O14" s="435"/>
      <c r="P14" s="5313"/>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5315"/>
      <c r="F15" s="5315"/>
      <c r="G15" s="5315"/>
      <c r="H15" s="5314"/>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167" customFormat="1" ht="14.25" hidden="1" customHeight="1">
      <c r="A16" s="1259"/>
      <c r="B16" s="1259"/>
      <c r="C16" s="1259"/>
      <c r="D16" s="1231"/>
      <c r="E16" s="5315"/>
      <c r="F16" s="5315"/>
      <c r="G16" s="5314"/>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167" customFormat="1" ht="14.25" hidden="1" customHeight="1">
      <c r="A17" s="1259"/>
      <c r="B17" s="1259"/>
      <c r="C17" s="1231"/>
      <c r="D17" s="1231"/>
      <c r="E17" s="5315"/>
      <c r="F17" s="5314"/>
      <c r="G17" s="1231"/>
      <c r="H17" s="1231"/>
      <c r="I17" s="1231"/>
      <c r="J17" s="1231"/>
      <c r="K17" s="1231"/>
      <c r="L17" s="1403"/>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5314"/>
      <c r="F18" s="1259"/>
      <c r="G18" s="1259"/>
      <c r="H18" s="1259"/>
      <c r="I18" s="1259"/>
      <c r="J18" s="1259"/>
      <c r="K18" s="1259"/>
      <c r="L18" s="1262"/>
      <c r="M18" s="1238"/>
      <c r="N18" s="1238"/>
      <c r="O18" s="443"/>
      <c r="P18" s="312"/>
      <c r="Q18" s="1260"/>
      <c r="R18" s="312"/>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533</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4582" customFormat="1" ht="14.25" hidden="1" customHeight="1">
      <c r="M24" s="1417"/>
      <c r="N24" s="1417"/>
      <c r="O24" s="1418" t="s">
        <v>534</v>
      </c>
      <c r="P24" s="1417"/>
      <c r="Q24" s="1419"/>
      <c r="R24" s="1419"/>
      <c r="AA24" s="1416" t="s">
        <v>536</v>
      </c>
      <c r="AC24" s="1416" t="s">
        <v>537</v>
      </c>
      <c r="AD24" s="1416" t="s">
        <v>590</v>
      </c>
      <c r="AH24" s="1416" t="s">
        <v>590</v>
      </c>
      <c r="AK24" s="1416" t="s">
        <v>626</v>
      </c>
      <c r="AL24" s="1416" t="s">
        <v>590</v>
      </c>
      <c r="AP24" s="1416" t="s">
        <v>590</v>
      </c>
      <c r="AY24" s="1416" t="s">
        <v>536</v>
      </c>
      <c r="BA24" s="1416" t="s">
        <v>537</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52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5298"/>
      <c r="U28" s="5298"/>
      <c r="V28" s="5298"/>
      <c r="W28" s="5298"/>
      <c r="X28" s="5298"/>
      <c r="Y28" s="5298"/>
      <c r="Z28" s="5298"/>
      <c r="AA28" s="5298"/>
      <c r="AB28" s="5298"/>
      <c r="AC28" s="5298"/>
      <c r="AD28" s="5298"/>
      <c r="AE28" s="5298"/>
      <c r="AF28" s="5298"/>
      <c r="AG28" s="5298"/>
      <c r="AH28" s="5298"/>
      <c r="AI28" s="5298"/>
      <c r="AJ28" s="5298"/>
      <c r="AK28" s="5298"/>
      <c r="AL28" s="5298"/>
      <c r="AM28" s="5298"/>
      <c r="AN28" s="5298"/>
      <c r="AO28" s="5298"/>
      <c r="AP28" s="5298"/>
      <c r="AQ28" s="5298"/>
      <c r="AR28" s="5298"/>
      <c r="AS28" s="5298"/>
      <c r="AT28" s="5298"/>
      <c r="AU28" s="5298"/>
      <c r="AV28" s="5298"/>
      <c r="AW28" s="5298"/>
      <c r="AX28" s="5298"/>
      <c r="AY28" s="5298"/>
      <c r="AZ28" s="5298"/>
      <c r="BA28" s="1151"/>
    </row>
    <row r="29" spans="1:60" ht="14.25" customHeight="1">
      <c r="Q29" s="209"/>
      <c r="R29" s="304"/>
      <c r="S29" s="5245" t="str">
        <f>IF(org=0,"Не определено",org)</f>
        <v>ПАО "ТГК-1" (филиал "Кольский")</v>
      </c>
      <c r="T29" s="5245"/>
      <c r="U29" s="5245"/>
      <c r="V29" s="5245"/>
      <c r="W29" s="5245"/>
      <c r="X29" s="5245"/>
      <c r="Y29" s="5245"/>
      <c r="Z29" s="5245"/>
      <c r="AA29" s="5245"/>
      <c r="AB29" s="5245"/>
      <c r="AC29" s="5245"/>
      <c r="AD29" s="5245"/>
      <c r="AE29" s="5245"/>
      <c r="AF29" s="5245"/>
      <c r="AG29" s="5245"/>
      <c r="AH29" s="5245"/>
      <c r="AI29" s="5245"/>
      <c r="AJ29" s="5245"/>
      <c r="AK29" s="5245"/>
      <c r="AL29" s="5245"/>
      <c r="AM29" s="5245"/>
      <c r="AN29" s="5245"/>
      <c r="AO29" s="5245"/>
      <c r="AP29" s="5245"/>
      <c r="AQ29" s="5245"/>
      <c r="AR29" s="5245"/>
      <c r="AS29" s="5245"/>
      <c r="AT29" s="5245"/>
      <c r="AU29" s="5245"/>
      <c r="AV29" s="5245"/>
      <c r="AW29" s="5245"/>
      <c r="AX29" s="5245"/>
      <c r="AY29" s="5245"/>
      <c r="AZ29" s="524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180" customFormat="1" ht="25.5" customHeight="1">
      <c r="A31" s="1283"/>
      <c r="B31" s="1283"/>
      <c r="C31" s="1283"/>
      <c r="D31" s="1283"/>
      <c r="E31" s="1283"/>
      <c r="F31" s="1283"/>
      <c r="G31" s="1283"/>
      <c r="H31" s="1283"/>
      <c r="I31" s="1283"/>
      <c r="J31" s="1283"/>
      <c r="K31" s="1283"/>
      <c r="L31" s="1284"/>
      <c r="M31" s="1283"/>
      <c r="N31" s="1283"/>
      <c r="O31" s="1283"/>
      <c r="P31" s="1283"/>
      <c r="Q31" s="1283"/>
      <c r="S31" s="5306" t="s">
        <v>38</v>
      </c>
      <c r="T31" s="5306"/>
      <c r="U31" s="1287"/>
      <c r="V31" s="5307" t="str">
        <f>IF(TITLE_NAME_OR_PR_CHANGE="",IF(TITLE_NAME_OR_PR="","",TITLE_NAME_OR_PR),TITLE_NAME_OR_PR_CHANGE)</f>
        <v>Комитет по тарифному регулированию Мурманской области</v>
      </c>
      <c r="W31" s="5307"/>
      <c r="X31" s="5307"/>
      <c r="Y31" s="5307"/>
      <c r="Z31" s="5307"/>
      <c r="AA31" s="5307"/>
      <c r="AB31" s="5307"/>
      <c r="AC31" s="252"/>
      <c r="AD31" s="5307" t="str">
        <f>IF(TITLE_NAME_OR_PR_CHANGE="",IF(TITLE_NAME_OR_PR="","",TITLE_NAME_OR_PR),TITLE_NAME_OR_PR_CHANGE)</f>
        <v>Комитет по тарифному регулированию Мурманской области</v>
      </c>
      <c r="AE31" s="5307"/>
      <c r="AF31" s="5307"/>
      <c r="AG31" s="5307"/>
      <c r="AH31" s="5307"/>
      <c r="AI31" s="5307"/>
      <c r="AJ31" s="5307"/>
      <c r="AK31" s="5307"/>
      <c r="AL31" s="5307"/>
      <c r="AM31" s="5307"/>
      <c r="AN31" s="5307"/>
      <c r="AO31" s="5307"/>
      <c r="AP31" s="5307"/>
      <c r="AQ31" s="5307"/>
      <c r="AR31" s="5307"/>
      <c r="AS31" s="5307"/>
      <c r="AT31" s="5307"/>
      <c r="AU31" s="5307"/>
      <c r="AV31" s="5307"/>
      <c r="AW31" s="5307"/>
      <c r="AX31" s="5307"/>
      <c r="AY31" s="5307"/>
      <c r="AZ31" s="5307"/>
      <c r="BA31" s="252"/>
      <c r="BB31" s="252"/>
      <c r="BC31" s="199"/>
      <c r="BD31" s="295"/>
      <c r="BE31" s="295"/>
      <c r="BF31" s="295"/>
      <c r="BG31" s="295"/>
      <c r="BH31" s="295"/>
    </row>
    <row r="32" spans="1:60" s="2180" customFormat="1" ht="18.75" customHeight="1">
      <c r="A32" s="1283"/>
      <c r="B32" s="1283"/>
      <c r="C32" s="1283"/>
      <c r="D32" s="1283"/>
      <c r="E32" s="1283"/>
      <c r="F32" s="1283"/>
      <c r="G32" s="1283"/>
      <c r="H32" s="1283"/>
      <c r="I32" s="1283"/>
      <c r="J32" s="1283"/>
      <c r="K32" s="1283"/>
      <c r="L32" s="1284"/>
      <c r="M32" s="1283"/>
      <c r="N32" s="1283"/>
      <c r="O32" s="1283"/>
      <c r="P32" s="1283"/>
      <c r="Q32" s="1283"/>
      <c r="S32" s="5306" t="s">
        <v>539</v>
      </c>
      <c r="T32" s="5306"/>
      <c r="U32" s="1287"/>
      <c r="V32" s="5316">
        <f>IF(TITLE_DATE_PR_CHANGE="",IF(TITLE_DATE_PR="","",TITLE_DATE_PR),TITLE_DATE_PR_CHANGE)</f>
        <v>45646.340555555558</v>
      </c>
      <c r="W32" s="5316"/>
      <c r="X32" s="5316"/>
      <c r="Y32" s="5316"/>
      <c r="Z32" s="5316"/>
      <c r="AA32" s="5316"/>
      <c r="AB32" s="5316"/>
      <c r="AC32" s="252"/>
      <c r="AD32" s="5316">
        <f>IF(TITLE_DATE_PR_CHANGE="",IF(TITLE_DATE_PR="","",TITLE_DATE_PR),TITLE_DATE_PR_CHANGE)</f>
        <v>45646.340555555558</v>
      </c>
      <c r="AE32" s="5316"/>
      <c r="AF32" s="5316"/>
      <c r="AG32" s="5316"/>
      <c r="AH32" s="5316"/>
      <c r="AI32" s="5316"/>
      <c r="AJ32" s="5316"/>
      <c r="AK32" s="5316"/>
      <c r="AL32" s="5316"/>
      <c r="AM32" s="5316"/>
      <c r="AN32" s="5316"/>
      <c r="AO32" s="5316"/>
      <c r="AP32" s="5316"/>
      <c r="AQ32" s="5316"/>
      <c r="AR32" s="5316"/>
      <c r="AS32" s="5316"/>
      <c r="AT32" s="5316"/>
      <c r="AU32" s="5316"/>
      <c r="AV32" s="5316"/>
      <c r="AW32" s="5316"/>
      <c r="AX32" s="5316"/>
      <c r="AY32" s="5316"/>
      <c r="AZ32" s="5316"/>
      <c r="BA32" s="252"/>
      <c r="BB32" s="252"/>
      <c r="BC32" s="199"/>
      <c r="BD32" s="295"/>
      <c r="BE32" s="295"/>
      <c r="BF32" s="295"/>
      <c r="BG32" s="295"/>
      <c r="BH32" s="295"/>
    </row>
    <row r="33" spans="1:60" s="2180" customFormat="1" ht="18.75" customHeight="1">
      <c r="A33" s="1283"/>
      <c r="B33" s="1283"/>
      <c r="C33" s="1283"/>
      <c r="D33" s="1283"/>
      <c r="E33" s="1283"/>
      <c r="F33" s="1283"/>
      <c r="G33" s="1283"/>
      <c r="H33" s="1283"/>
      <c r="I33" s="1283"/>
      <c r="J33" s="1283"/>
      <c r="K33" s="1283"/>
      <c r="L33" s="1284"/>
      <c r="M33" s="1283"/>
      <c r="N33" s="1283"/>
      <c r="O33" s="1283"/>
      <c r="P33" s="1283"/>
      <c r="Q33" s="1283"/>
      <c r="S33" s="5306" t="s">
        <v>540</v>
      </c>
      <c r="T33" s="5306"/>
      <c r="U33" s="1287"/>
      <c r="V33" s="5307" t="str">
        <f>IF(TITLE_NUMBER_PR_CHANGE="",IF(TITLE_NUMBER_PR="","",TITLE_NUMBER_PR),TITLE_NUMBER_PR_CHANGE)</f>
        <v>51/6; 51/7</v>
      </c>
      <c r="W33" s="5307"/>
      <c r="X33" s="5307"/>
      <c r="Y33" s="5307"/>
      <c r="Z33" s="5307"/>
      <c r="AA33" s="5307"/>
      <c r="AB33" s="5307"/>
      <c r="AC33" s="252"/>
      <c r="AD33" s="5307" t="str">
        <f>IF(TITLE_NUMBER_PR_CHANGE="",IF(TITLE_NUMBER_PR="","",TITLE_NUMBER_PR),TITLE_NUMBER_PR_CHANGE)</f>
        <v>51/6; 51/7</v>
      </c>
      <c r="AE33" s="5307"/>
      <c r="AF33" s="5307"/>
      <c r="AG33" s="5307"/>
      <c r="AH33" s="5307"/>
      <c r="AI33" s="5307"/>
      <c r="AJ33" s="5307"/>
      <c r="AK33" s="5307"/>
      <c r="AL33" s="5307"/>
      <c r="AM33" s="5307"/>
      <c r="AN33" s="5307"/>
      <c r="AO33" s="5307"/>
      <c r="AP33" s="5307"/>
      <c r="AQ33" s="5307"/>
      <c r="AR33" s="5307"/>
      <c r="AS33" s="5307"/>
      <c r="AT33" s="5307"/>
      <c r="AU33" s="5307"/>
      <c r="AV33" s="5307"/>
      <c r="AW33" s="5307"/>
      <c r="AX33" s="5307"/>
      <c r="AY33" s="5307"/>
      <c r="AZ33" s="5307"/>
      <c r="BA33" s="252"/>
      <c r="BB33" s="252"/>
      <c r="BC33" s="199"/>
      <c r="BD33" s="295"/>
      <c r="BE33" s="295"/>
      <c r="BF33" s="295"/>
      <c r="BG33" s="295"/>
      <c r="BH33" s="295"/>
    </row>
    <row r="34" spans="1:60" s="2180" customFormat="1" ht="18.75" customHeight="1">
      <c r="A34" s="1283"/>
      <c r="B34" s="1283"/>
      <c r="C34" s="1283"/>
      <c r="D34" s="1283"/>
      <c r="E34" s="1283"/>
      <c r="F34" s="1283"/>
      <c r="G34" s="1283"/>
      <c r="H34" s="1283"/>
      <c r="I34" s="1283"/>
      <c r="J34" s="1283"/>
      <c r="K34" s="1283"/>
      <c r="L34" s="1284"/>
      <c r="M34" s="1283"/>
      <c r="N34" s="1283"/>
      <c r="O34" s="1283"/>
      <c r="P34" s="1283"/>
      <c r="Q34" s="1283"/>
      <c r="S34" s="5306" t="s">
        <v>40</v>
      </c>
      <c r="T34" s="5306"/>
      <c r="U34" s="1287"/>
      <c r="V34" s="5307" t="str">
        <f>IF(TITLE_IST_PUB_CHANGE="",IF(TITLE_IST_PUB="","",TITLE_IST_PUB),TITLE_IST_PUB_CHANGE)</f>
        <v>Официальный электронный бюллетень Правительства Мурманской области</v>
      </c>
      <c r="W34" s="5307"/>
      <c r="X34" s="5307"/>
      <c r="Y34" s="5307"/>
      <c r="Z34" s="5307"/>
      <c r="AA34" s="5307"/>
      <c r="AB34" s="5307"/>
      <c r="AC34" s="252"/>
      <c r="AD34" s="5307" t="str">
        <f>IF(TITLE_IST_PUB_CHANGE="",IF(TITLE_IST_PUB="","",TITLE_IST_PUB),TITLE_IST_PUB_CHANGE)</f>
        <v>Официальный электронный бюллетень Правительства Мурманской области</v>
      </c>
      <c r="AE34" s="5307"/>
      <c r="AF34" s="5307"/>
      <c r="AG34" s="5307"/>
      <c r="AH34" s="5307"/>
      <c r="AI34" s="5307"/>
      <c r="AJ34" s="5307"/>
      <c r="AK34" s="5307"/>
      <c r="AL34" s="5307"/>
      <c r="AM34" s="5307"/>
      <c r="AN34" s="5307"/>
      <c r="AO34" s="5307"/>
      <c r="AP34" s="5307"/>
      <c r="AQ34" s="5307"/>
      <c r="AR34" s="5307"/>
      <c r="AS34" s="5307"/>
      <c r="AT34" s="5307"/>
      <c r="AU34" s="5307"/>
      <c r="AV34" s="5307"/>
      <c r="AW34" s="5307"/>
      <c r="AX34" s="5307"/>
      <c r="AY34" s="5307"/>
      <c r="AZ34" s="5307"/>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180" customFormat="1" ht="18.75" hidden="1" customHeight="1">
      <c r="A36" s="1283"/>
      <c r="B36" s="1283"/>
      <c r="C36" s="1283"/>
      <c r="D36" s="1283"/>
      <c r="E36" s="1283"/>
      <c r="F36" s="1283"/>
      <c r="G36" s="1283"/>
      <c r="H36" s="1283"/>
      <c r="I36" s="1283"/>
      <c r="J36" s="1283"/>
      <c r="K36" s="1283"/>
      <c r="L36" s="1284"/>
      <c r="M36" s="1283"/>
      <c r="N36" s="1283"/>
      <c r="O36" s="1283"/>
      <c r="P36" s="1283"/>
      <c r="Q36" s="1283"/>
      <c r="S36" s="5306" t="s">
        <v>539</v>
      </c>
      <c r="T36" s="5306"/>
      <c r="U36" s="1287"/>
      <c r="V36" s="5316">
        <f>IF(TITLE_DATE_PR_CHANGE="",IF(TITLE_DATE_PR="","",TITLE_DATE_PR),TITLE_DATE_PR_CHANGE)</f>
        <v>45646.340555555558</v>
      </c>
      <c r="W36" s="5316"/>
      <c r="X36" s="5316"/>
      <c r="Y36" s="5316"/>
      <c r="Z36" s="5316"/>
      <c r="AA36" s="5316"/>
      <c r="AB36" s="5316"/>
      <c r="AC36" s="252"/>
      <c r="AD36" s="5316">
        <f>IF(TITLE_DATE_PR_CHANGE="",IF(TITLE_DATE_PR="","",TITLE_DATE_PR),TITLE_DATE_PR_CHANGE)</f>
        <v>45646.340555555558</v>
      </c>
      <c r="AE36" s="5316"/>
      <c r="AF36" s="5316"/>
      <c r="AG36" s="5316"/>
      <c r="AH36" s="5316"/>
      <c r="AI36" s="5316"/>
      <c r="AJ36" s="5316"/>
      <c r="AK36" s="5316"/>
      <c r="AL36" s="5316"/>
      <c r="AM36" s="5316"/>
      <c r="AN36" s="5316"/>
      <c r="AO36" s="5316"/>
      <c r="AP36" s="5316"/>
      <c r="AQ36" s="5316"/>
      <c r="AR36" s="5316"/>
      <c r="AS36" s="5316"/>
      <c r="AT36" s="5316"/>
      <c r="AU36" s="5316"/>
      <c r="AV36" s="5316"/>
      <c r="AW36" s="5316"/>
      <c r="AX36" s="5316"/>
      <c r="AY36" s="5316"/>
      <c r="AZ36" s="5316"/>
      <c r="BA36" s="252"/>
      <c r="BB36" s="252"/>
      <c r="BC36" s="199"/>
      <c r="BD36" s="295"/>
      <c r="BE36" s="295"/>
      <c r="BF36" s="295"/>
      <c r="BG36" s="295"/>
      <c r="BH36" s="295"/>
    </row>
    <row r="37" spans="1:60" s="2180" customFormat="1" ht="18.75" hidden="1" customHeight="1">
      <c r="A37" s="1283"/>
      <c r="B37" s="1283"/>
      <c r="C37" s="1283"/>
      <c r="D37" s="1283"/>
      <c r="E37" s="1283"/>
      <c r="F37" s="1283"/>
      <c r="G37" s="1283"/>
      <c r="H37" s="1283"/>
      <c r="I37" s="1283"/>
      <c r="J37" s="1283"/>
      <c r="K37" s="1283"/>
      <c r="L37" s="1284"/>
      <c r="M37" s="1283"/>
      <c r="N37" s="1283"/>
      <c r="O37" s="1283"/>
      <c r="P37" s="1283"/>
      <c r="Q37" s="1283"/>
      <c r="S37" s="5306" t="s">
        <v>540</v>
      </c>
      <c r="T37" s="5306"/>
      <c r="U37" s="1287"/>
      <c r="V37" s="5307" t="str">
        <f>IF(TITLE_NUMBER_PR_CHANGE="",IF(TITLE_NUMBER_PR="","",TITLE_NUMBER_PR),TITLE_NUMBER_PR_CHANGE)</f>
        <v>51/6; 51/7</v>
      </c>
      <c r="W37" s="5307"/>
      <c r="X37" s="5307"/>
      <c r="Y37" s="5307"/>
      <c r="Z37" s="5307"/>
      <c r="AA37" s="5307"/>
      <c r="AB37" s="5307"/>
      <c r="AC37" s="252"/>
      <c r="AD37" s="5307" t="str">
        <f>IF(TITLE_NUMBER_PR_CHANGE="",IF(TITLE_NUMBER_PR="","",TITLE_NUMBER_PR),TITLE_NUMBER_PR_CHANGE)</f>
        <v>51/6; 51/7</v>
      </c>
      <c r="AE37" s="5307"/>
      <c r="AF37" s="5307"/>
      <c r="AG37" s="5307"/>
      <c r="AH37" s="5307"/>
      <c r="AI37" s="5307"/>
      <c r="AJ37" s="5307"/>
      <c r="AK37" s="5307"/>
      <c r="AL37" s="5307"/>
      <c r="AM37" s="5307"/>
      <c r="AN37" s="5307"/>
      <c r="AO37" s="5307"/>
      <c r="AP37" s="5307"/>
      <c r="AQ37" s="5307"/>
      <c r="AR37" s="5307"/>
      <c r="AS37" s="5307"/>
      <c r="AT37" s="5307"/>
      <c r="AU37" s="5307"/>
      <c r="AV37" s="5307"/>
      <c r="AW37" s="5307"/>
      <c r="AX37" s="5307"/>
      <c r="AY37" s="5307"/>
      <c r="AZ37" s="5307"/>
      <c r="BA37" s="252"/>
      <c r="BB37" s="252"/>
      <c r="BC37" s="199"/>
      <c r="BD37" s="295"/>
      <c r="BE37" s="295"/>
      <c r="BF37" s="295"/>
      <c r="BG37" s="295"/>
      <c r="BH37" s="295"/>
    </row>
    <row r="38" spans="1:60" s="218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543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543</v>
      </c>
      <c r="BD38" s="295"/>
      <c r="BE38" s="295"/>
      <c r="BF38" s="295"/>
      <c r="BG38" s="295"/>
      <c r="BH38" s="295"/>
    </row>
    <row r="39" spans="1:60" ht="14.25" customHeight="1">
      <c r="Q39" s="209"/>
      <c r="R39" s="304"/>
      <c r="S39" s="1194"/>
      <c r="T39" s="289"/>
      <c r="U39" s="1152"/>
      <c r="V39" s="5308"/>
      <c r="W39" s="5308"/>
      <c r="X39" s="5308"/>
      <c r="Y39" s="5308"/>
      <c r="Z39" s="5308"/>
      <c r="AA39" s="5308"/>
      <c r="AB39" s="5308"/>
      <c r="AC39" s="5308"/>
      <c r="AD39" s="5308"/>
      <c r="AE39" s="5308"/>
      <c r="AF39" s="5308"/>
      <c r="AG39" s="5308"/>
      <c r="AH39" s="5308"/>
      <c r="AI39" s="5308"/>
      <c r="AJ39" s="5308"/>
      <c r="AK39" s="5308"/>
      <c r="AL39" s="5308"/>
      <c r="AM39" s="5308"/>
      <c r="AN39" s="5308"/>
      <c r="AO39" s="5308"/>
      <c r="AP39" s="5308"/>
      <c r="AQ39" s="5308"/>
      <c r="AR39" s="5308"/>
      <c r="AS39" s="5308"/>
      <c r="AT39" s="5308"/>
      <c r="AU39" s="5308"/>
      <c r="AV39" s="5308"/>
      <c r="AW39" s="5308"/>
      <c r="AX39" s="5308"/>
      <c r="AY39" s="5308"/>
      <c r="AZ39" s="5308"/>
      <c r="BA39" s="5308"/>
    </row>
    <row r="40" spans="1:60" ht="14.25" customHeight="1">
      <c r="Q40" s="209"/>
      <c r="R40" s="304"/>
      <c r="S40" s="5180" t="s">
        <v>417</v>
      </c>
      <c r="T40" s="5180"/>
      <c r="U40" s="5180"/>
      <c r="V40" s="5180"/>
      <c r="W40" s="5180"/>
      <c r="X40" s="5180"/>
      <c r="Y40" s="5180"/>
      <c r="Z40" s="5180"/>
      <c r="AA40" s="5180"/>
      <c r="AB40" s="5180"/>
      <c r="AC40" s="5180"/>
      <c r="AD40" s="5180"/>
      <c r="AE40" s="5180"/>
      <c r="AF40" s="5180"/>
      <c r="AG40" s="5180"/>
      <c r="AH40" s="5180"/>
      <c r="AI40" s="5180"/>
      <c r="AJ40" s="5180"/>
      <c r="AK40" s="5180"/>
      <c r="AL40" s="5180"/>
      <c r="AM40" s="5180"/>
      <c r="AN40" s="5180"/>
      <c r="AO40" s="5180"/>
      <c r="AP40" s="5180"/>
      <c r="AQ40" s="5180"/>
      <c r="AR40" s="5180"/>
      <c r="AS40" s="5180"/>
      <c r="AT40" s="5180"/>
      <c r="AU40" s="5180"/>
      <c r="AV40" s="5180"/>
      <c r="AW40" s="5180"/>
      <c r="AX40" s="5180"/>
      <c r="AY40" s="5180"/>
      <c r="AZ40" s="5180"/>
      <c r="BA40" s="5180"/>
      <c r="BB40" s="5180"/>
      <c r="BC40" s="5180" t="s">
        <v>418</v>
      </c>
    </row>
    <row r="41" spans="1:60" ht="14.25" customHeight="1">
      <c r="Q41" s="209"/>
      <c r="R41" s="304"/>
      <c r="S41" s="5322" t="s">
        <v>83</v>
      </c>
      <c r="T41" s="5274" t="s">
        <v>627</v>
      </c>
      <c r="U41" s="219"/>
      <c r="V41" s="5323" t="s">
        <v>545</v>
      </c>
      <c r="W41" s="5324"/>
      <c r="X41" s="5324"/>
      <c r="Y41" s="5324"/>
      <c r="Z41" s="5324"/>
      <c r="AA41" s="5324"/>
      <c r="AB41" s="5325"/>
      <c r="AC41" s="5326" t="s">
        <v>546</v>
      </c>
      <c r="AD41" s="5352" t="s">
        <v>644</v>
      </c>
      <c r="AE41" s="5338"/>
      <c r="AF41" s="5338"/>
      <c r="AG41" s="5353"/>
      <c r="AH41" s="5352" t="s">
        <v>645</v>
      </c>
      <c r="AI41" s="5338"/>
      <c r="AJ41" s="5338"/>
      <c r="AK41" s="5353"/>
      <c r="AL41" s="5352" t="s">
        <v>646</v>
      </c>
      <c r="AM41" s="5338"/>
      <c r="AN41" s="5338"/>
      <c r="AO41" s="5353"/>
      <c r="AP41" s="5352" t="s">
        <v>631</v>
      </c>
      <c r="AQ41" s="5338"/>
      <c r="AR41" s="5338"/>
      <c r="AS41" s="5353"/>
      <c r="AT41" s="5323" t="s">
        <v>545</v>
      </c>
      <c r="AU41" s="5324"/>
      <c r="AV41" s="5324"/>
      <c r="AW41" s="5324"/>
      <c r="AX41" s="5324"/>
      <c r="AY41" s="5324"/>
      <c r="AZ41" s="5325"/>
      <c r="BA41" s="5326" t="s">
        <v>546</v>
      </c>
      <c r="BB41" s="5329" t="s">
        <v>548</v>
      </c>
      <c r="BC41" s="5180"/>
    </row>
    <row r="42" spans="1:60" ht="33.75" customHeight="1">
      <c r="Q42" s="209"/>
      <c r="R42" s="304"/>
      <c r="S42" s="5322"/>
      <c r="T42" s="5274"/>
      <c r="U42" s="937"/>
      <c r="V42" s="5259" t="s">
        <v>632</v>
      </c>
      <c r="W42" s="5260"/>
      <c r="X42" s="5259" t="s">
        <v>633</v>
      </c>
      <c r="Y42" s="5260"/>
      <c r="Z42" s="5259" t="s">
        <v>634</v>
      </c>
      <c r="AA42" s="5347"/>
      <c r="AB42" s="5260"/>
      <c r="AC42" s="5327"/>
      <c r="AD42" s="5354"/>
      <c r="AE42" s="5355"/>
      <c r="AF42" s="5355"/>
      <c r="AG42" s="5356"/>
      <c r="AH42" s="5354"/>
      <c r="AI42" s="5355"/>
      <c r="AJ42" s="5355"/>
      <c r="AK42" s="5356"/>
      <c r="AL42" s="5354"/>
      <c r="AM42" s="5355"/>
      <c r="AN42" s="5355"/>
      <c r="AO42" s="5356"/>
      <c r="AP42" s="5354"/>
      <c r="AQ42" s="5355"/>
      <c r="AR42" s="5355"/>
      <c r="AS42" s="5356"/>
      <c r="AT42" s="5259" t="s">
        <v>647</v>
      </c>
      <c r="AU42" s="5260"/>
      <c r="AV42" s="5259" t="s">
        <v>648</v>
      </c>
      <c r="AW42" s="5260"/>
      <c r="AX42" s="5259" t="s">
        <v>634</v>
      </c>
      <c r="AY42" s="5347"/>
      <c r="AZ42" s="5260"/>
      <c r="BA42" s="5327"/>
      <c r="BB42" s="5330"/>
      <c r="BC42" s="5180"/>
    </row>
    <row r="43" spans="1:60" ht="14.25" customHeight="1">
      <c r="Q43" s="209"/>
      <c r="R43" s="304"/>
      <c r="S43" s="5322"/>
      <c r="T43" s="5274"/>
      <c r="U43" s="937"/>
      <c r="V43" s="5264"/>
      <c r="W43" s="5265"/>
      <c r="X43" s="5264"/>
      <c r="Y43" s="5265"/>
      <c r="Z43" s="5264"/>
      <c r="AA43" s="5348"/>
      <c r="AB43" s="5265"/>
      <c r="AC43" s="5327"/>
      <c r="AD43" s="5354"/>
      <c r="AE43" s="5355"/>
      <c r="AF43" s="5355"/>
      <c r="AG43" s="5356"/>
      <c r="AH43" s="5354"/>
      <c r="AI43" s="5355"/>
      <c r="AJ43" s="5355"/>
      <c r="AK43" s="5356"/>
      <c r="AL43" s="5354"/>
      <c r="AM43" s="5355"/>
      <c r="AN43" s="5355"/>
      <c r="AO43" s="5356"/>
      <c r="AP43" s="5354"/>
      <c r="AQ43" s="5355"/>
      <c r="AR43" s="5355"/>
      <c r="AS43" s="5356"/>
      <c r="AT43" s="5264"/>
      <c r="AU43" s="5265"/>
      <c r="AV43" s="5264"/>
      <c r="AW43" s="5265"/>
      <c r="AX43" s="5264"/>
      <c r="AY43" s="5348"/>
      <c r="AZ43" s="5265"/>
      <c r="BA43" s="5327"/>
      <c r="BB43" s="5330"/>
      <c r="BC43" s="5180"/>
    </row>
    <row r="44" spans="1:60" ht="14.25" customHeight="1">
      <c r="A44" s="1285"/>
      <c r="B44" s="1285" t="s">
        <v>139</v>
      </c>
      <c r="C44" s="1285" t="s">
        <v>140</v>
      </c>
      <c r="D44" s="1285" t="s">
        <v>141</v>
      </c>
      <c r="E44" s="1279" t="s">
        <v>553</v>
      </c>
      <c r="F44" s="1279" t="s">
        <v>554</v>
      </c>
      <c r="G44" s="1279" t="s">
        <v>555</v>
      </c>
      <c r="H44" s="1279" t="s">
        <v>556</v>
      </c>
      <c r="I44" s="1279" t="s">
        <v>557</v>
      </c>
      <c r="J44" s="1279" t="s">
        <v>558</v>
      </c>
      <c r="K44" s="1279" t="s">
        <v>559</v>
      </c>
      <c r="L44" s="1279" t="s">
        <v>534</v>
      </c>
      <c r="Q44" s="209"/>
      <c r="R44" s="304"/>
      <c r="S44" s="5322"/>
      <c r="T44" s="5274"/>
      <c r="U44" s="220"/>
      <c r="V44" s="1388" t="s">
        <v>600</v>
      </c>
      <c r="W44" s="1388" t="s">
        <v>601</v>
      </c>
      <c r="X44" s="1388" t="s">
        <v>600</v>
      </c>
      <c r="Y44" s="1388" t="s">
        <v>601</v>
      </c>
      <c r="Z44" s="1398" t="s">
        <v>562</v>
      </c>
      <c r="AA44" s="5282" t="s">
        <v>563</v>
      </c>
      <c r="AB44" s="5284"/>
      <c r="AC44" s="5328"/>
      <c r="AD44" s="5357"/>
      <c r="AE44" s="5358"/>
      <c r="AF44" s="5358"/>
      <c r="AG44" s="5359"/>
      <c r="AH44" s="5357"/>
      <c r="AI44" s="5358"/>
      <c r="AJ44" s="5358"/>
      <c r="AK44" s="5359"/>
      <c r="AL44" s="5357"/>
      <c r="AM44" s="5358"/>
      <c r="AN44" s="5358"/>
      <c r="AO44" s="5359"/>
      <c r="AP44" s="5357"/>
      <c r="AQ44" s="5358"/>
      <c r="AR44" s="5358"/>
      <c r="AS44" s="5359"/>
      <c r="AT44" s="1388" t="s">
        <v>600</v>
      </c>
      <c r="AU44" s="1388" t="s">
        <v>601</v>
      </c>
      <c r="AV44" s="1388" t="s">
        <v>600</v>
      </c>
      <c r="AW44" s="1388" t="s">
        <v>601</v>
      </c>
      <c r="AX44" s="1398" t="s">
        <v>562</v>
      </c>
      <c r="AY44" s="5282" t="s">
        <v>563</v>
      </c>
      <c r="AZ44" s="5284"/>
      <c r="BA44" s="5328"/>
      <c r="BB44" s="5331"/>
      <c r="BC44" s="5180"/>
    </row>
    <row r="45" spans="1:60" s="1818"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114</v>
      </c>
      <c r="T45" s="1171" t="s">
        <v>98</v>
      </c>
      <c r="U45" s="1153" t="str">
        <f ca="1">OFFSET(U45,0,-1)</f>
        <v>2</v>
      </c>
      <c r="V45" s="1391">
        <f t="shared" ref="V45:AA45" ca="1" si="2">OFFSET(V45,0,-1)+1</f>
        <v>3</v>
      </c>
      <c r="W45" s="1391">
        <f t="shared" ca="1" si="2"/>
        <v>4</v>
      </c>
      <c r="X45" s="1391">
        <f t="shared" ca="1" si="2"/>
        <v>5</v>
      </c>
      <c r="Y45" s="1391">
        <f t="shared" ca="1" si="2"/>
        <v>6</v>
      </c>
      <c r="Z45" s="1391">
        <f t="shared" ca="1" si="2"/>
        <v>7</v>
      </c>
      <c r="AA45" s="5321">
        <f t="shared" ca="1" si="2"/>
        <v>8</v>
      </c>
      <c r="AB45" s="5321"/>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5321">
        <f ca="1">OFFSET(AY45,0,-1)+1</f>
        <v>3</v>
      </c>
      <c r="AZ45" s="5321"/>
      <c r="BA45" s="1391">
        <f ca="1">OFFSET(BA45,0,-2)+1</f>
        <v>4</v>
      </c>
      <c r="BB45" s="1153">
        <f ca="1">OFFSET(BB45,0,-1)</f>
        <v>4</v>
      </c>
      <c r="BC45" s="1391">
        <f ca="1">OFFSET(BC45,0,-1)+1</f>
        <v>5</v>
      </c>
      <c r="BD45" s="436"/>
      <c r="BE45" s="436"/>
      <c r="BF45" s="436"/>
      <c r="BG45" s="436"/>
      <c r="BH45" s="436"/>
    </row>
    <row r="46" spans="1:60" ht="21" customHeight="1">
      <c r="A46" s="1278" t="s">
        <v>393</v>
      </c>
      <c r="B46" s="1278"/>
      <c r="C46" s="1278"/>
      <c r="D46" s="1278"/>
      <c r="E46" s="5314">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127</v>
      </c>
      <c r="U46" s="218"/>
      <c r="V46" s="5301"/>
      <c r="W46" s="5301"/>
      <c r="X46" s="5301"/>
      <c r="Y46" s="5301"/>
      <c r="Z46" s="5301"/>
      <c r="AA46" s="5301"/>
      <c r="AB46" s="5301"/>
      <c r="AC46" s="5302"/>
      <c r="AD46" s="5300" t="str">
        <f>INDEX(PT_DIFFERENTIATION_NTAR,MATCH(A46,PT_DIFFERENTIATION_NTAR_ID,0))</f>
        <v/>
      </c>
      <c r="AE46" s="5301"/>
      <c r="AF46" s="5301"/>
      <c r="AG46" s="5301"/>
      <c r="AH46" s="5301"/>
      <c r="AI46" s="5301"/>
      <c r="AJ46" s="5301"/>
      <c r="AK46" s="5301"/>
      <c r="AL46" s="5301"/>
      <c r="AM46" s="5301"/>
      <c r="AN46" s="5301"/>
      <c r="AO46" s="5301"/>
      <c r="AP46" s="5301"/>
      <c r="AQ46" s="5301"/>
      <c r="AR46" s="5301"/>
      <c r="AS46" s="5301"/>
      <c r="AT46" s="5301"/>
      <c r="AU46" s="5301"/>
      <c r="AV46" s="5301"/>
      <c r="AW46" s="5301"/>
      <c r="AX46" s="5301"/>
      <c r="AY46" s="5301"/>
      <c r="AZ46" s="5301"/>
      <c r="BA46" s="5301"/>
      <c r="BB46" s="530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393</v>
      </c>
      <c r="B47" s="1278" t="s">
        <v>394</v>
      </c>
      <c r="C47" s="1278"/>
      <c r="D47" s="1278"/>
      <c r="E47" s="5315"/>
      <c r="F47" s="5314">
        <v>1</v>
      </c>
      <c r="G47" s="1278"/>
      <c r="H47" s="1278"/>
      <c r="I47" s="1278"/>
      <c r="J47" s="1278"/>
      <c r="K47" s="1278"/>
      <c r="L47" s="1279"/>
      <c r="M47" s="1280"/>
      <c r="N47" s="1280"/>
      <c r="O47" s="1280"/>
      <c r="P47" s="1325"/>
      <c r="Q47" s="1326"/>
      <c r="R47" s="277"/>
      <c r="S47" s="1402" t="str">
        <f>INDEX(PT_DIFFERENTIATION_NUM_TER,MATCH(B47,PT_DIFFERENTIATION_TER_ID,0))</f>
        <v>.</v>
      </c>
      <c r="T47" s="228" t="s">
        <v>516</v>
      </c>
      <c r="U47" s="218"/>
      <c r="V47" s="5301"/>
      <c r="W47" s="5301"/>
      <c r="X47" s="5301"/>
      <c r="Y47" s="5301"/>
      <c r="Z47" s="5301"/>
      <c r="AA47" s="5301"/>
      <c r="AB47" s="5301"/>
      <c r="AC47" s="5302"/>
      <c r="AD47" s="5300" t="str">
        <f>INDEX(PT_DIFFERENTIATION_TER,MATCH(B47,PT_DIFFERENTIATION_TER_ID,0))</f>
        <v/>
      </c>
      <c r="AE47" s="5301"/>
      <c r="AF47" s="5301"/>
      <c r="AG47" s="5301"/>
      <c r="AH47" s="5301"/>
      <c r="AI47" s="5301"/>
      <c r="AJ47" s="5301"/>
      <c r="AK47" s="5301"/>
      <c r="AL47" s="5301"/>
      <c r="AM47" s="5301"/>
      <c r="AN47" s="5301"/>
      <c r="AO47" s="5301"/>
      <c r="AP47" s="5301"/>
      <c r="AQ47" s="5301"/>
      <c r="AR47" s="5301"/>
      <c r="AS47" s="5301"/>
      <c r="AT47" s="5301"/>
      <c r="AU47" s="5301"/>
      <c r="AV47" s="5301"/>
      <c r="AW47" s="5301"/>
      <c r="AX47" s="5301"/>
      <c r="AY47" s="5301"/>
      <c r="AZ47" s="5301"/>
      <c r="BA47" s="5301"/>
      <c r="BB47" s="5302"/>
      <c r="BC47" s="1176" t="s">
        <v>517</v>
      </c>
      <c r="BE47" s="425"/>
      <c r="BF47" s="425" t="str">
        <f t="shared" si="3"/>
        <v>Территория действия тарифа</v>
      </c>
      <c r="BG47" s="425"/>
      <c r="BH47" s="425"/>
    </row>
    <row r="48" spans="1:60" ht="33.75" customHeight="1">
      <c r="A48" s="1278" t="s">
        <v>393</v>
      </c>
      <c r="B48" s="1278" t="s">
        <v>394</v>
      </c>
      <c r="C48" s="1278" t="s">
        <v>395</v>
      </c>
      <c r="D48" s="1278"/>
      <c r="E48" s="5315"/>
      <c r="F48" s="5315"/>
      <c r="G48" s="5314">
        <v>1</v>
      </c>
      <c r="H48" s="1278"/>
      <c r="I48" s="1278"/>
      <c r="J48" s="1278"/>
      <c r="K48" s="1278"/>
      <c r="L48" s="1279"/>
      <c r="M48" s="1280"/>
      <c r="N48" s="1280"/>
      <c r="O48" s="1280"/>
      <c r="P48" s="1327"/>
      <c r="Q48" s="1326"/>
      <c r="R48" s="277"/>
      <c r="S48" s="1402" t="str">
        <f>INDEX(PT_DIFFERENTIATION_NUM_CS,MATCH(C48,PT_DIFFERENTIATION_CS_ID,0))</f>
        <v>..</v>
      </c>
      <c r="T48" s="229" t="s">
        <v>636</v>
      </c>
      <c r="U48" s="218"/>
      <c r="V48" s="5301"/>
      <c r="W48" s="5301"/>
      <c r="X48" s="5301"/>
      <c r="Y48" s="5301"/>
      <c r="Z48" s="5301"/>
      <c r="AA48" s="5301"/>
      <c r="AB48" s="5301"/>
      <c r="AC48" s="5302"/>
      <c r="AD48" s="5300" t="str">
        <f>INDEX(PT_DIFFERENTIATION_CS,MATCH(C48,PT_DIFFERENTIATION_CS_ID,0))</f>
        <v/>
      </c>
      <c r="AE48" s="5301"/>
      <c r="AF48" s="5301"/>
      <c r="AG48" s="5301"/>
      <c r="AH48" s="5301"/>
      <c r="AI48" s="5301"/>
      <c r="AJ48" s="5301"/>
      <c r="AK48" s="5301"/>
      <c r="AL48" s="5301"/>
      <c r="AM48" s="5301"/>
      <c r="AN48" s="5301"/>
      <c r="AO48" s="5301"/>
      <c r="AP48" s="5301"/>
      <c r="AQ48" s="5301"/>
      <c r="AR48" s="5301"/>
      <c r="AS48" s="5301"/>
      <c r="AT48" s="5301"/>
      <c r="AU48" s="5301"/>
      <c r="AV48" s="5301"/>
      <c r="AW48" s="5301"/>
      <c r="AX48" s="5301"/>
      <c r="AY48" s="5301"/>
      <c r="AZ48" s="5301"/>
      <c r="BA48" s="5301"/>
      <c r="BB48" s="5302"/>
      <c r="BC48" s="1176" t="s">
        <v>637</v>
      </c>
      <c r="BE48" s="425"/>
      <c r="BF48" s="425" t="str">
        <f t="shared" si="3"/>
        <v>Наименование централизованной системы водоотведения</v>
      </c>
      <c r="BG48" s="425"/>
      <c r="BH48" s="425"/>
    </row>
    <row r="49" spans="1:60" s="1819" customFormat="1" ht="0" hidden="1" customHeight="1">
      <c r="A49" s="1259" t="s">
        <v>393</v>
      </c>
      <c r="B49" s="1259" t="s">
        <v>394</v>
      </c>
      <c r="C49" s="1259" t="s">
        <v>395</v>
      </c>
      <c r="D49" s="1259" t="s">
        <v>649</v>
      </c>
      <c r="E49" s="5315"/>
      <c r="F49" s="5315"/>
      <c r="G49" s="5315"/>
      <c r="H49" s="5314">
        <v>1</v>
      </c>
      <c r="I49" s="1259"/>
      <c r="J49" s="1259"/>
      <c r="K49" s="1259"/>
      <c r="L49" s="1262"/>
      <c r="M49" s="1232"/>
      <c r="N49" s="1232"/>
      <c r="O49" s="1232"/>
      <c r="P49" s="1406"/>
      <c r="Q49" s="1407"/>
      <c r="R49" s="281"/>
      <c r="S49" s="948"/>
      <c r="T49" s="1408"/>
      <c r="U49" s="1299"/>
      <c r="V49" s="5342"/>
      <c r="W49" s="5342"/>
      <c r="X49" s="5342"/>
      <c r="Y49" s="5342"/>
      <c r="Z49" s="5342"/>
      <c r="AA49" s="5342"/>
      <c r="AB49" s="5342"/>
      <c r="AC49" s="5343"/>
      <c r="AD49" s="5341"/>
      <c r="AE49" s="5342"/>
      <c r="AF49" s="5342"/>
      <c r="AG49" s="5342"/>
      <c r="AH49" s="5342"/>
      <c r="AI49" s="5342"/>
      <c r="AJ49" s="5342"/>
      <c r="AK49" s="5342"/>
      <c r="AL49" s="5342"/>
      <c r="AM49" s="5342"/>
      <c r="AN49" s="5342"/>
      <c r="AO49" s="5342"/>
      <c r="AP49" s="5342"/>
      <c r="AQ49" s="5342"/>
      <c r="AR49" s="5342"/>
      <c r="AS49" s="5342"/>
      <c r="AT49" s="5342"/>
      <c r="AU49" s="5342"/>
      <c r="AV49" s="5342"/>
      <c r="AW49" s="5342"/>
      <c r="AX49" s="5342"/>
      <c r="AY49" s="5342"/>
      <c r="AZ49" s="5342"/>
      <c r="BA49" s="5342"/>
      <c r="BB49" s="5343"/>
      <c r="BC49" s="1300" t="s">
        <v>521</v>
      </c>
      <c r="BE49" s="425"/>
      <c r="BF49" s="425" t="str">
        <f t="shared" si="3"/>
        <v/>
      </c>
      <c r="BG49" s="425"/>
      <c r="BH49" s="425"/>
    </row>
    <row r="50" spans="1:60" s="1819" customFormat="1" ht="0" hidden="1" customHeight="1">
      <c r="A50" s="1259" t="s">
        <v>393</v>
      </c>
      <c r="B50" s="1259" t="s">
        <v>394</v>
      </c>
      <c r="C50" s="1259" t="s">
        <v>395</v>
      </c>
      <c r="D50" s="1259" t="s">
        <v>649</v>
      </c>
      <c r="E50" s="5315"/>
      <c r="F50" s="5315"/>
      <c r="G50" s="5315"/>
      <c r="H50" s="5315"/>
      <c r="I50" s="5312" t="str">
        <f>S49&amp;".1"</f>
        <v>.1</v>
      </c>
      <c r="J50" s="1259"/>
      <c r="K50" s="1259"/>
      <c r="L50" s="1262" t="s">
        <v>522</v>
      </c>
      <c r="M50" s="435"/>
      <c r="N50" s="435"/>
      <c r="O50" s="435"/>
      <c r="P50" s="5313">
        <v>1</v>
      </c>
      <c r="Q50" s="1390"/>
      <c r="R50" s="280"/>
      <c r="S50" s="948"/>
      <c r="T50" s="1298"/>
      <c r="U50" s="1299"/>
      <c r="V50" s="5342"/>
      <c r="W50" s="5342"/>
      <c r="X50" s="5342"/>
      <c r="Y50" s="5342"/>
      <c r="Z50" s="5342"/>
      <c r="AA50" s="5342"/>
      <c r="AB50" s="5342"/>
      <c r="AC50" s="5343"/>
      <c r="AD50" s="5341"/>
      <c r="AE50" s="5342"/>
      <c r="AF50" s="5342"/>
      <c r="AG50" s="5342"/>
      <c r="AH50" s="5342"/>
      <c r="AI50" s="5342"/>
      <c r="AJ50" s="5342"/>
      <c r="AK50" s="5342"/>
      <c r="AL50" s="5342"/>
      <c r="AM50" s="5342"/>
      <c r="AN50" s="5342"/>
      <c r="AO50" s="5342"/>
      <c r="AP50" s="5342"/>
      <c r="AQ50" s="5342"/>
      <c r="AR50" s="5342"/>
      <c r="AS50" s="5342"/>
      <c r="AT50" s="5342"/>
      <c r="AU50" s="5342"/>
      <c r="AV50" s="5342"/>
      <c r="AW50" s="5342"/>
      <c r="AX50" s="5342"/>
      <c r="AY50" s="5342"/>
      <c r="AZ50" s="5342"/>
      <c r="BA50" s="5342"/>
      <c r="BB50" s="5343"/>
      <c r="BC50" s="1300"/>
      <c r="BE50" s="425"/>
      <c r="BF50" s="425" t="str">
        <f t="shared" si="3"/>
        <v/>
      </c>
      <c r="BG50" s="425"/>
      <c r="BH50" s="425"/>
    </row>
    <row r="51" spans="1:60" s="1819" customFormat="1" ht="0" hidden="1" customHeight="1">
      <c r="A51" s="1259" t="s">
        <v>393</v>
      </c>
      <c r="B51" s="1259" t="s">
        <v>394</v>
      </c>
      <c r="C51" s="1259" t="s">
        <v>395</v>
      </c>
      <c r="D51" s="1259" t="s">
        <v>649</v>
      </c>
      <c r="E51" s="5315"/>
      <c r="F51" s="5315"/>
      <c r="G51" s="5315"/>
      <c r="H51" s="5315"/>
      <c r="I51" s="5335"/>
      <c r="J51" s="5312" t="str">
        <f>S49&amp;".1"</f>
        <v>.1</v>
      </c>
      <c r="K51" s="1259"/>
      <c r="L51" s="1262"/>
      <c r="M51" s="435"/>
      <c r="N51" s="435"/>
      <c r="O51" s="435"/>
      <c r="P51" s="5313"/>
      <c r="Q51" s="5313">
        <v>1</v>
      </c>
      <c r="R51" s="281"/>
      <c r="S51" s="948"/>
      <c r="T51" s="1314"/>
      <c r="U51" s="1299"/>
      <c r="V51" s="5342"/>
      <c r="W51" s="5342"/>
      <c r="X51" s="5342"/>
      <c r="Y51" s="5342"/>
      <c r="Z51" s="5342"/>
      <c r="AA51" s="5342"/>
      <c r="AB51" s="5342"/>
      <c r="AC51" s="5343"/>
      <c r="AD51" s="5341"/>
      <c r="AE51" s="5342"/>
      <c r="AF51" s="5342"/>
      <c r="AG51" s="5342"/>
      <c r="AH51" s="5342"/>
      <c r="AI51" s="5342"/>
      <c r="AJ51" s="5342"/>
      <c r="AK51" s="5342"/>
      <c r="AL51" s="5342"/>
      <c r="AM51" s="5342"/>
      <c r="AN51" s="5387"/>
      <c r="AO51" s="5387"/>
      <c r="AP51" s="5342"/>
      <c r="AQ51" s="5342"/>
      <c r="AR51" s="5342"/>
      <c r="AS51" s="5342"/>
      <c r="AT51" s="5342"/>
      <c r="AU51" s="5342"/>
      <c r="AV51" s="5342"/>
      <c r="AW51" s="5342"/>
      <c r="AX51" s="5342"/>
      <c r="AY51" s="5342"/>
      <c r="AZ51" s="5342"/>
      <c r="BA51" s="5342"/>
      <c r="BB51" s="5343"/>
      <c r="BC51" s="1300"/>
      <c r="BE51" s="425"/>
      <c r="BF51" s="425" t="str">
        <f t="shared" si="3"/>
        <v/>
      </c>
      <c r="BG51" s="425"/>
      <c r="BH51" s="425"/>
    </row>
    <row r="52" spans="1:60" ht="11.25" customHeight="1">
      <c r="A52" s="1278" t="s">
        <v>393</v>
      </c>
      <c r="B52" s="1278" t="s">
        <v>394</v>
      </c>
      <c r="C52" s="1278" t="s">
        <v>395</v>
      </c>
      <c r="D52" s="1278" t="s">
        <v>649</v>
      </c>
      <c r="E52" s="5315"/>
      <c r="F52" s="5315"/>
      <c r="G52" s="5315"/>
      <c r="H52" s="5315"/>
      <c r="I52" s="5335"/>
      <c r="J52" s="5335"/>
      <c r="K52" s="5312" t="str">
        <f>S48&amp;".1"</f>
        <v>...1</v>
      </c>
      <c r="L52" s="1279"/>
      <c r="P52" s="5313"/>
      <c r="Q52" s="5313"/>
      <c r="R52" s="281">
        <v>1</v>
      </c>
      <c r="S52" s="5364" t="str">
        <f>$K52</f>
        <v>...1</v>
      </c>
      <c r="T52" s="5382"/>
      <c r="U52" s="218"/>
      <c r="V52" s="667"/>
      <c r="W52" s="1175"/>
      <c r="X52" s="667"/>
      <c r="Y52" s="1175"/>
      <c r="Z52" s="1642"/>
      <c r="AA52" s="1379" t="s">
        <v>62</v>
      </c>
      <c r="AB52" s="1642"/>
      <c r="AC52" s="1379" t="s">
        <v>62</v>
      </c>
      <c r="AD52" s="5240" t="s">
        <v>62</v>
      </c>
      <c r="AE52" s="5350"/>
      <c r="AF52" s="5269">
        <v>1</v>
      </c>
      <c r="AG52" s="5386"/>
      <c r="AH52" s="5161" t="s">
        <v>62</v>
      </c>
      <c r="AI52" s="5350"/>
      <c r="AJ52" s="5269">
        <v>1</v>
      </c>
      <c r="AK52" s="5385" t="s">
        <v>24</v>
      </c>
      <c r="AL52" s="5161" t="s">
        <v>62</v>
      </c>
      <c r="AM52" s="5259"/>
      <c r="AN52" s="5269">
        <v>1</v>
      </c>
      <c r="AO52" s="5379"/>
      <c r="AP52" s="5380" t="s">
        <v>62</v>
      </c>
      <c r="AQ52" s="231"/>
      <c r="AR52" s="1395">
        <v>1</v>
      </c>
      <c r="AS52" s="1401" t="s">
        <v>24</v>
      </c>
      <c r="AT52" s="667"/>
      <c r="AU52" s="1175"/>
      <c r="AV52" s="667"/>
      <c r="AW52" s="1175"/>
      <c r="AX52" s="1642"/>
      <c r="AY52" s="1379" t="s">
        <v>62</v>
      </c>
      <c r="AZ52" s="1642"/>
      <c r="BA52" s="1379" t="s">
        <v>62</v>
      </c>
      <c r="BB52" s="1264"/>
      <c r="BC52" s="5309" t="s">
        <v>621</v>
      </c>
      <c r="BE52" s="425"/>
      <c r="BF52" s="425" t="str">
        <f t="shared" si="3"/>
        <v/>
      </c>
      <c r="BG52" s="425"/>
      <c r="BH52" s="425"/>
    </row>
    <row r="53" spans="1:60" ht="11.25" customHeight="1">
      <c r="A53" s="1278"/>
      <c r="B53" s="1278"/>
      <c r="C53" s="1278"/>
      <c r="D53" s="1278"/>
      <c r="E53" s="5315"/>
      <c r="F53" s="5315"/>
      <c r="G53" s="5315"/>
      <c r="H53" s="5315"/>
      <c r="I53" s="5335"/>
      <c r="J53" s="5335"/>
      <c r="K53" s="5312"/>
      <c r="L53" s="1279"/>
      <c r="P53" s="5313"/>
      <c r="Q53" s="5313"/>
      <c r="R53" s="281"/>
      <c r="S53" s="5365"/>
      <c r="T53" s="5383"/>
      <c r="U53" s="218"/>
      <c r="V53" s="1308"/>
      <c r="W53" s="1405"/>
      <c r="X53" s="1308"/>
      <c r="Y53" s="1405"/>
      <c r="Z53" s="1308"/>
      <c r="AA53" s="1308"/>
      <c r="AB53" s="1308"/>
      <c r="AC53" s="1308"/>
      <c r="AD53" s="5241"/>
      <c r="AE53" s="5350"/>
      <c r="AF53" s="5269"/>
      <c r="AG53" s="5386"/>
      <c r="AH53" s="5161"/>
      <c r="AI53" s="5350"/>
      <c r="AJ53" s="5269"/>
      <c r="AK53" s="5385"/>
      <c r="AL53" s="5161"/>
      <c r="AM53" s="5264"/>
      <c r="AN53" s="5269"/>
      <c r="AO53" s="5379"/>
      <c r="AP53" s="5381"/>
      <c r="AQ53" s="238"/>
      <c r="AR53" s="349"/>
      <c r="AS53" s="349" t="s">
        <v>622</v>
      </c>
      <c r="AT53" s="1308"/>
      <c r="AU53" s="1405"/>
      <c r="AV53" s="1308"/>
      <c r="AW53" s="1405"/>
      <c r="AX53" s="1308"/>
      <c r="AY53" s="1308"/>
      <c r="AZ53" s="1308"/>
      <c r="BA53" s="1308"/>
      <c r="BB53" s="1312"/>
      <c r="BC53" s="5310"/>
      <c r="BE53" s="425"/>
      <c r="BF53" s="425"/>
      <c r="BG53" s="425"/>
      <c r="BH53" s="425"/>
    </row>
    <row r="54" spans="1:60" ht="11.25" customHeight="1">
      <c r="A54" s="1278" t="s">
        <v>393</v>
      </c>
      <c r="B54" s="1278"/>
      <c r="C54" s="1278"/>
      <c r="D54" s="1278"/>
      <c r="E54" s="5315"/>
      <c r="F54" s="5315"/>
      <c r="G54" s="5315"/>
      <c r="H54" s="5315"/>
      <c r="I54" s="5335"/>
      <c r="J54" s="5335"/>
      <c r="K54" s="5312"/>
      <c r="L54" s="1279"/>
      <c r="P54" s="5313"/>
      <c r="Q54" s="5313"/>
      <c r="R54" s="281"/>
      <c r="S54" s="5365"/>
      <c r="T54" s="5383"/>
      <c r="U54" s="218"/>
      <c r="V54" s="1308"/>
      <c r="W54" s="1405"/>
      <c r="X54" s="1308"/>
      <c r="Y54" s="1405"/>
      <c r="Z54" s="1308"/>
      <c r="AA54" s="1308"/>
      <c r="AB54" s="1308"/>
      <c r="AC54" s="1308"/>
      <c r="AD54" s="5241"/>
      <c r="AE54" s="5350"/>
      <c r="AF54" s="5269"/>
      <c r="AG54" s="5386"/>
      <c r="AH54" s="5161"/>
      <c r="AI54" s="5350"/>
      <c r="AJ54" s="5269"/>
      <c r="AK54" s="5385"/>
      <c r="AL54" s="5161"/>
      <c r="AM54" s="238"/>
      <c r="AN54" s="1409"/>
      <c r="AO54" s="1409" t="s">
        <v>642</v>
      </c>
      <c r="AP54" s="349"/>
      <c r="AQ54" s="349"/>
      <c r="AR54" s="349"/>
      <c r="AS54" s="1308"/>
      <c r="AT54" s="1308"/>
      <c r="AU54" s="1405"/>
      <c r="AV54" s="1308"/>
      <c r="AW54" s="1405"/>
      <c r="AX54" s="1308"/>
      <c r="AY54" s="1308"/>
      <c r="AZ54" s="1308"/>
      <c r="BA54" s="1308"/>
      <c r="BB54" s="1312"/>
      <c r="BC54" s="5310"/>
      <c r="BE54" s="425"/>
      <c r="BF54" s="425"/>
      <c r="BG54" s="425"/>
      <c r="BH54" s="425"/>
    </row>
    <row r="55" spans="1:60" ht="11.25" customHeight="1">
      <c r="A55" s="1278" t="s">
        <v>393</v>
      </c>
      <c r="B55" s="1278"/>
      <c r="C55" s="1278"/>
      <c r="D55" s="1278"/>
      <c r="E55" s="5315"/>
      <c r="F55" s="5315"/>
      <c r="G55" s="5315"/>
      <c r="H55" s="5315"/>
      <c r="I55" s="5335"/>
      <c r="J55" s="5335"/>
      <c r="K55" s="5312"/>
      <c r="L55" s="1279"/>
      <c r="P55" s="5313"/>
      <c r="Q55" s="5313"/>
      <c r="R55" s="281"/>
      <c r="S55" s="5365"/>
      <c r="T55" s="5383"/>
      <c r="U55" s="218"/>
      <c r="V55" s="1308"/>
      <c r="W55" s="1405"/>
      <c r="X55" s="1308"/>
      <c r="Y55" s="1405"/>
      <c r="Z55" s="1308"/>
      <c r="AA55" s="1308"/>
      <c r="AB55" s="1308"/>
      <c r="AC55" s="1308"/>
      <c r="AD55" s="5241"/>
      <c r="AE55" s="5350"/>
      <c r="AF55" s="5269"/>
      <c r="AG55" s="5386"/>
      <c r="AH55" s="5161"/>
      <c r="AI55" s="212"/>
      <c r="AJ55" s="348"/>
      <c r="AK55" s="233" t="s">
        <v>643</v>
      </c>
      <c r="AL55" s="1308"/>
      <c r="AM55" s="1308"/>
      <c r="AN55" s="1308"/>
      <c r="AO55" s="1308"/>
      <c r="AP55" s="1308"/>
      <c r="AQ55" s="1308"/>
      <c r="AR55" s="1308"/>
      <c r="AS55" s="1308"/>
      <c r="AT55" s="1308"/>
      <c r="AU55" s="1405"/>
      <c r="AV55" s="1308"/>
      <c r="AW55" s="1405"/>
      <c r="AX55" s="1308"/>
      <c r="AY55" s="1308"/>
      <c r="AZ55" s="1308"/>
      <c r="BA55" s="1308"/>
      <c r="BB55" s="1312"/>
      <c r="BC55" s="5310"/>
      <c r="BE55" s="425"/>
      <c r="BF55" s="425"/>
      <c r="BG55" s="425"/>
      <c r="BH55" s="425"/>
    </row>
    <row r="56" spans="1:60" ht="11.25" customHeight="1">
      <c r="A56" s="1278" t="s">
        <v>393</v>
      </c>
      <c r="B56" s="1278" t="s">
        <v>394</v>
      </c>
      <c r="C56" s="1278" t="s">
        <v>395</v>
      </c>
      <c r="D56" s="1278" t="s">
        <v>649</v>
      </c>
      <c r="E56" s="5315"/>
      <c r="F56" s="5315"/>
      <c r="G56" s="5315"/>
      <c r="H56" s="5315"/>
      <c r="I56" s="5335"/>
      <c r="J56" s="5335"/>
      <c r="K56" s="5312"/>
      <c r="L56" s="1279"/>
      <c r="P56" s="5313"/>
      <c r="Q56" s="5313"/>
      <c r="R56" s="281"/>
      <c r="S56" s="5366"/>
      <c r="T56" s="5384"/>
      <c r="U56" s="218"/>
      <c r="V56" s="1308"/>
      <c r="W56" s="1309" t="str">
        <f>Z52&amp;"-"&amp;AB52</f>
        <v>-</v>
      </c>
      <c r="X56" s="1308"/>
      <c r="Y56" s="1309" t="str">
        <f>AB52&amp;"-"&amp;AD52</f>
        <v>-да</v>
      </c>
      <c r="Z56" s="1308"/>
      <c r="AA56" s="1308"/>
      <c r="AB56" s="1308"/>
      <c r="AC56" s="1308"/>
      <c r="AD56" s="5166"/>
      <c r="AE56" s="232"/>
      <c r="AF56" s="234"/>
      <c r="AG56" s="349" t="s">
        <v>625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5310"/>
      <c r="BE56" s="425"/>
      <c r="BF56" s="425" t="str">
        <f t="shared" ref="BF56:BF63" si="4">IF(T56="","",T56)</f>
        <v/>
      </c>
      <c r="BG56" s="425"/>
      <c r="BH56" s="425"/>
    </row>
    <row r="57" spans="1:60" ht="11.25" customHeight="1">
      <c r="A57" s="1278" t="s">
        <v>393</v>
      </c>
      <c r="B57" s="1278" t="s">
        <v>394</v>
      </c>
      <c r="C57" s="1278" t="s">
        <v>395</v>
      </c>
      <c r="D57" s="1278" t="s">
        <v>649</v>
      </c>
      <c r="E57" s="5315"/>
      <c r="F57" s="5315"/>
      <c r="G57" s="5315"/>
      <c r="H57" s="5315"/>
      <c r="I57" s="5335"/>
      <c r="J57" s="5312"/>
      <c r="K57" s="1278"/>
      <c r="L57" s="1279"/>
      <c r="P57" s="5313"/>
      <c r="Q57" s="5313"/>
      <c r="R57" s="280"/>
      <c r="S57" s="1197"/>
      <c r="T57" s="205" t="s">
        <v>589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5311"/>
      <c r="BE57" s="425"/>
      <c r="BF57" s="425" t="str">
        <f t="shared" si="4"/>
        <v>Добавить строку</v>
      </c>
      <c r="BG57" s="425"/>
      <c r="BH57" s="425"/>
    </row>
    <row r="58" spans="1:60" s="1819" customFormat="1" ht="0" hidden="1" customHeight="1">
      <c r="A58" s="1259" t="s">
        <v>393</v>
      </c>
      <c r="B58" s="1259" t="s">
        <v>394</v>
      </c>
      <c r="C58" s="1259" t="s">
        <v>395</v>
      </c>
      <c r="D58" s="1259" t="s">
        <v>649</v>
      </c>
      <c r="E58" s="5315"/>
      <c r="F58" s="5315"/>
      <c r="G58" s="5315"/>
      <c r="H58" s="5315"/>
      <c r="I58" s="5312"/>
      <c r="J58" s="1259"/>
      <c r="K58" s="1259"/>
      <c r="L58" s="1262"/>
      <c r="M58" s="435"/>
      <c r="N58" s="435"/>
      <c r="O58" s="435"/>
      <c r="P58" s="5313"/>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393</v>
      </c>
      <c r="B59" s="1259" t="s">
        <v>394</v>
      </c>
      <c r="C59" s="1259" t="s">
        <v>395</v>
      </c>
      <c r="D59" s="1259" t="s">
        <v>649</v>
      </c>
      <c r="E59" s="5315"/>
      <c r="F59" s="5315"/>
      <c r="G59" s="5315"/>
      <c r="H59" s="5314"/>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167" customFormat="1" ht="0" hidden="1" customHeight="1">
      <c r="A60" s="1259" t="s">
        <v>393</v>
      </c>
      <c r="B60" s="1259" t="s">
        <v>394</v>
      </c>
      <c r="C60" s="1259" t="s">
        <v>395</v>
      </c>
      <c r="D60" s="1231"/>
      <c r="E60" s="5315"/>
      <c r="F60" s="5315"/>
      <c r="G60" s="5314"/>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167" customFormat="1" ht="0" hidden="1" customHeight="1">
      <c r="A61" s="1259" t="s">
        <v>393</v>
      </c>
      <c r="B61" s="1259" t="s">
        <v>394</v>
      </c>
      <c r="C61" s="1231"/>
      <c r="D61" s="1231"/>
      <c r="E61" s="5315"/>
      <c r="F61" s="5314"/>
      <c r="G61" s="1231"/>
      <c r="H61" s="1231"/>
      <c r="I61" s="1231"/>
      <c r="J61" s="1231"/>
      <c r="K61" s="1231"/>
      <c r="L61" s="1403"/>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393</v>
      </c>
      <c r="B62" s="1259"/>
      <c r="C62" s="1259"/>
      <c r="D62" s="1259"/>
      <c r="E62" s="5314"/>
      <c r="F62" s="1259"/>
      <c r="G62" s="1259"/>
      <c r="H62" s="1259"/>
      <c r="I62" s="1259"/>
      <c r="J62" s="1259"/>
      <c r="K62" s="1259"/>
      <c r="L62" s="1262"/>
      <c r="M62" s="1238"/>
      <c r="N62" s="1238"/>
      <c r="O62" s="443"/>
      <c r="P62" s="312"/>
      <c r="Q62" s="1260"/>
      <c r="R62" s="312"/>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167"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215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5334"/>
      <c r="U65" s="5334"/>
      <c r="V65" s="5334"/>
      <c r="W65" s="5334"/>
      <c r="X65" s="5334"/>
      <c r="Y65" s="5334"/>
      <c r="Z65" s="5334"/>
      <c r="AA65" s="5334"/>
      <c r="AB65" s="5334"/>
      <c r="AC65" s="5334"/>
      <c r="AD65" s="5334"/>
      <c r="AE65" s="5334"/>
      <c r="AF65" s="5334"/>
      <c r="AG65" s="5334"/>
      <c r="AH65" s="5334"/>
      <c r="AI65" s="5334"/>
      <c r="AJ65" s="5334"/>
      <c r="AK65" s="5334"/>
      <c r="AL65" s="5334"/>
      <c r="AM65" s="5334"/>
      <c r="AN65" s="5334"/>
      <c r="AO65" s="5334"/>
      <c r="AP65" s="5334"/>
      <c r="AQ65" s="5334"/>
      <c r="AR65" s="5334"/>
      <c r="AS65" s="5334"/>
      <c r="AT65" s="5334"/>
      <c r="AU65" s="5334"/>
      <c r="AV65" s="5334"/>
      <c r="AW65" s="5334"/>
      <c r="AX65" s="5334"/>
      <c r="AY65" s="5334"/>
      <c r="AZ65" s="5334"/>
      <c r="BA65" s="5334"/>
      <c r="BB65" s="5334"/>
      <c r="BC65" s="5334"/>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5334"/>
      <c r="U67" s="5334"/>
      <c r="V67" s="5334"/>
      <c r="W67" s="5334"/>
      <c r="X67" s="5334"/>
      <c r="Y67" s="5334"/>
      <c r="Z67" s="5334"/>
      <c r="AA67" s="5334"/>
      <c r="AB67" s="5334"/>
      <c r="AC67" s="5334"/>
      <c r="AD67" s="5334"/>
      <c r="AE67" s="5334"/>
      <c r="AF67" s="5334"/>
      <c r="AG67" s="5334"/>
      <c r="AH67" s="5334"/>
      <c r="AI67" s="5334"/>
      <c r="AJ67" s="5334"/>
      <c r="AK67" s="5334"/>
      <c r="AL67" s="5334"/>
      <c r="AM67" s="5334"/>
      <c r="AN67" s="5334"/>
      <c r="AO67" s="5334"/>
      <c r="AP67" s="5334"/>
      <c r="AQ67" s="5334"/>
      <c r="AR67" s="5334"/>
      <c r="AS67" s="5334"/>
      <c r="AT67" s="5334"/>
      <c r="AU67" s="5334"/>
      <c r="AV67" s="5334"/>
      <c r="AW67" s="5334"/>
      <c r="AX67" s="5334"/>
      <c r="AY67" s="5334"/>
      <c r="AZ67" s="5334"/>
      <c r="BA67" s="5334"/>
      <c r="BB67" s="5334"/>
      <c r="BC67" s="5334"/>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8" hidden="1" customWidth="1"/>
    <col min="13" max="14" width="12.28515625" style="2171" hidden="1" customWidth="1"/>
    <col min="15" max="15" width="23.42578125" style="2171" hidden="1" customWidth="1"/>
    <col min="16" max="16" width="3.7109375" style="4589"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402"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96"/>
      <c r="Q3" s="276"/>
      <c r="R3" s="277"/>
      <c r="S3" s="1402"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402" t="e">
        <f>INDEX(PT_DIFFERENTIATION_NUM_CS,MATCH(C4,PT_DIFFERENTIATION_CS_ID,0))</f>
        <v>#N/A</v>
      </c>
      <c r="T4" s="229" t="s">
        <v>650</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651</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90"/>
      <c r="R5" s="280"/>
      <c r="S5" s="1402"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402"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402"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99"/>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90"/>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87"/>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87"/>
      <c r="M19" s="1277"/>
      <c r="N19" s="1277"/>
      <c r="O19" s="1277"/>
      <c r="P19" s="1277"/>
      <c r="Q19" s="1286"/>
      <c r="R19" s="1286"/>
      <c r="S19" s="647"/>
      <c r="AB19" s="1281"/>
      <c r="AI19" s="1281"/>
      <c r="AL19" s="436"/>
      <c r="AM19" s="436"/>
      <c r="AN19" s="436"/>
      <c r="AO19" s="436"/>
      <c r="AP19" s="436"/>
    </row>
    <row r="20" spans="1:42" s="1832" customFormat="1" ht="12" hidden="1" customHeight="1">
      <c r="L20" s="1387"/>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5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hidden="1"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hidden="1"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92" t="s">
        <v>652</v>
      </c>
      <c r="W38" s="5151" t="s">
        <v>653</v>
      </c>
      <c r="X38" s="5150"/>
      <c r="Y38" s="5151" t="s">
        <v>552</v>
      </c>
      <c r="Z38" s="5156"/>
      <c r="AA38" s="5150"/>
      <c r="AB38" s="5327"/>
      <c r="AC38" s="1392" t="s">
        <v>652</v>
      </c>
      <c r="AD38" s="5151" t="s">
        <v>653</v>
      </c>
      <c r="AE38" s="5150"/>
      <c r="AF38" s="5151" t="s">
        <v>552</v>
      </c>
      <c r="AG38" s="5156"/>
      <c r="AH38" s="5150"/>
      <c r="AI38" s="5327"/>
      <c r="AJ38" s="5330"/>
      <c r="AK38" s="5180"/>
    </row>
    <row r="39" spans="1:42" ht="86.2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92" t="s">
        <v>654</v>
      </c>
      <c r="W39" s="1127" t="s">
        <v>655</v>
      </c>
      <c r="X39" s="1127" t="s">
        <v>656</v>
      </c>
      <c r="Y39" s="1398" t="s">
        <v>562</v>
      </c>
      <c r="Z39" s="5282" t="s">
        <v>563</v>
      </c>
      <c r="AA39" s="5284"/>
      <c r="AB39" s="5328"/>
      <c r="AC39" s="1392" t="s">
        <v>654</v>
      </c>
      <c r="AD39" s="1127" t="s">
        <v>655</v>
      </c>
      <c r="AE39" s="1127" t="s">
        <v>656</v>
      </c>
      <c r="AF39" s="1398" t="s">
        <v>562</v>
      </c>
      <c r="AG39" s="5282" t="s">
        <v>563</v>
      </c>
      <c r="AH39" s="5284"/>
      <c r="AI39" s="5328"/>
      <c r="AJ39" s="5331"/>
      <c r="AK39" s="5180"/>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91">
        <f ca="1">OFFSET(V40,0,-1)+1</f>
        <v>3</v>
      </c>
      <c r="W40" s="1391">
        <f ca="1">OFFSET(W40,0,-1)+1</f>
        <v>4</v>
      </c>
      <c r="X40" s="1391">
        <f ca="1">OFFSET(X40,0,-1)+1</f>
        <v>5</v>
      </c>
      <c r="Y40" s="1391">
        <f ca="1">OFFSET(Y40,0,-1)+1</f>
        <v>6</v>
      </c>
      <c r="Z40" s="5321">
        <f ca="1">OFFSET(Z40,0,-1)+1</f>
        <v>7</v>
      </c>
      <c r="AA40" s="5321"/>
      <c r="AB40" s="1391">
        <f ca="1">OFFSET(AB40,0,-2)+1</f>
        <v>8</v>
      </c>
      <c r="AC40" s="1391">
        <f ca="1">OFFSET(AC40,0,-1)+1</f>
        <v>9</v>
      </c>
      <c r="AD40" s="1391">
        <f ca="1">OFFSET(AD40,0,-1)+1</f>
        <v>10</v>
      </c>
      <c r="AE40" s="1391">
        <f ca="1">OFFSET(AE40,0,-1)+1</f>
        <v>11</v>
      </c>
      <c r="AF40" s="1391">
        <f ca="1">OFFSET(AF40,0,-1)+1</f>
        <v>12</v>
      </c>
      <c r="AG40" s="5321">
        <f ca="1">OFFSET(AG40,0,-1)+1</f>
        <v>13</v>
      </c>
      <c r="AH40" s="5321"/>
      <c r="AI40" s="1391">
        <f ca="1">OFFSET(AI40,0,-2)+1</f>
        <v>14</v>
      </c>
      <c r="AJ40" s="1153">
        <f ca="1">OFFSET(AJ40,0,-1)</f>
        <v>14</v>
      </c>
      <c r="AK40" s="1391">
        <f ca="1">OFFSET(AK40,0,-1)+1</f>
        <v>15</v>
      </c>
      <c r="AL40" s="436"/>
      <c r="AM40" s="436"/>
      <c r="AN40" s="436"/>
      <c r="AO40" s="436"/>
      <c r="AP40" s="436"/>
    </row>
    <row r="41" spans="1:42" ht="23.25" customHeight="1">
      <c r="A41" s="1278" t="s">
        <v>368</v>
      </c>
      <c r="B41" s="1278"/>
      <c r="C41" s="1278"/>
      <c r="D41" s="1278"/>
      <c r="E41" s="5314">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368</v>
      </c>
      <c r="B42" s="1278" t="s">
        <v>369</v>
      </c>
      <c r="C42" s="1278"/>
      <c r="D42" s="1278"/>
      <c r="E42" s="5315"/>
      <c r="F42" s="5314">
        <v>1</v>
      </c>
      <c r="G42" s="1278"/>
      <c r="H42" s="1278"/>
      <c r="I42" s="1278"/>
      <c r="J42" s="1278"/>
      <c r="K42" s="1278"/>
      <c r="L42" s="1279"/>
      <c r="M42" s="1280"/>
      <c r="N42" s="1280"/>
      <c r="O42" s="1280"/>
      <c r="P42" s="1396"/>
      <c r="Q42" s="276"/>
      <c r="R42" s="277"/>
      <c r="S42" s="1402"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368</v>
      </c>
      <c r="B43" s="1278" t="s">
        <v>369</v>
      </c>
      <c r="C43" s="1278" t="s">
        <v>370</v>
      </c>
      <c r="D43" s="1278"/>
      <c r="E43" s="5315"/>
      <c r="F43" s="5315"/>
      <c r="G43" s="5314">
        <v>1</v>
      </c>
      <c r="H43" s="1278"/>
      <c r="I43" s="1278"/>
      <c r="J43" s="1278"/>
      <c r="K43" s="1278"/>
      <c r="L43" s="1279"/>
      <c r="M43" s="1280"/>
      <c r="N43" s="1280"/>
      <c r="O43" s="1280"/>
      <c r="P43" s="278"/>
      <c r="Q43" s="276"/>
      <c r="R43" s="277"/>
      <c r="S43" s="1402" t="str">
        <f>INDEX(PT_DIFFERENTIATION_NUM_CS,MATCH(C43,PT_DIFFERENTIATION_CS_ID,0))</f>
        <v>..</v>
      </c>
      <c r="T43" s="229" t="s">
        <v>650</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651</v>
      </c>
      <c r="AM43" s="425"/>
      <c r="AN43" s="425" t="str">
        <f t="shared" si="1"/>
        <v>Наименование централизованной системы горячего водоснабжения</v>
      </c>
      <c r="AO43" s="425"/>
      <c r="AP43" s="425"/>
    </row>
    <row r="44" spans="1:42" ht="23.25" customHeight="1">
      <c r="A44" s="1278" t="s">
        <v>368</v>
      </c>
      <c r="B44" s="1278" t="s">
        <v>369</v>
      </c>
      <c r="C44" s="1278" t="s">
        <v>370</v>
      </c>
      <c r="D44" s="1278" t="s">
        <v>657</v>
      </c>
      <c r="E44" s="5315"/>
      <c r="F44" s="5315"/>
      <c r="G44" s="5315"/>
      <c r="H44" s="5315"/>
      <c r="I44" s="5312" t="str">
        <f>S43&amp;".1"</f>
        <v>...1</v>
      </c>
      <c r="J44" s="1278"/>
      <c r="K44" s="1278"/>
      <c r="L44" s="1279"/>
      <c r="P44" s="5313">
        <v>1</v>
      </c>
      <c r="Q44" s="1390"/>
      <c r="R44" s="280"/>
      <c r="S44" s="1402"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368</v>
      </c>
      <c r="B45" s="1278" t="s">
        <v>369</v>
      </c>
      <c r="C45" s="1278" t="s">
        <v>370</v>
      </c>
      <c r="D45" s="1278" t="s">
        <v>657</v>
      </c>
      <c r="E45" s="5315"/>
      <c r="F45" s="5315"/>
      <c r="G45" s="5315"/>
      <c r="H45" s="5315"/>
      <c r="I45" s="5335"/>
      <c r="J45" s="5312" t="str">
        <f>I44&amp;".1"</f>
        <v>...1.1</v>
      </c>
      <c r="K45" s="1278"/>
      <c r="L45" s="1279" t="s">
        <v>525</v>
      </c>
      <c r="P45" s="5313"/>
      <c r="Q45" s="5313">
        <v>1</v>
      </c>
      <c r="R45" s="281"/>
      <c r="S45" s="1402"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368</v>
      </c>
      <c r="B46" s="1278" t="s">
        <v>369</v>
      </c>
      <c r="C46" s="1278" t="s">
        <v>370</v>
      </c>
      <c r="D46" s="1278" t="s">
        <v>657</v>
      </c>
      <c r="E46" s="5315"/>
      <c r="F46" s="5315"/>
      <c r="G46" s="5315"/>
      <c r="H46" s="5315"/>
      <c r="I46" s="5335"/>
      <c r="J46" s="5335"/>
      <c r="K46" s="5312" t="str">
        <f>J45&amp;".1"</f>
        <v>...1.1.1</v>
      </c>
      <c r="L46" s="1279"/>
      <c r="P46" s="5313"/>
      <c r="Q46" s="5313"/>
      <c r="R46" s="281">
        <v>1</v>
      </c>
      <c r="S46" s="1402" t="str">
        <f>$K46</f>
        <v>...1.1.1</v>
      </c>
      <c r="T46" s="1351"/>
      <c r="U46" s="218"/>
      <c r="V46" s="1275"/>
      <c r="W46" s="1275"/>
      <c r="X46" s="1276"/>
      <c r="Y46" s="5319"/>
      <c r="Z46" s="5320" t="s">
        <v>62</v>
      </c>
      <c r="AA46" s="5319"/>
      <c r="AB46" s="5320" t="s">
        <v>62</v>
      </c>
      <c r="AC46" s="667"/>
      <c r="AD46" s="667"/>
      <c r="AE46" s="1175"/>
      <c r="AF46" s="5317"/>
      <c r="AG46" s="5161" t="s">
        <v>62</v>
      </c>
      <c r="AH46" s="5336"/>
      <c r="AI46" s="5161" t="s">
        <v>57</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368</v>
      </c>
      <c r="B47" s="1278" t="s">
        <v>369</v>
      </c>
      <c r="C47" s="1278" t="s">
        <v>370</v>
      </c>
      <c r="D47" s="1278" t="s">
        <v>657</v>
      </c>
      <c r="E47" s="5315"/>
      <c r="F47" s="5315"/>
      <c r="G47" s="5315"/>
      <c r="H47" s="5315"/>
      <c r="I47" s="5335"/>
      <c r="J47" s="5335"/>
      <c r="K47" s="5312"/>
      <c r="L47" s="1279"/>
      <c r="P47" s="5313"/>
      <c r="Q47" s="5313"/>
      <c r="R47" s="281"/>
      <c r="S47" s="1399"/>
      <c r="T47" s="218"/>
      <c r="U47" s="218"/>
      <c r="V47" s="1275"/>
      <c r="W47" s="1275"/>
      <c r="X47" s="254" t="str">
        <f>Y46&amp;"-"&amp;AA46</f>
        <v>-</v>
      </c>
      <c r="Y47" s="5320"/>
      <c r="Z47" s="5320"/>
      <c r="AA47" s="5320"/>
      <c r="AB47" s="5320"/>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368</v>
      </c>
      <c r="B48" s="1278" t="s">
        <v>369</v>
      </c>
      <c r="C48" s="1278" t="s">
        <v>370</v>
      </c>
      <c r="D48" s="1278" t="s">
        <v>657</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368</v>
      </c>
      <c r="B49" s="1278" t="s">
        <v>369</v>
      </c>
      <c r="C49" s="1278" t="s">
        <v>370</v>
      </c>
      <c r="D49" s="1278" t="s">
        <v>657</v>
      </c>
      <c r="E49" s="5315"/>
      <c r="F49" s="5315"/>
      <c r="G49" s="5315"/>
      <c r="H49" s="5315"/>
      <c r="I49" s="5312"/>
      <c r="J49" s="1278"/>
      <c r="K49" s="1278"/>
      <c r="L49" s="1279"/>
      <c r="P49" s="5313"/>
      <c r="Q49" s="1390"/>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368</v>
      </c>
      <c r="B50" s="1278" t="s">
        <v>369</v>
      </c>
      <c r="C50" s="1278" t="s">
        <v>370</v>
      </c>
      <c r="D50" s="1278" t="s">
        <v>657</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368</v>
      </c>
      <c r="B51" s="1259" t="s">
        <v>369</v>
      </c>
      <c r="C51" s="1231"/>
      <c r="D51" s="1231"/>
      <c r="E51" s="5315"/>
      <c r="F51" s="5314"/>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368</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4588" hidden="1" customWidth="1"/>
    <col min="13" max="14" width="12.28515625" style="2171" hidden="1" customWidth="1"/>
    <col min="15" max="15" width="23.42578125" style="2171" hidden="1" customWidth="1"/>
    <col min="16" max="16" width="3.7109375" style="4589" customWidth="1"/>
    <col min="17" max="18" width="3.7109375" style="3147" customWidth="1"/>
    <col min="19" max="19" width="12.7109375" style="3148" customWidth="1"/>
    <col min="20" max="20" width="35.7109375" style="2112" customWidth="1"/>
    <col min="21" max="21" width="0.140625" style="2112" customWidth="1"/>
    <col min="22" max="24" width="24.7109375" style="2112" hidden="1" customWidth="1"/>
    <col min="25" max="25" width="11.7109375" style="2112" hidden="1" customWidth="1"/>
    <col min="26" max="26" width="3.7109375" style="2112" hidden="1" customWidth="1"/>
    <col min="27" max="27" width="11.7109375" style="2112" hidden="1" customWidth="1"/>
    <col min="28" max="28" width="8.5703125" style="2112" hidden="1" customWidth="1"/>
    <col min="29" max="31" width="24.7109375" style="2112" customWidth="1"/>
    <col min="32" max="32" width="11.7109375" style="2112" customWidth="1"/>
    <col min="33" max="33" width="3.7109375" style="2112" customWidth="1"/>
    <col min="34" max="34" width="11.7109375" style="2112" customWidth="1"/>
    <col min="35" max="35" width="8.5703125" style="2112" hidden="1" customWidth="1"/>
    <col min="36" max="36" width="4.7109375" style="2112" customWidth="1"/>
    <col min="37" max="37" width="115.7109375" style="2112" customWidth="1"/>
    <col min="38" max="39" width="10.5703125" style="1819"/>
    <col min="40" max="40" width="11.140625" style="1819" customWidth="1"/>
    <col min="41" max="42" width="10.5703125" style="1819"/>
  </cols>
  <sheetData>
    <row r="1" spans="1:42" ht="14.25" hidden="1" customHeight="1">
      <c r="X1" s="253"/>
      <c r="Y1" s="253"/>
      <c r="AE1" s="253"/>
      <c r="AF1" s="253"/>
    </row>
    <row r="2" spans="1:42" ht="23.25" hidden="1" customHeight="1">
      <c r="A2" s="1278"/>
      <c r="B2" s="1278"/>
      <c r="C2" s="1278"/>
      <c r="D2" s="1278"/>
      <c r="E2" s="5314">
        <v>1</v>
      </c>
      <c r="F2" s="1278"/>
      <c r="G2" s="1278"/>
      <c r="H2" s="1278"/>
      <c r="I2" s="1278"/>
      <c r="J2" s="1278"/>
      <c r="K2" s="1278"/>
      <c r="L2" s="1279"/>
      <c r="M2" s="1280"/>
      <c r="N2" s="1280"/>
      <c r="O2" s="1280"/>
      <c r="P2" s="285"/>
      <c r="Q2" s="284"/>
      <c r="R2" s="279"/>
      <c r="S2" s="1402" t="e">
        <f>INDEX(PT_DIFFERENTIATION_NUM_NTAR,MATCH(A2,PT_DIFFERENTIATION_NTAR_ID,0))</f>
        <v>#N/A</v>
      </c>
      <c r="T2" s="216" t="s">
        <v>127</v>
      </c>
      <c r="U2" s="218"/>
      <c r="V2" s="5300"/>
      <c r="W2" s="5301"/>
      <c r="X2" s="5301"/>
      <c r="Y2" s="5301"/>
      <c r="Z2" s="5301"/>
      <c r="AA2" s="5301"/>
      <c r="AB2" s="5302"/>
      <c r="AC2" s="5300" t="e">
        <f>INDEX(PT_DIFFERENTIATION_NTAR,MATCH(A2,PT_DIFFERENTIATION_NTAR_ID,0))</f>
        <v>#N/A</v>
      </c>
      <c r="AD2" s="5301"/>
      <c r="AE2" s="5301"/>
      <c r="AF2" s="5301"/>
      <c r="AG2" s="5301"/>
      <c r="AH2" s="5301"/>
      <c r="AI2" s="5301"/>
      <c r="AJ2" s="530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5315"/>
      <c r="F3" s="5314">
        <v>1</v>
      </c>
      <c r="G3" s="1278"/>
      <c r="H3" s="1278"/>
      <c r="I3" s="1278"/>
      <c r="J3" s="1278"/>
      <c r="K3" s="1278"/>
      <c r="L3" s="1279"/>
      <c r="M3" s="1280"/>
      <c r="N3" s="1280"/>
      <c r="O3" s="1280"/>
      <c r="P3" s="1396"/>
      <c r="Q3" s="276"/>
      <c r="R3" s="277"/>
      <c r="S3" s="1402" t="e">
        <f>INDEX(PT_DIFFERENTIATION_NUM_TER,MATCH(B3,PT_DIFFERENTIATION_TER_ID,0))</f>
        <v>#N/A</v>
      </c>
      <c r="T3" s="228" t="s">
        <v>516</v>
      </c>
      <c r="U3" s="218"/>
      <c r="V3" s="5300"/>
      <c r="W3" s="5301"/>
      <c r="X3" s="5301"/>
      <c r="Y3" s="5301"/>
      <c r="Z3" s="5301"/>
      <c r="AA3" s="5301"/>
      <c r="AB3" s="5302"/>
      <c r="AC3" s="5300" t="e">
        <f>INDEX(PT_DIFFERENTIATION_TER,MATCH(B3,PT_DIFFERENTIATION_TER_ID,0))</f>
        <v>#N/A</v>
      </c>
      <c r="AD3" s="5301"/>
      <c r="AE3" s="5301"/>
      <c r="AF3" s="5301"/>
      <c r="AG3" s="5301"/>
      <c r="AH3" s="5301"/>
      <c r="AI3" s="5301"/>
      <c r="AJ3" s="5302"/>
      <c r="AK3" s="1176" t="s">
        <v>517</v>
      </c>
      <c r="AM3" s="425"/>
      <c r="AN3" s="425" t="str">
        <f t="shared" si="0"/>
        <v>Территория действия тарифа</v>
      </c>
      <c r="AO3" s="425"/>
      <c r="AP3" s="425"/>
    </row>
    <row r="4" spans="1:42" ht="23.25" hidden="1" customHeight="1">
      <c r="A4" s="1278"/>
      <c r="B4" s="1278"/>
      <c r="C4" s="1278"/>
      <c r="D4" s="1278"/>
      <c r="E4" s="5315"/>
      <c r="F4" s="5315"/>
      <c r="G4" s="5314">
        <v>1</v>
      </c>
      <c r="H4" s="1278"/>
      <c r="I4" s="1278"/>
      <c r="J4" s="1278"/>
      <c r="K4" s="1278"/>
      <c r="L4" s="1279"/>
      <c r="M4" s="1280"/>
      <c r="N4" s="1280"/>
      <c r="O4" s="1280"/>
      <c r="P4" s="278"/>
      <c r="Q4" s="276"/>
      <c r="R4" s="277"/>
      <c r="S4" s="1402" t="e">
        <f>INDEX(PT_DIFFERENTIATION_NUM_CS,MATCH(C4,PT_DIFFERENTIATION_CS_ID,0))</f>
        <v>#N/A</v>
      </c>
      <c r="T4" s="229" t="s">
        <v>650</v>
      </c>
      <c r="U4" s="218"/>
      <c r="V4" s="5300"/>
      <c r="W4" s="5301"/>
      <c r="X4" s="5301"/>
      <c r="Y4" s="5301"/>
      <c r="Z4" s="5301"/>
      <c r="AA4" s="5301"/>
      <c r="AB4" s="5302"/>
      <c r="AC4" s="5300" t="e">
        <f>INDEX(PT_DIFFERENTIATION_CS,MATCH(C4,PT_DIFFERENTIATION_CS_ID,0))</f>
        <v>#N/A</v>
      </c>
      <c r="AD4" s="5301"/>
      <c r="AE4" s="5301"/>
      <c r="AF4" s="5301"/>
      <c r="AG4" s="5301"/>
      <c r="AH4" s="5301"/>
      <c r="AI4" s="5301"/>
      <c r="AJ4" s="5302"/>
      <c r="AK4" s="1176" t="s">
        <v>651</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5315"/>
      <c r="F5" s="5315"/>
      <c r="G5" s="5315"/>
      <c r="H5" s="5315"/>
      <c r="I5" s="5312" t="e">
        <f>S4&amp;".1"</f>
        <v>#N/A</v>
      </c>
      <c r="J5" s="1278"/>
      <c r="K5" s="1278"/>
      <c r="L5" s="1279"/>
      <c r="P5" s="5313">
        <v>1</v>
      </c>
      <c r="Q5" s="1390"/>
      <c r="R5" s="280"/>
      <c r="S5" s="1402" t="e">
        <f>$I5</f>
        <v>#N/A</v>
      </c>
      <c r="T5" s="203" t="s">
        <v>605</v>
      </c>
      <c r="U5" s="218"/>
      <c r="V5" s="5373"/>
      <c r="W5" s="5374"/>
      <c r="X5" s="5374"/>
      <c r="Y5" s="5374"/>
      <c r="Z5" s="5374"/>
      <c r="AA5" s="5374"/>
      <c r="AB5" s="5375"/>
      <c r="AC5" s="5376"/>
      <c r="AD5" s="5377"/>
      <c r="AE5" s="5377"/>
      <c r="AF5" s="5377"/>
      <c r="AG5" s="5377"/>
      <c r="AH5" s="5377"/>
      <c r="AI5" s="5377"/>
      <c r="AJ5" s="5378"/>
      <c r="AK5" s="1176" t="s">
        <v>606</v>
      </c>
      <c r="AM5" s="425"/>
      <c r="AN5" s="425" t="str">
        <f t="shared" si="0"/>
        <v>Наименование признака дифференциации</v>
      </c>
      <c r="AO5" s="425"/>
      <c r="AP5" s="425"/>
    </row>
    <row r="6" spans="1:42" ht="23.25" hidden="1" customHeight="1">
      <c r="A6" s="1278"/>
      <c r="B6" s="1278"/>
      <c r="C6" s="1278"/>
      <c r="D6" s="1278"/>
      <c r="E6" s="5315"/>
      <c r="F6" s="5315"/>
      <c r="G6" s="5315"/>
      <c r="H6" s="5315"/>
      <c r="I6" s="5335"/>
      <c r="J6" s="5312" t="e">
        <f>I5&amp;".1"</f>
        <v>#N/A</v>
      </c>
      <c r="K6" s="1278"/>
      <c r="L6" s="1279" t="s">
        <v>525</v>
      </c>
      <c r="P6" s="5313"/>
      <c r="Q6" s="5313">
        <v>1</v>
      </c>
      <c r="R6" s="281"/>
      <c r="S6" s="1402" t="e">
        <f>$J6</f>
        <v>#N/A</v>
      </c>
      <c r="T6" s="204" t="s">
        <v>526</v>
      </c>
      <c r="U6" s="218"/>
      <c r="V6" s="5303"/>
      <c r="W6" s="5304"/>
      <c r="X6" s="5304"/>
      <c r="Y6" s="5304"/>
      <c r="Z6" s="5304"/>
      <c r="AA6" s="5304"/>
      <c r="AB6" s="5305"/>
      <c r="AC6" s="5303"/>
      <c r="AD6" s="5304"/>
      <c r="AE6" s="5304"/>
      <c r="AF6" s="5304"/>
      <c r="AG6" s="5304"/>
      <c r="AH6" s="5304"/>
      <c r="AI6" s="5304"/>
      <c r="AJ6" s="5305"/>
      <c r="AK6" s="1225" t="s">
        <v>607</v>
      </c>
      <c r="AM6" s="425"/>
      <c r="AN6" s="425" t="str">
        <f t="shared" si="0"/>
        <v>Группа потребителей</v>
      </c>
      <c r="AO6" s="425"/>
      <c r="AP6" s="425"/>
    </row>
    <row r="7" spans="1:42" ht="23.25" hidden="1" customHeight="1">
      <c r="A7" s="1278"/>
      <c r="B7" s="1278"/>
      <c r="C7" s="1278"/>
      <c r="D7" s="1278"/>
      <c r="E7" s="5315"/>
      <c r="F7" s="5315"/>
      <c r="G7" s="5315"/>
      <c r="H7" s="5315"/>
      <c r="I7" s="5335"/>
      <c r="J7" s="5335"/>
      <c r="K7" s="5312" t="e">
        <f>J6&amp;".1"</f>
        <v>#N/A</v>
      </c>
      <c r="L7" s="1279"/>
      <c r="P7" s="5313"/>
      <c r="Q7" s="5313"/>
      <c r="R7" s="281">
        <v>1</v>
      </c>
      <c r="S7" s="1402" t="e">
        <f>$K7</f>
        <v>#N/A</v>
      </c>
      <c r="T7" s="1351"/>
      <c r="U7" s="218"/>
      <c r="V7" s="667"/>
      <c r="W7" s="667"/>
      <c r="X7" s="1175"/>
      <c r="Y7" s="5317"/>
      <c r="Z7" s="5161" t="s">
        <v>62</v>
      </c>
      <c r="AA7" s="5317"/>
      <c r="AB7" s="5161" t="s">
        <v>62</v>
      </c>
      <c r="AC7" s="667"/>
      <c r="AD7" s="667"/>
      <c r="AE7" s="1175"/>
      <c r="AF7" s="5317"/>
      <c r="AG7" s="5161" t="s">
        <v>62</v>
      </c>
      <c r="AH7" s="5336"/>
      <c r="AI7" s="5161" t="s">
        <v>62</v>
      </c>
      <c r="AJ7" s="1352"/>
      <c r="AK7"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5315"/>
      <c r="F8" s="5315"/>
      <c r="G8" s="5315"/>
      <c r="H8" s="5315"/>
      <c r="I8" s="5335"/>
      <c r="J8" s="5335"/>
      <c r="K8" s="5312"/>
      <c r="L8" s="1279"/>
      <c r="P8" s="5313"/>
      <c r="Q8" s="5313"/>
      <c r="R8" s="281"/>
      <c r="S8" s="1399"/>
      <c r="T8" s="218"/>
      <c r="U8" s="218"/>
      <c r="V8" s="250"/>
      <c r="W8" s="250"/>
      <c r="X8" s="254" t="str">
        <f>Y7&amp;"-"&amp;AA7</f>
        <v>-</v>
      </c>
      <c r="Y8" s="5318"/>
      <c r="Z8" s="5161"/>
      <c r="AA8" s="5318"/>
      <c r="AB8" s="5161"/>
      <c r="AC8" s="250"/>
      <c r="AD8" s="250"/>
      <c r="AE8" s="254" t="str">
        <f>AF7&amp;"-"&amp;AH7</f>
        <v>-</v>
      </c>
      <c r="AF8" s="5318"/>
      <c r="AG8" s="5161"/>
      <c r="AH8" s="5337"/>
      <c r="AI8" s="5161"/>
      <c r="AJ8" s="1353"/>
      <c r="AK8" s="5372"/>
      <c r="AM8" s="425"/>
      <c r="AN8" s="425" t="str">
        <f t="shared" si="0"/>
        <v/>
      </c>
      <c r="AO8" s="425"/>
      <c r="AP8" s="425"/>
    </row>
    <row r="9" spans="1:42" ht="21" hidden="1" customHeight="1">
      <c r="A9" s="1278"/>
      <c r="B9" s="1278"/>
      <c r="C9" s="1278"/>
      <c r="D9" s="1278"/>
      <c r="E9" s="5315"/>
      <c r="F9" s="5315"/>
      <c r="G9" s="5315"/>
      <c r="H9" s="5315"/>
      <c r="I9" s="5335"/>
      <c r="J9" s="5312"/>
      <c r="K9" s="1278"/>
      <c r="L9" s="1279"/>
      <c r="P9" s="5313"/>
      <c r="Q9" s="5313"/>
      <c r="R9" s="280"/>
      <c r="S9" s="1197"/>
      <c r="T9" s="205" t="s">
        <v>608</v>
      </c>
      <c r="U9" s="294"/>
      <c r="V9" s="294"/>
      <c r="W9" s="294"/>
      <c r="X9" s="294"/>
      <c r="Y9" s="294"/>
      <c r="Z9" s="294"/>
      <c r="AA9" s="294"/>
      <c r="AB9" s="294"/>
      <c r="AC9" s="294"/>
      <c r="AD9" s="294"/>
      <c r="AE9" s="294"/>
      <c r="AF9" s="294"/>
      <c r="AG9" s="294"/>
      <c r="AH9" s="294"/>
      <c r="AI9" s="294"/>
      <c r="AJ9" s="294"/>
      <c r="AK9" s="1176" t="s">
        <v>609</v>
      </c>
      <c r="AM9" s="425"/>
      <c r="AN9" s="425" t="str">
        <f t="shared" si="0"/>
        <v>Добавить значение признака дифференциации</v>
      </c>
      <c r="AO9" s="425"/>
      <c r="AP9" s="425"/>
    </row>
    <row r="10" spans="1:42" ht="21" hidden="1" customHeight="1">
      <c r="A10" s="1278"/>
      <c r="B10" s="1278"/>
      <c r="C10" s="1278"/>
      <c r="D10" s="1278"/>
      <c r="E10" s="5315"/>
      <c r="F10" s="5315"/>
      <c r="G10" s="5315"/>
      <c r="H10" s="5315"/>
      <c r="I10" s="5312"/>
      <c r="J10" s="1278"/>
      <c r="K10" s="1278"/>
      <c r="L10" s="1279"/>
      <c r="P10" s="5313"/>
      <c r="Q10" s="1390"/>
      <c r="R10" s="280"/>
      <c r="S10" s="1197"/>
      <c r="T10" s="291" t="s">
        <v>531</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5315"/>
      <c r="F11" s="5315"/>
      <c r="G11" s="5315"/>
      <c r="H11" s="5314"/>
      <c r="I11" s="1278"/>
      <c r="J11" s="1278"/>
      <c r="K11" s="1278"/>
      <c r="L11" s="1279"/>
      <c r="M11" s="1280"/>
      <c r="N11" s="1280"/>
      <c r="O11" s="461"/>
      <c r="P11" s="284"/>
      <c r="Q11" s="303"/>
      <c r="R11" s="279"/>
      <c r="S11" s="1197"/>
      <c r="T11" s="299" t="s">
        <v>610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167" customFormat="1" ht="14.25" hidden="1" customHeight="1">
      <c r="A12" s="1259"/>
      <c r="B12" s="1259"/>
      <c r="C12" s="1231"/>
      <c r="D12" s="1231"/>
      <c r="E12" s="5315"/>
      <c r="F12" s="5314"/>
      <c r="G12" s="1231"/>
      <c r="H12" s="1231"/>
      <c r="I12" s="1231"/>
      <c r="J12" s="1231"/>
      <c r="K12" s="1231"/>
      <c r="L12" s="140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9" customFormat="1" ht="14.25" hidden="1" customHeight="1">
      <c r="A13" s="1259"/>
      <c r="B13" s="1259"/>
      <c r="C13" s="1259"/>
      <c r="D13" s="1259"/>
      <c r="E13" s="5314"/>
      <c r="F13" s="1259"/>
      <c r="G13" s="1259"/>
      <c r="H13" s="1259"/>
      <c r="I13" s="1259"/>
      <c r="J13" s="1259"/>
      <c r="K13" s="1259"/>
      <c r="L13" s="1262"/>
      <c r="M13" s="1238"/>
      <c r="N13" s="1238"/>
      <c r="O13" s="443"/>
      <c r="P13" s="312"/>
      <c r="Q13" s="1260"/>
      <c r="R13" s="312"/>
      <c r="S13" s="1239"/>
      <c r="T13" s="1242" t="s">
        <v>174</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5319"/>
      <c r="AG15" s="5320" t="s">
        <v>62</v>
      </c>
      <c r="AH15" s="5319"/>
      <c r="AI15" s="5320" t="s">
        <v>62</v>
      </c>
    </row>
    <row r="16" spans="1:42" ht="14.25" hidden="1" customHeight="1">
      <c r="AC16" s="1275"/>
      <c r="AD16" s="1275"/>
      <c r="AE16" s="254" t="str">
        <f>AF15&amp;"-"&amp;AH15</f>
        <v>-</v>
      </c>
      <c r="AF16" s="5320"/>
      <c r="AG16" s="5320"/>
      <c r="AH16" s="5320"/>
      <c r="AI16" s="5320"/>
    </row>
    <row r="17" spans="1:42" ht="14.25" hidden="1" customHeight="1">
      <c r="AI17" s="253"/>
    </row>
    <row r="18" spans="1:42" s="1832" customFormat="1" ht="22.5" hidden="1" customHeight="1">
      <c r="L18" s="1387"/>
      <c r="M18" s="1277"/>
      <c r="N18" s="1277"/>
      <c r="O18" s="1282" t="s">
        <v>533</v>
      </c>
      <c r="P18" s="1277"/>
      <c r="Q18" s="1286"/>
      <c r="R18" s="1286"/>
      <c r="S18" s="647"/>
      <c r="Y18" s="1282"/>
      <c r="AA18" s="1282"/>
      <c r="AB18" s="1281"/>
      <c r="AF18" s="1282"/>
      <c r="AH18" s="1282"/>
      <c r="AI18" s="1281"/>
      <c r="AL18" s="436"/>
      <c r="AM18" s="436"/>
      <c r="AN18" s="436"/>
      <c r="AO18" s="436"/>
      <c r="AP18" s="436"/>
    </row>
    <row r="19" spans="1:42" s="1832" customFormat="1" ht="14.25" hidden="1" customHeight="1">
      <c r="L19" s="1387"/>
      <c r="M19" s="1277"/>
      <c r="N19" s="1277"/>
      <c r="O19" s="1277"/>
      <c r="P19" s="1277"/>
      <c r="Q19" s="1286"/>
      <c r="R19" s="1286"/>
      <c r="S19" s="647"/>
      <c r="AB19" s="1281"/>
      <c r="AI19" s="1281"/>
      <c r="AL19" s="436"/>
      <c r="AM19" s="436"/>
      <c r="AN19" s="436"/>
      <c r="AO19" s="436"/>
      <c r="AP19" s="436"/>
    </row>
    <row r="20" spans="1:42" s="1832" customFormat="1" ht="12" hidden="1" customHeight="1">
      <c r="L20" s="1387"/>
      <c r="M20" s="1277"/>
      <c r="N20" s="1277"/>
      <c r="O20" s="1279" t="s">
        <v>534</v>
      </c>
      <c r="P20" s="1277"/>
      <c r="Q20" s="1355"/>
      <c r="R20" s="1355"/>
      <c r="S20" s="647"/>
      <c r="T20" s="1059" t="s">
        <v>535</v>
      </c>
      <c r="Z20" s="107" t="s">
        <v>536</v>
      </c>
      <c r="AB20" s="107" t="s">
        <v>537</v>
      </c>
      <c r="AC20" s="1059" t="s">
        <v>535</v>
      </c>
      <c r="AG20" s="107" t="s">
        <v>538</v>
      </c>
      <c r="AI20" s="107" t="s">
        <v>537</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5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298"/>
      <c r="U24" s="5298"/>
      <c r="V24" s="5298"/>
      <c r="W24" s="5298"/>
      <c r="X24" s="5298"/>
      <c r="Y24" s="5298"/>
      <c r="Z24" s="5298"/>
      <c r="AA24" s="5298"/>
      <c r="AB24" s="5298"/>
      <c r="AC24" s="5298"/>
      <c r="AD24" s="5298"/>
      <c r="AE24" s="5298"/>
      <c r="AF24" s="5298"/>
      <c r="AG24" s="5298"/>
      <c r="AH24" s="5298"/>
      <c r="AI24" s="1151"/>
    </row>
    <row r="25" spans="1:42" ht="14.25" customHeight="1">
      <c r="Q25" s="304"/>
      <c r="R25" s="304"/>
      <c r="S25" s="5245" t="str">
        <f>IF(org=0,"Не определено",org)</f>
        <v>ПАО "ТГК-1" (филиал "Кольский")</v>
      </c>
      <c r="T25" s="5245"/>
      <c r="U25" s="5245"/>
      <c r="V25" s="5245"/>
      <c r="W25" s="5245"/>
      <c r="X25" s="5245"/>
      <c r="Y25" s="5245"/>
      <c r="Z25" s="5245"/>
      <c r="AA25" s="5245"/>
      <c r="AB25" s="5245"/>
      <c r="AC25" s="5245"/>
      <c r="AD25" s="5245"/>
      <c r="AE25" s="5245"/>
      <c r="AF25" s="5245"/>
      <c r="AG25" s="5245"/>
      <c r="AH25" s="524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180" customFormat="1" ht="25.5" customHeight="1">
      <c r="A27" s="1283"/>
      <c r="B27" s="1283"/>
      <c r="C27" s="1283"/>
      <c r="D27" s="1283"/>
      <c r="E27" s="1283"/>
      <c r="F27" s="1283"/>
      <c r="G27" s="1283"/>
      <c r="H27" s="1283"/>
      <c r="I27" s="1283"/>
      <c r="J27" s="1283"/>
      <c r="K27" s="1283"/>
      <c r="L27" s="1284"/>
      <c r="M27" s="1283"/>
      <c r="N27" s="1283"/>
      <c r="O27" s="1283"/>
      <c r="S27" s="5306" t="s">
        <v>38</v>
      </c>
      <c r="T27" s="5306"/>
      <c r="U27" s="1287"/>
      <c r="V27" s="5307" t="str">
        <f>IF(TITLE_NAME_OR_PR_CHANGE="",IF(TITLE_NAME_OR_PR="","",TITLE_NAME_OR_PR),TITLE_NAME_OR_PR_CHANGE)</f>
        <v>Комитет по тарифному регулированию Мурманской области</v>
      </c>
      <c r="W27" s="5307"/>
      <c r="X27" s="5307"/>
      <c r="Y27" s="5307"/>
      <c r="Z27" s="5307"/>
      <c r="AA27" s="5307"/>
      <c r="AB27" s="252"/>
      <c r="AC27" s="5307" t="str">
        <f>IF(TITLE_NAME_OR_PR_CHANGE="",IF(TITLE_NAME_OR_PR="","",TITLE_NAME_OR_PR),TITLE_NAME_OR_PR_CHANGE)</f>
        <v>Комитет по тарифному регулированию Мурманской области</v>
      </c>
      <c r="AD27" s="5307"/>
      <c r="AE27" s="5307"/>
      <c r="AF27" s="5307"/>
      <c r="AG27" s="5307"/>
      <c r="AH27" s="5307"/>
      <c r="AI27" s="252"/>
      <c r="AJ27" s="252"/>
      <c r="AK27" s="199"/>
      <c r="AL27" s="295"/>
      <c r="AM27" s="295"/>
      <c r="AN27" s="295"/>
      <c r="AO27" s="295"/>
      <c r="AP27" s="295"/>
    </row>
    <row r="28" spans="1:42" s="2180" customFormat="1" ht="18.75" customHeight="1">
      <c r="A28" s="1283"/>
      <c r="B28" s="1283"/>
      <c r="C28" s="1283"/>
      <c r="D28" s="1283"/>
      <c r="E28" s="1283"/>
      <c r="F28" s="1283"/>
      <c r="G28" s="1283"/>
      <c r="H28" s="1283"/>
      <c r="I28" s="1283"/>
      <c r="J28" s="1283"/>
      <c r="K28" s="1283"/>
      <c r="L28" s="1284"/>
      <c r="M28" s="1283"/>
      <c r="N28" s="1283"/>
      <c r="O28" s="1283"/>
      <c r="S28" s="5306" t="s">
        <v>539</v>
      </c>
      <c r="T28" s="5306"/>
      <c r="U28" s="1287"/>
      <c r="V28" s="5316">
        <f>IF(TITLE_DATE_PR_CHANGE="",IF(TITLE_DATE_PR="","",TITLE_DATE_PR),TITLE_DATE_PR_CHANGE)</f>
        <v>45646.340555555558</v>
      </c>
      <c r="W28" s="5316"/>
      <c r="X28" s="5316"/>
      <c r="Y28" s="5316"/>
      <c r="Z28" s="5316"/>
      <c r="AA28" s="5316"/>
      <c r="AB28" s="252"/>
      <c r="AC28" s="5316">
        <f>IF(TITLE_DATE_PR_CHANGE="",IF(TITLE_DATE_PR="","",TITLE_DATE_PR),TITLE_DATE_PR_CHANGE)</f>
        <v>45646.340555555558</v>
      </c>
      <c r="AD28" s="5316"/>
      <c r="AE28" s="5316"/>
      <c r="AF28" s="5316"/>
      <c r="AG28" s="5316"/>
      <c r="AH28" s="5316"/>
      <c r="AI28" s="252"/>
      <c r="AJ28" s="252"/>
      <c r="AK28" s="199"/>
      <c r="AL28" s="295"/>
      <c r="AM28" s="295"/>
      <c r="AN28" s="295"/>
      <c r="AO28" s="295"/>
      <c r="AP28" s="295"/>
    </row>
    <row r="29" spans="1:42" s="2180" customFormat="1" ht="18.75" customHeight="1">
      <c r="A29" s="1283"/>
      <c r="B29" s="1283"/>
      <c r="C29" s="1283"/>
      <c r="D29" s="1283"/>
      <c r="E29" s="1283"/>
      <c r="F29" s="1283"/>
      <c r="G29" s="1283"/>
      <c r="H29" s="1283"/>
      <c r="I29" s="1283"/>
      <c r="J29" s="1283"/>
      <c r="K29" s="1283"/>
      <c r="L29" s="1284"/>
      <c r="M29" s="1283"/>
      <c r="N29" s="1283"/>
      <c r="O29" s="1283"/>
      <c r="S29" s="5306" t="s">
        <v>540</v>
      </c>
      <c r="T29" s="5306"/>
      <c r="U29" s="1287"/>
      <c r="V29" s="5307" t="str">
        <f>IF(TITLE_NUMBER_PR_CHANGE="",IF(TITLE_NUMBER_PR="","",TITLE_NUMBER_PR),TITLE_NUMBER_PR_CHANGE)</f>
        <v>51/6; 51/7</v>
      </c>
      <c r="W29" s="5307"/>
      <c r="X29" s="5307"/>
      <c r="Y29" s="5307"/>
      <c r="Z29" s="5307"/>
      <c r="AA29" s="5307"/>
      <c r="AB29" s="252"/>
      <c r="AC29" s="5307" t="str">
        <f>IF(TITLE_NUMBER_PR_CHANGE="",IF(TITLE_NUMBER_PR="","",TITLE_NUMBER_PR),TITLE_NUMBER_PR_CHANGE)</f>
        <v>51/6; 51/7</v>
      </c>
      <c r="AD29" s="5307"/>
      <c r="AE29" s="5307"/>
      <c r="AF29" s="5307"/>
      <c r="AG29" s="5307"/>
      <c r="AH29" s="5307"/>
      <c r="AI29" s="252"/>
      <c r="AJ29" s="252"/>
      <c r="AK29" s="199"/>
      <c r="AL29" s="295"/>
      <c r="AM29" s="295"/>
      <c r="AN29" s="295"/>
      <c r="AO29" s="295"/>
      <c r="AP29" s="295"/>
    </row>
    <row r="30" spans="1:42" s="2180" customFormat="1" ht="18.75" customHeight="1">
      <c r="A30" s="1283"/>
      <c r="B30" s="1283"/>
      <c r="C30" s="1283"/>
      <c r="D30" s="1283"/>
      <c r="E30" s="1283"/>
      <c r="F30" s="1283"/>
      <c r="G30" s="1283"/>
      <c r="H30" s="1283"/>
      <c r="I30" s="1283"/>
      <c r="J30" s="1283"/>
      <c r="K30" s="1283"/>
      <c r="L30" s="1284"/>
      <c r="M30" s="1283"/>
      <c r="N30" s="1283"/>
      <c r="O30" s="1283"/>
      <c r="S30" s="5306" t="s">
        <v>40</v>
      </c>
      <c r="T30" s="5306"/>
      <c r="U30" s="1287"/>
      <c r="V30" s="5307" t="str">
        <f>IF(TITLE_IST_PUB_CHANGE="",IF(TITLE_IST_PUB="","",TITLE_IST_PUB),TITLE_IST_PUB_CHANGE)</f>
        <v>Официальный электронный бюллетень Правительства Мурманской области</v>
      </c>
      <c r="W30" s="5307"/>
      <c r="X30" s="5307"/>
      <c r="Y30" s="5307"/>
      <c r="Z30" s="5307"/>
      <c r="AA30" s="5307"/>
      <c r="AB30" s="252"/>
      <c r="AC30" s="5307" t="str">
        <f>IF(TITLE_IST_PUB_CHANGE="",IF(TITLE_IST_PUB="","",TITLE_IST_PUB),TITLE_IST_PUB_CHANGE)</f>
        <v>Официальный электронный бюллетень Правительства Мурманской области</v>
      </c>
      <c r="AD30" s="5307"/>
      <c r="AE30" s="5307"/>
      <c r="AF30" s="5307"/>
      <c r="AG30" s="5307"/>
      <c r="AH30" s="5307"/>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180" customFormat="1" ht="18.75" customHeight="1">
      <c r="A32" s="1283"/>
      <c r="B32" s="1283"/>
      <c r="C32" s="1283"/>
      <c r="D32" s="1283"/>
      <c r="E32" s="1283"/>
      <c r="F32" s="1283"/>
      <c r="G32" s="1283"/>
      <c r="H32" s="1283"/>
      <c r="I32" s="1283"/>
      <c r="J32" s="1283"/>
      <c r="K32" s="1283"/>
      <c r="L32" s="1284"/>
      <c r="M32" s="1283"/>
      <c r="N32" s="1283"/>
      <c r="O32" s="1283"/>
      <c r="S32" s="5306" t="s">
        <v>541</v>
      </c>
      <c r="T32" s="5306"/>
      <c r="U32" s="1287"/>
      <c r="V32" s="5316">
        <f>IF(TITLE_DATE_PR_CHANGE="",IF(TITLE_DATE_PR="","",TITLE_DATE_PR),TITLE_DATE_PR_CHANGE)</f>
        <v>45646.340555555558</v>
      </c>
      <c r="W32" s="5316"/>
      <c r="X32" s="5316"/>
      <c r="Y32" s="5316"/>
      <c r="Z32" s="5316"/>
      <c r="AA32" s="5316"/>
      <c r="AB32" s="252"/>
      <c r="AC32" s="5316">
        <f>IF(TITLE_DATE_PR_CHANGE="",IF(TITLE_DATE_PR="","",TITLE_DATE_PR),TITLE_DATE_PR_CHANGE)</f>
        <v>45646.340555555558</v>
      </c>
      <c r="AD32" s="5316"/>
      <c r="AE32" s="5316"/>
      <c r="AF32" s="5316"/>
      <c r="AG32" s="5316"/>
      <c r="AH32" s="5316"/>
      <c r="AI32" s="252"/>
      <c r="AJ32" s="252"/>
      <c r="AK32" s="199"/>
      <c r="AL32" s="295"/>
      <c r="AM32" s="295"/>
      <c r="AN32" s="295"/>
      <c r="AO32" s="295"/>
      <c r="AP32" s="295"/>
    </row>
    <row r="33" spans="1:42" s="2180" customFormat="1" ht="18.75" customHeight="1">
      <c r="A33" s="1283"/>
      <c r="B33" s="1283"/>
      <c r="C33" s="1283"/>
      <c r="D33" s="1283"/>
      <c r="E33" s="1283"/>
      <c r="F33" s="1283"/>
      <c r="G33" s="1283"/>
      <c r="H33" s="1283"/>
      <c r="I33" s="1283"/>
      <c r="J33" s="1283"/>
      <c r="K33" s="1283"/>
      <c r="L33" s="1284"/>
      <c r="M33" s="1283"/>
      <c r="N33" s="1283"/>
      <c r="O33" s="1283"/>
      <c r="S33" s="5306" t="s">
        <v>542</v>
      </c>
      <c r="T33" s="5306"/>
      <c r="U33" s="1287"/>
      <c r="V33" s="5307" t="str">
        <f>IF(TITLE_NUMBER_PR_CHANGE="",IF(TITLE_NUMBER_PR="","",TITLE_NUMBER_PR),TITLE_NUMBER_PR_CHANGE)</f>
        <v>51/6; 51/7</v>
      </c>
      <c r="W33" s="5307"/>
      <c r="X33" s="5307"/>
      <c r="Y33" s="5307"/>
      <c r="Z33" s="5307"/>
      <c r="AA33" s="5307"/>
      <c r="AB33" s="252"/>
      <c r="AC33" s="5307" t="str">
        <f>IF(TITLE_NUMBER_PR_CHANGE="",IF(TITLE_NUMBER_PR="","",TITLE_NUMBER_PR),TITLE_NUMBER_PR_CHANGE)</f>
        <v>51/6; 51/7</v>
      </c>
      <c r="AD33" s="5307"/>
      <c r="AE33" s="5307"/>
      <c r="AF33" s="5307"/>
      <c r="AG33" s="5307"/>
      <c r="AH33" s="5307"/>
      <c r="AI33" s="252"/>
      <c r="AJ33" s="252"/>
      <c r="AK33" s="199"/>
      <c r="AL33" s="295"/>
      <c r="AM33" s="295"/>
      <c r="AN33" s="295"/>
      <c r="AO33" s="295"/>
      <c r="AP33" s="295"/>
    </row>
    <row r="34" spans="1:42" s="218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543</v>
      </c>
      <c r="AC34" s="252"/>
      <c r="AD34" s="252"/>
      <c r="AE34" s="252"/>
      <c r="AF34" s="252"/>
      <c r="AG34" s="252"/>
      <c r="AH34" s="252"/>
      <c r="AI34" s="197" t="s">
        <v>543</v>
      </c>
      <c r="AL34" s="295"/>
      <c r="AM34" s="295"/>
      <c r="AN34" s="295"/>
      <c r="AO34" s="295"/>
      <c r="AP34" s="295"/>
    </row>
    <row r="35" spans="1:42" ht="14.25" customHeight="1">
      <c r="Q35" s="304"/>
      <c r="R35" s="304"/>
      <c r="S35" s="1194"/>
      <c r="T35" s="289"/>
      <c r="U35" s="1152"/>
      <c r="V35" s="5308"/>
      <c r="W35" s="5308"/>
      <c r="X35" s="5308"/>
      <c r="Y35" s="5308"/>
      <c r="Z35" s="5308"/>
      <c r="AA35" s="5308"/>
      <c r="AB35" s="5308"/>
      <c r="AC35" s="5308"/>
      <c r="AD35" s="5308"/>
      <c r="AE35" s="5308"/>
      <c r="AF35" s="5308"/>
      <c r="AG35" s="5308"/>
      <c r="AH35" s="5308"/>
      <c r="AI35" s="5308"/>
    </row>
    <row r="36" spans="1:42" ht="14.25" customHeight="1">
      <c r="Q36" s="304"/>
      <c r="R36" s="304"/>
      <c r="S36" s="5180" t="s">
        <v>417</v>
      </c>
      <c r="T36" s="5180"/>
      <c r="U36" s="5180"/>
      <c r="V36" s="5180"/>
      <c r="W36" s="5180"/>
      <c r="X36" s="5180"/>
      <c r="Y36" s="5180"/>
      <c r="Z36" s="5180"/>
      <c r="AA36" s="5180"/>
      <c r="AB36" s="5180"/>
      <c r="AC36" s="5180"/>
      <c r="AD36" s="5180"/>
      <c r="AE36" s="5180"/>
      <c r="AF36" s="5180"/>
      <c r="AG36" s="5180"/>
      <c r="AH36" s="5180"/>
      <c r="AI36" s="5180"/>
      <c r="AJ36" s="5180"/>
      <c r="AK36" s="5180" t="s">
        <v>418</v>
      </c>
    </row>
    <row r="37" spans="1:42" ht="14.25" customHeight="1">
      <c r="Q37" s="304"/>
      <c r="R37" s="304"/>
      <c r="S37" s="5322" t="s">
        <v>83</v>
      </c>
      <c r="T37" s="5274" t="s">
        <v>544</v>
      </c>
      <c r="U37" s="219"/>
      <c r="V37" s="5323" t="s">
        <v>545</v>
      </c>
      <c r="W37" s="5324"/>
      <c r="X37" s="5324"/>
      <c r="Y37" s="5324"/>
      <c r="Z37" s="5324"/>
      <c r="AA37" s="5325"/>
      <c r="AB37" s="5326" t="s">
        <v>546</v>
      </c>
      <c r="AC37" s="5323" t="s">
        <v>545</v>
      </c>
      <c r="AD37" s="5324"/>
      <c r="AE37" s="5324"/>
      <c r="AF37" s="5324"/>
      <c r="AG37" s="5324"/>
      <c r="AH37" s="5325"/>
      <c r="AI37" s="5326" t="s">
        <v>547</v>
      </c>
      <c r="AJ37" s="5329" t="s">
        <v>548</v>
      </c>
      <c r="AK37" s="5180"/>
    </row>
    <row r="38" spans="1:42" ht="33.75" customHeight="1">
      <c r="Q38" s="304"/>
      <c r="R38" s="304"/>
      <c r="S38" s="5322"/>
      <c r="T38" s="5274"/>
      <c r="U38" s="937"/>
      <c r="V38" s="1392" t="s">
        <v>652</v>
      </c>
      <c r="W38" s="5151" t="s">
        <v>653</v>
      </c>
      <c r="X38" s="5150"/>
      <c r="Y38" s="5151" t="s">
        <v>552</v>
      </c>
      <c r="Z38" s="5156"/>
      <c r="AA38" s="5150"/>
      <c r="AB38" s="5327"/>
      <c r="AC38" s="1392" t="s">
        <v>652</v>
      </c>
      <c r="AD38" s="5151" t="s">
        <v>653</v>
      </c>
      <c r="AE38" s="5150"/>
      <c r="AF38" s="5151" t="s">
        <v>552</v>
      </c>
      <c r="AG38" s="5156"/>
      <c r="AH38" s="5150"/>
      <c r="AI38" s="5327"/>
      <c r="AJ38" s="5330"/>
      <c r="AK38" s="5180"/>
    </row>
    <row r="39" spans="1:42" ht="86.25" customHeight="1">
      <c r="A39" s="1285"/>
      <c r="B39" s="1285" t="s">
        <v>139</v>
      </c>
      <c r="C39" s="1285" t="s">
        <v>140</v>
      </c>
      <c r="D39" s="1285" t="s">
        <v>141</v>
      </c>
      <c r="E39" s="1279" t="s">
        <v>553</v>
      </c>
      <c r="F39" s="1279" t="s">
        <v>554</v>
      </c>
      <c r="G39" s="1279" t="s">
        <v>555</v>
      </c>
      <c r="H39" s="1279"/>
      <c r="I39" s="1279" t="s">
        <v>612</v>
      </c>
      <c r="J39" s="1279" t="s">
        <v>558</v>
      </c>
      <c r="K39" s="1279" t="s">
        <v>613</v>
      </c>
      <c r="L39" s="1279" t="s">
        <v>534</v>
      </c>
      <c r="Q39" s="304"/>
      <c r="R39" s="304"/>
      <c r="S39" s="5322"/>
      <c r="T39" s="5274"/>
      <c r="U39" s="220"/>
      <c r="V39" s="1392" t="s">
        <v>654</v>
      </c>
      <c r="W39" s="1127" t="s">
        <v>655</v>
      </c>
      <c r="X39" s="1127" t="s">
        <v>656</v>
      </c>
      <c r="Y39" s="1398" t="s">
        <v>562</v>
      </c>
      <c r="Z39" s="5282" t="s">
        <v>563</v>
      </c>
      <c r="AA39" s="5284"/>
      <c r="AB39" s="5328"/>
      <c r="AC39" s="1392" t="s">
        <v>654</v>
      </c>
      <c r="AD39" s="1127" t="s">
        <v>655</v>
      </c>
      <c r="AE39" s="1127" t="s">
        <v>656</v>
      </c>
      <c r="AF39" s="1398" t="s">
        <v>562</v>
      </c>
      <c r="AG39" s="5282" t="s">
        <v>563</v>
      </c>
      <c r="AH39" s="5284"/>
      <c r="AI39" s="5328"/>
      <c r="AJ39" s="5331"/>
      <c r="AK39" s="5180"/>
    </row>
    <row r="40" spans="1:42" s="1818"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114</v>
      </c>
      <c r="T40" s="1171" t="s">
        <v>98</v>
      </c>
      <c r="U40" s="1153" t="str">
        <f ca="1">OFFSET(U40,0,-1)</f>
        <v>2</v>
      </c>
      <c r="V40" s="1391">
        <f ca="1">OFFSET(V40,0,-1)+1</f>
        <v>3</v>
      </c>
      <c r="W40" s="1391">
        <f ca="1">OFFSET(W40,0,-1)+1</f>
        <v>4</v>
      </c>
      <c r="X40" s="1391">
        <f ca="1">OFFSET(X40,0,-1)+1</f>
        <v>5</v>
      </c>
      <c r="Y40" s="1391">
        <f ca="1">OFFSET(Y40,0,-1)+1</f>
        <v>6</v>
      </c>
      <c r="Z40" s="5321">
        <f ca="1">OFFSET(Z40,0,-1)+1</f>
        <v>7</v>
      </c>
      <c r="AA40" s="5321"/>
      <c r="AB40" s="1391">
        <f ca="1">OFFSET(AB40,0,-2)+1</f>
        <v>8</v>
      </c>
      <c r="AC40" s="1391">
        <f ca="1">OFFSET(AC40,0,-1)+1</f>
        <v>9</v>
      </c>
      <c r="AD40" s="1391">
        <f ca="1">OFFSET(AD40,0,-1)+1</f>
        <v>10</v>
      </c>
      <c r="AE40" s="1391">
        <f ca="1">OFFSET(AE40,0,-1)+1</f>
        <v>11</v>
      </c>
      <c r="AF40" s="1391">
        <f ca="1">OFFSET(AF40,0,-1)+1</f>
        <v>12</v>
      </c>
      <c r="AG40" s="5321">
        <f ca="1">OFFSET(AG40,0,-1)+1</f>
        <v>13</v>
      </c>
      <c r="AH40" s="5321"/>
      <c r="AI40" s="1391">
        <f ca="1">OFFSET(AI40,0,-2)+1</f>
        <v>14</v>
      </c>
      <c r="AJ40" s="1153">
        <f ca="1">OFFSET(AJ40,0,-1)</f>
        <v>14</v>
      </c>
      <c r="AK40" s="1391">
        <f ca="1">OFFSET(AK40,0,-1)+1</f>
        <v>15</v>
      </c>
      <c r="AL40" s="436"/>
      <c r="AM40" s="436"/>
      <c r="AN40" s="436"/>
      <c r="AO40" s="436"/>
      <c r="AP40" s="436"/>
    </row>
    <row r="41" spans="1:42" ht="23.25" customHeight="1">
      <c r="A41" s="1278" t="s">
        <v>368</v>
      </c>
      <c r="B41" s="1278"/>
      <c r="C41" s="1278"/>
      <c r="D41" s="1278"/>
      <c r="E41" s="5314">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127</v>
      </c>
      <c r="U41" s="218"/>
      <c r="V41" s="5300"/>
      <c r="W41" s="5301"/>
      <c r="X41" s="5301"/>
      <c r="Y41" s="5301"/>
      <c r="Z41" s="5301"/>
      <c r="AA41" s="5301"/>
      <c r="AB41" s="5302"/>
      <c r="AC41" s="5300" t="str">
        <f>INDEX(PT_DIFFERENTIATION_NTAR,MATCH(A41,PT_DIFFERENTIATION_NTAR_ID,0))</f>
        <v/>
      </c>
      <c r="AD41" s="5301"/>
      <c r="AE41" s="5301"/>
      <c r="AF41" s="5301"/>
      <c r="AG41" s="5301"/>
      <c r="AH41" s="5301"/>
      <c r="AI41" s="5301"/>
      <c r="AJ41" s="530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368</v>
      </c>
      <c r="B42" s="1278" t="s">
        <v>369</v>
      </c>
      <c r="C42" s="1278"/>
      <c r="D42" s="1278"/>
      <c r="E42" s="5315"/>
      <c r="F42" s="5314">
        <v>1</v>
      </c>
      <c r="G42" s="1278"/>
      <c r="H42" s="1278"/>
      <c r="I42" s="1278"/>
      <c r="J42" s="1278"/>
      <c r="K42" s="1278"/>
      <c r="L42" s="1279"/>
      <c r="M42" s="1280"/>
      <c r="N42" s="1280"/>
      <c r="O42" s="1280"/>
      <c r="P42" s="1396"/>
      <c r="Q42" s="276"/>
      <c r="R42" s="277"/>
      <c r="S42" s="1402" t="str">
        <f>INDEX(PT_DIFFERENTIATION_NUM_TER,MATCH(B42,PT_DIFFERENTIATION_TER_ID,0))</f>
        <v>.</v>
      </c>
      <c r="T42" s="228" t="s">
        <v>516</v>
      </c>
      <c r="U42" s="218"/>
      <c r="V42" s="5300"/>
      <c r="W42" s="5301"/>
      <c r="X42" s="5301"/>
      <c r="Y42" s="5301"/>
      <c r="Z42" s="5301"/>
      <c r="AA42" s="5301"/>
      <c r="AB42" s="5302"/>
      <c r="AC42" s="5300" t="str">
        <f>INDEX(PT_DIFFERENTIATION_TER,MATCH(B42,PT_DIFFERENTIATION_TER_ID,0))</f>
        <v/>
      </c>
      <c r="AD42" s="5301"/>
      <c r="AE42" s="5301"/>
      <c r="AF42" s="5301"/>
      <c r="AG42" s="5301"/>
      <c r="AH42" s="5301"/>
      <c r="AI42" s="5301"/>
      <c r="AJ42" s="5302"/>
      <c r="AK42" s="1176" t="s">
        <v>517</v>
      </c>
      <c r="AM42" s="425"/>
      <c r="AN42" s="425" t="str">
        <f t="shared" si="1"/>
        <v>Территория действия тарифа</v>
      </c>
      <c r="AO42" s="425"/>
      <c r="AP42" s="425"/>
    </row>
    <row r="43" spans="1:42" ht="23.25" customHeight="1">
      <c r="A43" s="1278" t="s">
        <v>368</v>
      </c>
      <c r="B43" s="1278" t="s">
        <v>369</v>
      </c>
      <c r="C43" s="1278" t="s">
        <v>370</v>
      </c>
      <c r="D43" s="1278"/>
      <c r="E43" s="5315"/>
      <c r="F43" s="5315"/>
      <c r="G43" s="5314">
        <v>1</v>
      </c>
      <c r="H43" s="1278"/>
      <c r="I43" s="1278"/>
      <c r="J43" s="1278"/>
      <c r="K43" s="1278"/>
      <c r="L43" s="1279"/>
      <c r="M43" s="1280"/>
      <c r="N43" s="1280"/>
      <c r="O43" s="1280"/>
      <c r="P43" s="278"/>
      <c r="Q43" s="276"/>
      <c r="R43" s="277"/>
      <c r="S43" s="1402" t="str">
        <f>INDEX(PT_DIFFERENTIATION_NUM_CS,MATCH(C43,PT_DIFFERENTIATION_CS_ID,0))</f>
        <v>..</v>
      </c>
      <c r="T43" s="229" t="s">
        <v>650</v>
      </c>
      <c r="U43" s="218"/>
      <c r="V43" s="5300"/>
      <c r="W43" s="5301"/>
      <c r="X43" s="5301"/>
      <c r="Y43" s="5301"/>
      <c r="Z43" s="5301"/>
      <c r="AA43" s="5301"/>
      <c r="AB43" s="5302"/>
      <c r="AC43" s="5300" t="str">
        <f>INDEX(PT_DIFFERENTIATION_CS,MATCH(C43,PT_DIFFERENTIATION_CS_ID,0))</f>
        <v/>
      </c>
      <c r="AD43" s="5301"/>
      <c r="AE43" s="5301"/>
      <c r="AF43" s="5301"/>
      <c r="AG43" s="5301"/>
      <c r="AH43" s="5301"/>
      <c r="AI43" s="5301"/>
      <c r="AJ43" s="5302"/>
      <c r="AK43" s="1176" t="s">
        <v>651</v>
      </c>
      <c r="AM43" s="425"/>
      <c r="AN43" s="425" t="str">
        <f t="shared" si="1"/>
        <v>Наименование централизованной системы горячего водоснабжения</v>
      </c>
      <c r="AO43" s="425"/>
      <c r="AP43" s="425"/>
    </row>
    <row r="44" spans="1:42" ht="23.25" customHeight="1">
      <c r="A44" s="1278" t="s">
        <v>368</v>
      </c>
      <c r="B44" s="1278" t="s">
        <v>369</v>
      </c>
      <c r="C44" s="1278" t="s">
        <v>370</v>
      </c>
      <c r="D44" s="1278" t="s">
        <v>657</v>
      </c>
      <c r="E44" s="5315"/>
      <c r="F44" s="5315"/>
      <c r="G44" s="5315"/>
      <c r="H44" s="5315"/>
      <c r="I44" s="5312" t="str">
        <f>S43&amp;".1"</f>
        <v>...1</v>
      </c>
      <c r="J44" s="1278"/>
      <c r="K44" s="1278"/>
      <c r="L44" s="1279"/>
      <c r="P44" s="5313">
        <v>1</v>
      </c>
      <c r="Q44" s="1390"/>
      <c r="R44" s="280"/>
      <c r="S44" s="1402" t="str">
        <f>$I44</f>
        <v>...1</v>
      </c>
      <c r="T44" s="203" t="s">
        <v>605</v>
      </c>
      <c r="U44" s="218"/>
      <c r="V44" s="5373"/>
      <c r="W44" s="5374"/>
      <c r="X44" s="5374"/>
      <c r="Y44" s="5374"/>
      <c r="Z44" s="5374"/>
      <c r="AA44" s="5374"/>
      <c r="AB44" s="5375"/>
      <c r="AC44" s="5376"/>
      <c r="AD44" s="5377"/>
      <c r="AE44" s="5377"/>
      <c r="AF44" s="5377"/>
      <c r="AG44" s="5377"/>
      <c r="AH44" s="5377"/>
      <c r="AI44" s="5377"/>
      <c r="AJ44" s="5378"/>
      <c r="AK44" s="1176" t="s">
        <v>606</v>
      </c>
      <c r="AM44" s="425"/>
      <c r="AN44" s="425" t="str">
        <f t="shared" si="1"/>
        <v>Наименование признака дифференциации</v>
      </c>
      <c r="AO44" s="425"/>
      <c r="AP44" s="425"/>
    </row>
    <row r="45" spans="1:42" ht="23.25" customHeight="1">
      <c r="A45" s="1278" t="s">
        <v>368</v>
      </c>
      <c r="B45" s="1278" t="s">
        <v>369</v>
      </c>
      <c r="C45" s="1278" t="s">
        <v>370</v>
      </c>
      <c r="D45" s="1278" t="s">
        <v>657</v>
      </c>
      <c r="E45" s="5315"/>
      <c r="F45" s="5315"/>
      <c r="G45" s="5315"/>
      <c r="H45" s="5315"/>
      <c r="I45" s="5335"/>
      <c r="J45" s="5312" t="str">
        <f>I44&amp;".1"</f>
        <v>...1.1</v>
      </c>
      <c r="K45" s="1278"/>
      <c r="L45" s="1279" t="s">
        <v>525</v>
      </c>
      <c r="P45" s="5313"/>
      <c r="Q45" s="5313">
        <v>1</v>
      </c>
      <c r="R45" s="281"/>
      <c r="S45" s="1402" t="str">
        <f>$J45</f>
        <v>...1.1</v>
      </c>
      <c r="T45" s="204" t="s">
        <v>526</v>
      </c>
      <c r="U45" s="218"/>
      <c r="V45" s="5303"/>
      <c r="W45" s="5304"/>
      <c r="X45" s="5304"/>
      <c r="Y45" s="5304"/>
      <c r="Z45" s="5304"/>
      <c r="AA45" s="5304"/>
      <c r="AB45" s="5305"/>
      <c r="AC45" s="5303"/>
      <c r="AD45" s="5304"/>
      <c r="AE45" s="5304"/>
      <c r="AF45" s="5304"/>
      <c r="AG45" s="5304"/>
      <c r="AH45" s="5304"/>
      <c r="AI45" s="5304"/>
      <c r="AJ45" s="5305"/>
      <c r="AK45" s="1225" t="s">
        <v>607</v>
      </c>
      <c r="AM45" s="425"/>
      <c r="AN45" s="425" t="str">
        <f t="shared" si="1"/>
        <v>Группа потребителей</v>
      </c>
      <c r="AO45" s="425"/>
      <c r="AP45" s="425"/>
    </row>
    <row r="46" spans="1:42" ht="23.25" customHeight="1">
      <c r="A46" s="1278" t="s">
        <v>368</v>
      </c>
      <c r="B46" s="1278" t="s">
        <v>369</v>
      </c>
      <c r="C46" s="1278" t="s">
        <v>370</v>
      </c>
      <c r="D46" s="1278" t="s">
        <v>657</v>
      </c>
      <c r="E46" s="5315"/>
      <c r="F46" s="5315"/>
      <c r="G46" s="5315"/>
      <c r="H46" s="5315"/>
      <c r="I46" s="5335"/>
      <c r="J46" s="5335"/>
      <c r="K46" s="5312" t="str">
        <f>J45&amp;".1"</f>
        <v>...1.1.1</v>
      </c>
      <c r="L46" s="1279"/>
      <c r="P46" s="5313"/>
      <c r="Q46" s="5313"/>
      <c r="R46" s="281">
        <v>1</v>
      </c>
      <c r="S46" s="1402" t="str">
        <f>$K46</f>
        <v>...1.1.1</v>
      </c>
      <c r="T46" s="1351"/>
      <c r="U46" s="218"/>
      <c r="V46" s="1275"/>
      <c r="W46" s="1275"/>
      <c r="X46" s="1276"/>
      <c r="Y46" s="5319"/>
      <c r="Z46" s="5320" t="s">
        <v>62</v>
      </c>
      <c r="AA46" s="5319"/>
      <c r="AB46" s="5320" t="s">
        <v>62</v>
      </c>
      <c r="AC46" s="667"/>
      <c r="AD46" s="667"/>
      <c r="AE46" s="1175"/>
      <c r="AF46" s="5317"/>
      <c r="AG46" s="5161" t="s">
        <v>62</v>
      </c>
      <c r="AH46" s="5336"/>
      <c r="AI46" s="5161" t="s">
        <v>57</v>
      </c>
      <c r="AJ46" s="1352"/>
      <c r="AK46" s="5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368</v>
      </c>
      <c r="B47" s="1278" t="s">
        <v>369</v>
      </c>
      <c r="C47" s="1278" t="s">
        <v>370</v>
      </c>
      <c r="D47" s="1278" t="s">
        <v>657</v>
      </c>
      <c r="E47" s="5315"/>
      <c r="F47" s="5315"/>
      <c r="G47" s="5315"/>
      <c r="H47" s="5315"/>
      <c r="I47" s="5335"/>
      <c r="J47" s="5335"/>
      <c r="K47" s="5312"/>
      <c r="L47" s="1279"/>
      <c r="P47" s="5313"/>
      <c r="Q47" s="5313"/>
      <c r="R47" s="281"/>
      <c r="S47" s="1399"/>
      <c r="T47" s="218"/>
      <c r="U47" s="218"/>
      <c r="V47" s="1275"/>
      <c r="W47" s="1275"/>
      <c r="X47" s="254" t="str">
        <f>Y46&amp;"-"&amp;AA46</f>
        <v>-</v>
      </c>
      <c r="Y47" s="5320"/>
      <c r="Z47" s="5320"/>
      <c r="AA47" s="5320"/>
      <c r="AB47" s="5320"/>
      <c r="AC47" s="250"/>
      <c r="AD47" s="250"/>
      <c r="AE47" s="254" t="str">
        <f>AF46&amp;"-"&amp;AH46</f>
        <v>-</v>
      </c>
      <c r="AF47" s="5318"/>
      <c r="AG47" s="5161"/>
      <c r="AH47" s="5337"/>
      <c r="AI47" s="5161"/>
      <c r="AJ47" s="1353"/>
      <c r="AK47" s="5372"/>
      <c r="AM47" s="425"/>
      <c r="AN47" s="425" t="str">
        <f t="shared" si="1"/>
        <v/>
      </c>
      <c r="AO47" s="425"/>
      <c r="AP47" s="425"/>
    </row>
    <row r="48" spans="1:42" ht="21" customHeight="1">
      <c r="A48" s="1278" t="s">
        <v>368</v>
      </c>
      <c r="B48" s="1278" t="s">
        <v>369</v>
      </c>
      <c r="C48" s="1278" t="s">
        <v>370</v>
      </c>
      <c r="D48" s="1278" t="s">
        <v>657</v>
      </c>
      <c r="E48" s="5315"/>
      <c r="F48" s="5315"/>
      <c r="G48" s="5315"/>
      <c r="H48" s="5315"/>
      <c r="I48" s="5335"/>
      <c r="J48" s="5312"/>
      <c r="K48" s="1278"/>
      <c r="L48" s="1279"/>
      <c r="P48" s="5313"/>
      <c r="Q48" s="5313"/>
      <c r="R48" s="280"/>
      <c r="S48" s="1197"/>
      <c r="T48" s="205" t="s">
        <v>608</v>
      </c>
      <c r="U48" s="294"/>
      <c r="V48" s="294"/>
      <c r="W48" s="294"/>
      <c r="X48" s="294"/>
      <c r="Y48" s="294"/>
      <c r="Z48" s="294"/>
      <c r="AA48" s="294"/>
      <c r="AB48" s="294"/>
      <c r="AC48" s="294"/>
      <c r="AD48" s="294"/>
      <c r="AE48" s="294"/>
      <c r="AF48" s="294"/>
      <c r="AG48" s="294"/>
      <c r="AH48" s="294"/>
      <c r="AI48" s="294"/>
      <c r="AJ48" s="294"/>
      <c r="AK48" s="1176" t="s">
        <v>609</v>
      </c>
      <c r="AM48" s="425"/>
      <c r="AN48" s="425" t="str">
        <f t="shared" si="1"/>
        <v>Добавить значение признака дифференциации</v>
      </c>
      <c r="AO48" s="425"/>
      <c r="AP48" s="425"/>
    </row>
    <row r="49" spans="1:42" ht="21" customHeight="1">
      <c r="A49" s="1278" t="s">
        <v>368</v>
      </c>
      <c r="B49" s="1278" t="s">
        <v>369</v>
      </c>
      <c r="C49" s="1278" t="s">
        <v>370</v>
      </c>
      <c r="D49" s="1278" t="s">
        <v>657</v>
      </c>
      <c r="E49" s="5315"/>
      <c r="F49" s="5315"/>
      <c r="G49" s="5315"/>
      <c r="H49" s="5315"/>
      <c r="I49" s="5312"/>
      <c r="J49" s="1278"/>
      <c r="K49" s="1278"/>
      <c r="L49" s="1279"/>
      <c r="P49" s="5313"/>
      <c r="Q49" s="1390"/>
      <c r="R49" s="280"/>
      <c r="S49" s="1197"/>
      <c r="T49" s="291" t="s">
        <v>531</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368</v>
      </c>
      <c r="B50" s="1278" t="s">
        <v>369</v>
      </c>
      <c r="C50" s="1278" t="s">
        <v>370</v>
      </c>
      <c r="D50" s="1278" t="s">
        <v>657</v>
      </c>
      <c r="E50" s="5315"/>
      <c r="F50" s="5315"/>
      <c r="G50" s="5315"/>
      <c r="H50" s="5314"/>
      <c r="I50" s="1278"/>
      <c r="J50" s="1278"/>
      <c r="K50" s="1278"/>
      <c r="L50" s="1279"/>
      <c r="M50" s="1280"/>
      <c r="N50" s="1280"/>
      <c r="O50" s="461"/>
      <c r="P50" s="284"/>
      <c r="Q50" s="303"/>
      <c r="R50" s="279"/>
      <c r="S50" s="1197"/>
      <c r="T50" s="299" t="s">
        <v>610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167" customFormat="1" ht="0" hidden="1" customHeight="1">
      <c r="A51" s="1259" t="s">
        <v>368</v>
      </c>
      <c r="B51" s="1259" t="s">
        <v>369</v>
      </c>
      <c r="C51" s="1231"/>
      <c r="D51" s="1231"/>
      <c r="E51" s="5315"/>
      <c r="F51" s="5314"/>
      <c r="G51" s="1231"/>
      <c r="H51" s="1231"/>
      <c r="I51" s="1231"/>
      <c r="J51" s="1231"/>
      <c r="K51" s="1231"/>
      <c r="L51" s="140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9" customFormat="1" ht="0" hidden="1" customHeight="1">
      <c r="A52" s="1259" t="s">
        <v>368</v>
      </c>
      <c r="B52" s="1259"/>
      <c r="C52" s="1259"/>
      <c r="D52" s="1259"/>
      <c r="E52" s="5314"/>
      <c r="F52" s="1259"/>
      <c r="G52" s="1259"/>
      <c r="H52" s="1259"/>
      <c r="I52" s="1259"/>
      <c r="J52" s="1259"/>
      <c r="K52" s="1259"/>
      <c r="L52" s="1262"/>
      <c r="M52" s="1238"/>
      <c r="N52" s="1238"/>
      <c r="O52" s="443"/>
      <c r="P52" s="312"/>
      <c r="Q52" s="1260"/>
      <c r="R52" s="312"/>
      <c r="S52" s="1239"/>
      <c r="T52" s="1242" t="s">
        <v>174</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167"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215</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5334"/>
      <c r="U55" s="5334"/>
      <c r="V55" s="5334"/>
      <c r="W55" s="5334"/>
      <c r="X55" s="5334"/>
      <c r="Y55" s="5334"/>
      <c r="Z55" s="5334"/>
      <c r="AA55" s="5334"/>
      <c r="AB55" s="5334"/>
      <c r="AC55" s="5334"/>
      <c r="AD55" s="5334"/>
      <c r="AE55" s="5334"/>
      <c r="AF55" s="5334"/>
      <c r="AG55" s="5334"/>
      <c r="AH55" s="5334"/>
      <c r="AI55" s="5334"/>
      <c r="AJ55" s="5334"/>
      <c r="AK55" s="5334"/>
    </row>
    <row r="56" spans="1:42" ht="14.25" customHeight="1">
      <c r="O56" s="461"/>
    </row>
    <row r="57" spans="1:42" ht="14.25" customHeight="1">
      <c r="O57" s="461"/>
      <c r="S57" s="1163"/>
      <c r="T57" s="5334"/>
      <c r="U57" s="5334"/>
      <c r="V57" s="5334"/>
      <c r="W57" s="5334"/>
      <c r="X57" s="5334"/>
      <c r="Y57" s="5334"/>
      <c r="Z57" s="5334"/>
      <c r="AA57" s="5334"/>
      <c r="AB57" s="5334"/>
      <c r="AC57" s="5334"/>
      <c r="AD57" s="5334"/>
      <c r="AE57" s="5334"/>
      <c r="AF57" s="5334"/>
      <c r="AG57" s="5334"/>
      <c r="AH57" s="5334"/>
      <c r="AI57" s="5334"/>
      <c r="AJ57" s="5334"/>
      <c r="AK57" s="53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4588" hidden="1" customWidth="1"/>
    <col min="13" max="14" width="12.28515625" style="2171" hidden="1" customWidth="1"/>
    <col min="15" max="15" width="23.42578125" style="2171" hidden="1" customWidth="1"/>
    <col min="16" max="16" width="3.7109375" style="2171" hidden="1" customWidth="1"/>
    <col min="17" max="17" width="3.7109375" style="2172" hidden="1" customWidth="1"/>
    <col min="18" max="18" width="3.7109375" style="3147" customWidth="1"/>
    <col min="19" max="19" width="12.7109375" style="3148" customWidth="1"/>
    <col min="20" max="20" width="32" style="2112" customWidth="1"/>
    <col min="21" max="21" width="0.140625" style="2112" customWidth="1"/>
    <col min="22" max="25" width="21.7109375" style="2112" hidden="1" customWidth="1"/>
    <col min="26" max="26" width="11.7109375" style="2112" hidden="1" customWidth="1"/>
    <col min="27" max="27" width="3.7109375" style="2112" hidden="1" customWidth="1"/>
    <col min="28" max="28" width="11.7109375" style="2112" hidden="1" customWidth="1"/>
    <col min="29" max="29" width="8.5703125" style="2112" hidden="1" customWidth="1"/>
    <col min="30" max="32" width="3.7109375" style="2112" customWidth="1"/>
    <col min="33" max="33" width="24.7109375" style="2112" customWidth="1"/>
    <col min="34" max="36" width="3.7109375" style="2112" customWidth="1"/>
    <col min="37" max="37" width="24.7109375" style="2112" customWidth="1"/>
    <col min="38" max="40" width="3.7109375" style="2112" customWidth="1"/>
    <col min="41" max="41" width="18.85546875" style="2112" customWidth="1"/>
    <col min="42" max="44" width="3.7109375" style="2112" customWidth="1"/>
    <col min="45" max="45" width="18.85546875" style="2112" customWidth="1"/>
    <col min="46" max="49" width="21.7109375" style="2112" customWidth="1"/>
    <col min="50" max="50" width="11.7109375" style="2112" customWidth="1"/>
    <col min="51" max="51" width="3.7109375" style="2112" customWidth="1"/>
    <col min="52" max="52" width="11.7109375" style="2112" customWidth="1"/>
    <col min="53" max="53" width="8.5703125" style="2112" hidden="1" customWidth="1"/>
    <col min="54" max="54" width="4.7109375" style="2112" customWidth="1"/>
    <col min="55" max="55" width="115.7109375" style="2112" customWidth="1"/>
    <col min="56" max="57" width="10.5703125" style="1819"/>
    <col min="58" max="58" width="11.140625" style="1819" customWidth="1"/>
    <col min="59" max="60" width="10.5703125" style="1819"/>
  </cols>
  <sheetData>
    <row r="1" spans="1:60" ht="14.25" hidden="1" customHeight="1">
      <c r="W1" s="253"/>
      <c r="Y1" s="253"/>
      <c r="Z1" s="253"/>
      <c r="AW1" s="253"/>
      <c r="AX1" s="253"/>
    </row>
    <row r="2" spans="1:60" ht="21" hidden="1" customHeight="1">
      <c r="A2" s="1278"/>
      <c r="B2" s="1278"/>
      <c r="C2" s="1278"/>
      <c r="D2" s="1278"/>
      <c r="E2" s="5314">
        <v>1</v>
      </c>
      <c r="F2" s="1278"/>
      <c r="G2" s="1278"/>
      <c r="H2" s="1278"/>
      <c r="I2" s="1278"/>
      <c r="J2" s="1278"/>
      <c r="K2" s="1278"/>
      <c r="L2" s="1279"/>
      <c r="M2" s="1280"/>
      <c r="N2" s="1280"/>
      <c r="O2" s="1280"/>
      <c r="P2" s="1324"/>
      <c r="Q2" s="785"/>
      <c r="R2" s="279"/>
      <c r="S2" s="1402" t="e">
        <f>INDEX(PT_DIFFERENTIATION_NUM_NTAR,MATCH(A2,PT_DIFFERENTIATION_NTAR_ID,0))</f>
        <v>#N/A</v>
      </c>
      <c r="T2" s="216" t="s">
        <v>127</v>
      </c>
      <c r="U2" s="218"/>
      <c r="V2" s="5301"/>
      <c r="W2" s="5301"/>
      <c r="X2" s="5301"/>
      <c r="Y2" s="5301"/>
      <c r="Z2" s="5301"/>
      <c r="AA2" s="5301"/>
      <c r="AB2" s="5301"/>
      <c r="AC2" s="5302"/>
      <c r="AD2" s="5300" t="e">
        <f>INDEX(PT_DIFFERENTIATION_NTAR,MATCH(A2,PT_DIFFERENTIATION_NTAR_ID,0))</f>
        <v>#N/A</v>
      </c>
      <c r="AE2" s="5301"/>
      <c r="AF2" s="5301"/>
      <c r="AG2" s="5301"/>
      <c r="AH2" s="5301"/>
      <c r="AI2" s="5301"/>
      <c r="AJ2" s="5301"/>
      <c r="AK2" s="5301"/>
      <c r="AL2" s="5301"/>
      <c r="AM2" s="5301"/>
      <c r="AN2" s="5301"/>
      <c r="AO2" s="5301"/>
      <c r="AP2" s="5301"/>
      <c r="AQ2" s="5301"/>
      <c r="AR2" s="5301"/>
      <c r="AS2" s="5301"/>
      <c r="AT2" s="5301"/>
      <c r="AU2" s="5301"/>
      <c r="AV2" s="5301"/>
      <c r="AW2" s="5301"/>
      <c r="AX2" s="5301"/>
      <c r="AY2" s="5301"/>
      <c r="AZ2" s="5301"/>
      <c r="BA2" s="5301"/>
      <c r="BB2" s="530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5315"/>
      <c r="F3" s="5314">
        <v>1</v>
      </c>
      <c r="G3" s="1278"/>
      <c r="H3" s="1278"/>
      <c r="I3" s="1278"/>
      <c r="J3" s="1278"/>
      <c r="K3" s="1278"/>
      <c r="L3" s="1279"/>
      <c r="M3" s="1280"/>
      <c r="N3" s="1280"/>
      <c r="O3" s="1280"/>
      <c r="P3" s="1325"/>
      <c r="Q3" s="1326"/>
      <c r="R3" s="277"/>
      <c r="S3" s="1402" t="e">
        <f>INDEX(PT_DIFFERENTIATION_NUM_TER,MATCH(B3,PT_DIFFERENTIATION_TER_ID,0))</f>
        <v>#N/A</v>
      </c>
      <c r="T3" s="228" t="s">
        <v>516</v>
      </c>
      <c r="U3" s="218"/>
      <c r="V3" s="5301"/>
      <c r="W3" s="5301"/>
      <c r="X3" s="5301"/>
      <c r="Y3" s="5301"/>
      <c r="Z3" s="5301"/>
      <c r="AA3" s="5301"/>
      <c r="AB3" s="5301"/>
      <c r="AC3" s="5302"/>
      <c r="AD3" s="5300" t="e">
        <f>INDEX(PT_DIFFERENTIATION_TER,MATCH(B3,PT_DIFFERENTIATION_TER_ID,0))</f>
        <v>#N/A</v>
      </c>
      <c r="AE3" s="5301"/>
      <c r="AF3" s="5301"/>
      <c r="AG3" s="5301"/>
      <c r="AH3" s="5301"/>
      <c r="AI3" s="5301"/>
      <c r="AJ3" s="5301"/>
      <c r="AK3" s="5301"/>
      <c r="AL3" s="5301"/>
      <c r="AM3" s="5301"/>
      <c r="AN3" s="5301"/>
      <c r="AO3" s="5301"/>
      <c r="AP3" s="5301"/>
      <c r="AQ3" s="5301"/>
      <c r="AR3" s="5301"/>
      <c r="AS3" s="5301"/>
      <c r="AT3" s="5301"/>
      <c r="AU3" s="5301"/>
      <c r="AV3" s="5301"/>
      <c r="AW3" s="5301"/>
      <c r="AX3" s="5301"/>
      <c r="AY3" s="5301"/>
      <c r="AZ3" s="5301"/>
      <c r="BA3" s="5301"/>
      <c r="BB3" s="5302"/>
      <c r="BC3" s="1176" t="s">
        <v>517</v>
      </c>
      <c r="BE3" s="425"/>
      <c r="BF3" s="425" t="str">
        <f t="shared" si="0"/>
        <v>Территория действия тарифа</v>
      </c>
      <c r="BG3" s="425"/>
      <c r="BH3" s="425"/>
    </row>
    <row r="4" spans="1:60" ht="33.75" hidden="1" customHeight="1">
      <c r="A4" s="1278"/>
      <c r="B4" s="1278"/>
      <c r="C4" s="1278"/>
      <c r="D4" s="1278"/>
      <c r="E4" s="5315"/>
      <c r="F4" s="5315"/>
      <c r="G4" s="5314">
        <v>1</v>
      </c>
      <c r="H4" s="1278"/>
      <c r="I4" s="1278"/>
      <c r="J4" s="1278"/>
      <c r="K4" s="1278"/>
      <c r="L4" s="1279"/>
      <c r="M4" s="1280"/>
      <c r="N4" s="1280"/>
      <c r="O4" s="1280"/>
      <c r="P4" s="1327"/>
      <c r="Q4" s="1326"/>
      <c r="R4" s="277"/>
      <c r="S4" s="1402" t="e">
        <f>INDEX(PT_DIFFERENTIATION_NUM_CS,MATCH(C4,PT_DIFFERENTIATION_CS_ID,0))</f>
        <v>#N/A</v>
      </c>
      <c r="T4" s="229" t="s">
        <v>650</v>
      </c>
      <c r="U4" s="218"/>
      <c r="V4" s="5301"/>
      <c r="W4" s="5301"/>
      <c r="X4" s="5301"/>
      <c r="Y4" s="5301"/>
      <c r="Z4" s="5301"/>
      <c r="AA4" s="5301"/>
      <c r="AB4" s="5301"/>
      <c r="AC4" s="5302"/>
      <c r="AD4" s="5300" t="e">
        <f>INDEX(PT_DIFFERENTIATION_CS,MATCH(C4,PT_DIFFERENTIATION_CS_ID,0))</f>
        <v>#N/A</v>
      </c>
      <c r="AE4" s="5301"/>
      <c r="AF4" s="5301"/>
      <c r="AG4" s="5301"/>
      <c r="AH4" s="5301"/>
      <c r="AI4" s="5301"/>
      <c r="AJ4" s="5301"/>
      <c r="AK4" s="5301"/>
      <c r="AL4" s="5301"/>
      <c r="AM4" s="5301"/>
      <c r="AN4" s="5301"/>
      <c r="AO4" s="5301"/>
      <c r="AP4" s="5301"/>
      <c r="AQ4" s="5301"/>
      <c r="AR4" s="5301"/>
      <c r="AS4" s="5301"/>
      <c r="AT4" s="5301"/>
      <c r="AU4" s="5301"/>
      <c r="AV4" s="5301"/>
      <c r="AW4" s="5301"/>
      <c r="AX4" s="5301"/>
      <c r="AY4" s="5301"/>
      <c r="AZ4" s="5301"/>
      <c r="BA4" s="5301"/>
      <c r="BB4" s="5302"/>
      <c r="BC4" s="1176" t="s">
        <v>651</v>
      </c>
      <c r="BE4" s="425"/>
      <c r="BF4" s="425" t="str">
        <f t="shared" si="0"/>
        <v>Наименование централизованной системы горячего водоснабжения</v>
      </c>
      <c r="BG4" s="425"/>
      <c r="BH4" s="425"/>
    </row>
    <row r="5" spans="1:60" s="1819" customFormat="1" ht="14.25" hidden="1" customHeight="1">
      <c r="A5" s="1259"/>
      <c r="B5" s="1259"/>
      <c r="C5" s="1259"/>
      <c r="D5" s="1259"/>
      <c r="E5" s="5315"/>
      <c r="F5" s="5315"/>
      <c r="G5" s="5315"/>
      <c r="H5" s="5314">
        <v>1</v>
      </c>
      <c r="I5" s="1259"/>
      <c r="J5" s="1259"/>
      <c r="K5" s="1259"/>
      <c r="L5" s="1262"/>
      <c r="M5" s="1232"/>
      <c r="N5" s="1232"/>
      <c r="O5" s="1232"/>
      <c r="P5" s="1406"/>
      <c r="Q5" s="1407"/>
      <c r="R5" s="281"/>
      <c r="S5" s="948"/>
      <c r="T5" s="1408"/>
      <c r="U5" s="1299"/>
      <c r="V5" s="5342"/>
      <c r="W5" s="5342"/>
      <c r="X5" s="5342"/>
      <c r="Y5" s="5342"/>
      <c r="Z5" s="5342"/>
      <c r="AA5" s="5342"/>
      <c r="AB5" s="5342"/>
      <c r="AC5" s="5343"/>
      <c r="AD5" s="5341"/>
      <c r="AE5" s="5342"/>
      <c r="AF5" s="5342"/>
      <c r="AG5" s="5342"/>
      <c r="AH5" s="5342"/>
      <c r="AI5" s="5342"/>
      <c r="AJ5" s="5342"/>
      <c r="AK5" s="5342"/>
      <c r="AL5" s="5342"/>
      <c r="AM5" s="5342"/>
      <c r="AN5" s="5342"/>
      <c r="AO5" s="5342"/>
      <c r="AP5" s="5342"/>
      <c r="AQ5" s="5342"/>
      <c r="AR5" s="5342"/>
      <c r="AS5" s="5342"/>
      <c r="AT5" s="5342"/>
      <c r="AU5" s="5342"/>
      <c r="AV5" s="5342"/>
      <c r="AW5" s="5342"/>
      <c r="AX5" s="5342"/>
      <c r="AY5" s="5342"/>
      <c r="AZ5" s="5342"/>
      <c r="BA5" s="5342"/>
      <c r="BB5" s="5343"/>
      <c r="BC5" s="1300" t="s">
        <v>521</v>
      </c>
      <c r="BE5" s="425"/>
      <c r="BF5" s="425" t="str">
        <f t="shared" si="0"/>
        <v/>
      </c>
      <c r="BG5" s="425"/>
      <c r="BH5" s="425"/>
    </row>
    <row r="6" spans="1:60" s="1819" customFormat="1" ht="14.25" hidden="1" customHeight="1">
      <c r="A6" s="1259"/>
      <c r="B6" s="1259"/>
      <c r="C6" s="1259"/>
      <c r="D6" s="1259"/>
      <c r="E6" s="5315"/>
      <c r="F6" s="5315"/>
      <c r="G6" s="5315"/>
      <c r="H6" s="5315"/>
      <c r="I6" s="5312" t="str">
        <f>S5&amp;".1"</f>
        <v>.1</v>
      </c>
      <c r="J6" s="1259"/>
      <c r="K6" s="1259"/>
      <c r="L6" s="1262" t="s">
        <v>522</v>
      </c>
      <c r="M6" s="435"/>
      <c r="N6" s="435"/>
      <c r="O6" s="435"/>
      <c r="P6" s="5313">
        <v>1</v>
      </c>
      <c r="Q6" s="1390"/>
      <c r="R6" s="280"/>
      <c r="S6" s="948"/>
      <c r="T6" s="1298"/>
      <c r="U6" s="1299"/>
      <c r="V6" s="5342"/>
      <c r="W6" s="5342"/>
      <c r="X6" s="5342"/>
      <c r="Y6" s="5342"/>
      <c r="Z6" s="5342"/>
      <c r="AA6" s="5342"/>
      <c r="AB6" s="5342"/>
      <c r="AC6" s="5343"/>
      <c r="AD6" s="5341"/>
      <c r="AE6" s="5342"/>
      <c r="AF6" s="5342"/>
      <c r="AG6" s="5342"/>
      <c r="AH6" s="5342"/>
      <c r="AI6" s="5342"/>
      <c r="AJ6" s="5342"/>
      <c r="AK6" s="5342"/>
      <c r="AL6" s="5342"/>
      <c r="AM6" s="5342"/>
      <c r="AN6" s="5342"/>
      <c r="AO6" s="5342"/>
      <c r="AP6" s="5342"/>
      <c r="AQ6" s="5342"/>
      <c r="AR6" s="5342"/>
      <c r="AS6" s="5342"/>
      <c r="AT6" s="5342"/>
      <c r="AU6" s="5342"/>
      <c r="AV6" s="5342"/>
      <c r="AW6" s="5342"/>
      <c r="AX6" s="5342"/>
      <c r="AY6" s="5342"/>
      <c r="AZ6" s="5342"/>
      <c r="BA6" s="5342"/>
      <c r="BB6" s="5343"/>
      <c r="BC6" s="1300"/>
      <c r="BE6" s="425"/>
      <c r="BF6" s="425" t="str">
        <f t="shared" si="0"/>
        <v/>
      </c>
      <c r="BG6" s="425"/>
      <c r="BH6" s="425"/>
    </row>
    <row r="7" spans="1:60" s="1819" customFormat="1" ht="14.25" hidden="1" customHeight="1">
      <c r="A7" s="1259"/>
      <c r="B7" s="1259"/>
      <c r="C7" s="1259"/>
      <c r="D7" s="1259"/>
      <c r="E7" s="5315"/>
      <c r="F7" s="5315"/>
      <c r="G7" s="5315"/>
      <c r="H7" s="5315"/>
      <c r="I7" s="5335"/>
      <c r="J7" s="5312" t="str">
        <f>S5&amp;".1"</f>
        <v>.1</v>
      </c>
      <c r="K7" s="1259"/>
      <c r="L7" s="1262"/>
      <c r="M7" s="435"/>
      <c r="N7" s="435"/>
      <c r="O7" s="435"/>
      <c r="P7" s="5313"/>
      <c r="Q7" s="5313">
        <v>1</v>
      </c>
      <c r="R7" s="281"/>
      <c r="S7" s="948"/>
      <c r="T7" s="1314"/>
      <c r="U7" s="1299"/>
      <c r="V7" s="5342"/>
      <c r="W7" s="5342"/>
      <c r="X7" s="5342"/>
      <c r="Y7" s="5342"/>
      <c r="Z7" s="5342"/>
      <c r="AA7" s="5342"/>
      <c r="AB7" s="5342"/>
      <c r="AC7" s="5343"/>
      <c r="AD7" s="5341"/>
      <c r="AE7" s="5342"/>
      <c r="AF7" s="5342"/>
      <c r="AG7" s="5342"/>
      <c r="AH7" s="5342"/>
      <c r="AI7" s="5342"/>
      <c r="AJ7" s="5342"/>
      <c r="AK7" s="5342"/>
      <c r="AL7" s="5342"/>
      <c r="AM7" s="5342"/>
      <c r="AN7" s="5342"/>
      <c r="AO7" s="5342"/>
      <c r="AP7" s="5342"/>
      <c r="AQ7" s="5342"/>
      <c r="AR7" s="5342"/>
      <c r="AS7" s="5342"/>
      <c r="AT7" s="5342"/>
      <c r="AU7" s="5342"/>
      <c r="AV7" s="5342"/>
      <c r="AW7" s="5342"/>
      <c r="AX7" s="5342"/>
      <c r="AY7" s="5342"/>
      <c r="AZ7" s="5342"/>
      <c r="BA7" s="5342"/>
      <c r="BB7" s="5343"/>
      <c r="BC7" s="1300"/>
      <c r="BE7" s="425"/>
      <c r="BF7" s="425" t="str">
        <f t="shared" si="0"/>
        <v/>
      </c>
      <c r="BG7" s="425"/>
      <c r="BH7" s="425"/>
    </row>
    <row r="8" spans="1:60" ht="11.25" hidden="1" customHeight="1">
      <c r="A8" s="1278"/>
      <c r="B8" s="1278"/>
      <c r="C8" s="1278"/>
      <c r="D8" s="1278"/>
      <c r="E8" s="5315"/>
      <c r="F8" s="5315"/>
      <c r="G8" s="5315"/>
      <c r="H8" s="5315"/>
      <c r="I8" s="5335"/>
      <c r="J8" s="5335"/>
      <c r="K8" s="5312" t="e">
        <f>S4&amp;".1"</f>
        <v>#N/A</v>
      </c>
      <c r="L8" s="1279"/>
      <c r="P8" s="5313"/>
      <c r="Q8" s="5313"/>
      <c r="R8" s="5370">
        <v>1</v>
      </c>
      <c r="S8" s="5364" t="e">
        <f>$K8</f>
        <v>#N/A</v>
      </c>
      <c r="T8" s="5382"/>
      <c r="U8" s="218"/>
      <c r="V8" s="667"/>
      <c r="W8" s="1175"/>
      <c r="X8" s="667"/>
      <c r="Y8" s="1175"/>
      <c r="Z8" s="1642"/>
      <c r="AA8" s="1379" t="s">
        <v>62</v>
      </c>
      <c r="AB8" s="1642"/>
      <c r="AC8" s="1379" t="s">
        <v>62</v>
      </c>
      <c r="AD8" s="5240" t="s">
        <v>62</v>
      </c>
      <c r="AE8" s="5350"/>
      <c r="AF8" s="5269">
        <v>1</v>
      </c>
      <c r="AG8" s="5386"/>
      <c r="AH8" s="5161" t="s">
        <v>62</v>
      </c>
      <c r="AI8" s="5350"/>
      <c r="AJ8" s="5269">
        <v>1</v>
      </c>
      <c r="AK8" s="5385" t="s">
        <v>24</v>
      </c>
      <c r="AL8" s="5161" t="s">
        <v>62</v>
      </c>
      <c r="AM8" s="5259"/>
      <c r="AN8" s="5269">
        <v>1</v>
      </c>
      <c r="AO8" s="5379"/>
      <c r="AP8" s="5380" t="s">
        <v>62</v>
      </c>
      <c r="AQ8" s="231"/>
      <c r="AR8" s="1395">
        <v>1</v>
      </c>
      <c r="AS8" s="1401" t="s">
        <v>24</v>
      </c>
      <c r="AT8" s="667"/>
      <c r="AU8" s="1175"/>
      <c r="AV8" s="667"/>
      <c r="AW8" s="1175"/>
      <c r="AX8" s="1642"/>
      <c r="AY8" s="1379" t="s">
        <v>62</v>
      </c>
      <c r="AZ8" s="1642"/>
      <c r="BA8" s="1379" t="s">
        <v>62</v>
      </c>
      <c r="BB8" s="1264"/>
      <c r="BC8" s="5309" t="s">
        <v>621</v>
      </c>
      <c r="BE8" s="425"/>
      <c r="BF8" s="425" t="str">
        <f t="shared" si="0"/>
        <v/>
      </c>
      <c r="BG8" s="425"/>
      <c r="BH8" s="425"/>
    </row>
    <row r="9" spans="1:60" ht="11.25" hidden="1" customHeight="1">
      <c r="A9" s="1278"/>
      <c r="B9" s="1278"/>
      <c r="C9" s="1278"/>
      <c r="D9" s="1278"/>
      <c r="E9" s="5315"/>
      <c r="F9" s="5315"/>
      <c r="G9" s="5315"/>
      <c r="H9" s="5315"/>
      <c r="I9" s="5335"/>
      <c r="J9" s="5335"/>
      <c r="K9" s="5312"/>
      <c r="L9" s="1279"/>
      <c r="P9" s="5313"/>
      <c r="Q9" s="5313"/>
      <c r="R9" s="5370"/>
      <c r="S9" s="5365"/>
      <c r="T9" s="5383"/>
      <c r="U9" s="218"/>
      <c r="V9" s="1308"/>
      <c r="W9" s="1405"/>
      <c r="X9" s="1308"/>
      <c r="Y9" s="1405"/>
      <c r="Z9" s="1308"/>
      <c r="AA9" s="1308"/>
      <c r="AB9" s="1308"/>
      <c r="AC9" s="1308"/>
      <c r="AD9" s="5241"/>
      <c r="AE9" s="5350"/>
      <c r="AF9" s="5269"/>
      <c r="AG9" s="5386"/>
      <c r="AH9" s="5161"/>
      <c r="AI9" s="5350"/>
      <c r="AJ9" s="5269"/>
      <c r="AK9" s="5385"/>
      <c r="AL9" s="5161"/>
      <c r="AM9" s="5264"/>
      <c r="AN9" s="5269"/>
      <c r="AO9" s="5379"/>
      <c r="AP9" s="5381"/>
      <c r="AQ9" s="238"/>
      <c r="AR9" s="349"/>
      <c r="AS9" s="349" t="s">
        <v>622</v>
      </c>
      <c r="AT9" s="1308"/>
      <c r="AU9" s="1405"/>
      <c r="AV9" s="1308"/>
      <c r="AW9" s="1405"/>
      <c r="AX9" s="1308"/>
      <c r="AY9" s="1308"/>
      <c r="AZ9" s="1308"/>
      <c r="BA9" s="1308"/>
      <c r="BB9" s="1312"/>
      <c r="BC9" s="5310"/>
      <c r="BE9" s="425"/>
      <c r="BF9" s="425"/>
      <c r="BG9" s="425"/>
      <c r="BH9" s="425"/>
    </row>
    <row r="10" spans="1:60" ht="11.25" hidden="1" customHeight="1">
      <c r="A10" s="1278"/>
      <c r="B10" s="1278"/>
      <c r="C10" s="1278"/>
      <c r="D10" s="1278"/>
      <c r="E10" s="5315"/>
      <c r="F10" s="5315"/>
      <c r="G10" s="5315"/>
      <c r="H10" s="5315"/>
      <c r="I10" s="5335"/>
      <c r="J10" s="5335"/>
      <c r="K10" s="5312"/>
      <c r="L10" s="1279"/>
      <c r="P10" s="5313"/>
      <c r="Q10" s="5313"/>
      <c r="R10" s="5370"/>
      <c r="S10" s="5365"/>
      <c r="T10" s="5383"/>
      <c r="U10" s="218"/>
      <c r="V10" s="1308"/>
      <c r="W10" s="1405"/>
      <c r="X10" s="1308"/>
      <c r="Y10" s="1405"/>
      <c r="Z10" s="1308"/>
      <c r="AA10" s="1308"/>
      <c r="AB10" s="1308"/>
      <c r="AC10" s="1308"/>
      <c r="AD10" s="5241"/>
      <c r="AE10" s="5350"/>
      <c r="AF10" s="5269"/>
      <c r="AG10" s="5386"/>
      <c r="AH10" s="5161"/>
      <c r="AI10" s="5350"/>
      <c r="AJ10" s="5269"/>
      <c r="AK10" s="5385"/>
      <c r="AL10" s="5161"/>
      <c r="AM10" s="238"/>
      <c r="AN10" s="1409"/>
      <c r="AO10" s="1409" t="s">
        <v>623</v>
      </c>
      <c r="AP10" s="349"/>
      <c r="AQ10" s="349"/>
      <c r="AR10" s="349"/>
      <c r="AS10" s="1308"/>
      <c r="AT10" s="1308"/>
      <c r="AU10" s="1405"/>
      <c r="AV10" s="1308"/>
      <c r="AW10" s="1405"/>
      <c r="AX10" s="1308"/>
      <c r="AY10" s="1308"/>
      <c r="AZ10" s="1308"/>
      <c r="BA10" s="1308"/>
      <c r="BB10" s="1312"/>
      <c r="BC10" s="5310"/>
      <c r="BE10" s="425"/>
      <c r="BF10" s="425"/>
      <c r="BG10" s="425"/>
      <c r="BH10" s="425"/>
    </row>
    <row r="11" spans="1:60" ht="11.25" hidden="1" customHeight="1">
      <c r="A11" s="1278"/>
      <c r="B11" s="1278"/>
      <c r="C11" s="1278"/>
      <c r="D11" s="1278"/>
      <c r="E11" s="5315"/>
      <c r="F11" s="5315"/>
      <c r="G11" s="5315"/>
      <c r="H11" s="5315"/>
      <c r="I11" s="5335"/>
      <c r="J11" s="5335"/>
      <c r="K11" s="5312"/>
      <c r="L11" s="1279"/>
      <c r="P11" s="5313"/>
      <c r="Q11" s="5313"/>
      <c r="R11" s="5370"/>
      <c r="S11" s="5365"/>
      <c r="T11" s="5383"/>
      <c r="U11" s="218"/>
      <c r="V11" s="1308"/>
      <c r="W11" s="1405"/>
      <c r="X11" s="1308"/>
      <c r="Y11" s="1405"/>
      <c r="Z11" s="1308"/>
      <c r="AA11" s="1308"/>
      <c r="AB11" s="1308"/>
      <c r="AC11" s="1308"/>
      <c r="AD11" s="5241"/>
      <c r="AE11" s="5350"/>
      <c r="AF11" s="5269"/>
      <c r="AG11" s="5386"/>
      <c r="AH11" s="5161"/>
      <c r="AI11" s="212"/>
      <c r="AJ11" s="348"/>
      <c r="AK11" s="233" t="s">
        <v>624</v>
      </c>
      <c r="AL11" s="1308"/>
      <c r="AM11" s="1308"/>
      <c r="AN11" s="1308"/>
      <c r="AO11" s="1308"/>
      <c r="AP11" s="1308"/>
      <c r="AQ11" s="1308"/>
      <c r="AR11" s="1308"/>
      <c r="AS11" s="1308"/>
      <c r="AT11" s="1308"/>
      <c r="AU11" s="1405"/>
      <c r="AV11" s="1308"/>
      <c r="AW11" s="1405"/>
      <c r="AX11" s="1308"/>
      <c r="AY11" s="1308"/>
      <c r="AZ11" s="1308"/>
      <c r="BA11" s="1308"/>
      <c r="BB11" s="1312"/>
      <c r="BC11" s="5310"/>
      <c r="BE11" s="425"/>
      <c r="BF11" s="425"/>
      <c r="BG11" s="425"/>
      <c r="BH11" s="425"/>
    </row>
    <row r="12" spans="1:60" ht="11.25" hidden="1" customHeight="1">
      <c r="A12" s="1278"/>
      <c r="B12" s="1278"/>
      <c r="C12" s="1278"/>
      <c r="D12" s="1278"/>
      <c r="E12" s="5315"/>
      <c r="F12" s="5315"/>
      <c r="G12" s="5315"/>
      <c r="H12" s="5315"/>
      <c r="I12" s="5335"/>
      <c r="J12" s="5335"/>
      <c r="K12" s="5312"/>
      <c r="L12" s="1279"/>
      <c r="P12" s="5313"/>
      <c r="Q12" s="5313"/>
      <c r="R12" s="5370"/>
      <c r="S12" s="5366"/>
      <c r="T12" s="5384"/>
      <c r="U12" s="218"/>
      <c r="V12" s="1308"/>
      <c r="W12" s="1309" t="str">
        <f>Z8&amp;"-"&amp;AB8</f>
        <v>-</v>
      </c>
      <c r="X12" s="1308"/>
      <c r="Y12" s="1309" t="str">
        <f>AB8&amp;"-"&amp;AD8</f>
        <v>-да</v>
      </c>
      <c r="Z12" s="1308"/>
      <c r="AA12" s="1308"/>
      <c r="AB12" s="1308"/>
      <c r="AC12" s="1308"/>
      <c r="AD12" s="5166"/>
      <c r="AE12" s="232"/>
      <c r="AF12" s="234"/>
      <c r="AG12" s="349" t="s">
        <v>625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5310"/>
      <c r="BE12" s="425"/>
      <c r="BF12" s="425" t="str">
        <f t="shared" ref="BF12:BF18" si="1">IF(T12="","",T12)</f>
        <v/>
      </c>
      <c r="BG12" s="425"/>
      <c r="BH12" s="425"/>
    </row>
    <row r="13" spans="1:60" ht="11.25" hidden="1" customHeight="1">
      <c r="A13" s="1278"/>
      <c r="B13" s="1278"/>
      <c r="C13" s="1278"/>
      <c r="D13" s="1278"/>
      <c r="E13" s="5315"/>
      <c r="F13" s="5315"/>
      <c r="G13" s="5315"/>
      <c r="H13" s="5315"/>
      <c r="I13" s="5335"/>
      <c r="J13" s="5312"/>
      <c r="K13" s="1278"/>
      <c r="L13" s="1279"/>
      <c r="P13" s="5313"/>
      <c r="Q13" s="5313"/>
      <c r="R13" s="280"/>
      <c r="S13" s="1197"/>
      <c r="T13" s="205" t="s">
        <v>589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5311"/>
      <c r="BE13" s="425"/>
      <c r="BF13" s="425" t="str">
        <f t="shared" si="1"/>
        <v>Добавить строку</v>
      </c>
      <c r="BG13" s="425"/>
      <c r="BH13" s="425"/>
    </row>
    <row r="14" spans="1:60" s="1819" customFormat="1" ht="14.25" hidden="1" customHeight="1">
      <c r="A14" s="1259"/>
      <c r="B14" s="1259"/>
      <c r="C14" s="1259"/>
      <c r="D14" s="1259"/>
      <c r="E14" s="5315"/>
      <c r="F14" s="5315"/>
      <c r="G14" s="5315"/>
      <c r="H14" s="5315"/>
      <c r="I14" s="5312"/>
      <c r="J14" s="1259"/>
      <c r="K14" s="1259"/>
      <c r="L14" s="1262"/>
      <c r="M14" s="435"/>
      <c r="N14" s="435"/>
      <c r="O14" s="435"/>
      <c r="P14" s="5313"/>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9" customFormat="1" ht="14.25" hidden="1" customHeight="1">
      <c r="A15" s="1259"/>
      <c r="B15" s="1259"/>
      <c r="C15" s="1259"/>
      <c r="D15" s="1259"/>
      <c r="E15" s="5315"/>
      <c r="F15" s="5315"/>
      <c r="G15" s="5315"/>
      <c r="H15" s="5314"/>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167" customFormat="1" ht="14.25" hidden="1" customHeight="1">
      <c r="A16" s="1259"/>
      <c r="B16" s="1259"/>
      <c r="C16" s="1259"/>
      <c r="D16" s="1231"/>
      <c r="E16" s="5315"/>
      <c r="F16" s="5315"/>
      <c r="G16" s="5314"/>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167" customFormat="1" ht="14.25" hidden="1" customHeight="1">
      <c r="A17" s="1259"/>
      <c r="B17" s="1259"/>
      <c r="C17" s="1231"/>
      <c r="D17" s="1231"/>
      <c r="E17" s="5315"/>
      <c r="F17" s="5314"/>
      <c r="G17" s="1231"/>
      <c r="H17" s="1231"/>
      <c r="I17" s="1231"/>
      <c r="J17" s="1231"/>
      <c r="K17" s="1231"/>
      <c r="L17" s="1403"/>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9" customFormat="1" ht="14.25" hidden="1" customHeight="1">
      <c r="A18" s="1259"/>
      <c r="B18" s="1259"/>
      <c r="C18" s="1259"/>
      <c r="D18" s="1259"/>
      <c r="E18" s="5314"/>
      <c r="F18" s="1259"/>
      <c r="G18" s="1259"/>
      <c r="H18" s="1259"/>
      <c r="I18" s="1259"/>
      <c r="J18" s="1259"/>
      <c r="K18" s="1259"/>
      <c r="L18" s="1262"/>
      <c r="M18" s="1238"/>
      <c r="N18" s="1238"/>
      <c r="O18" s="443"/>
      <c r="P18" s="312"/>
      <c r="Q18" s="1260"/>
      <c r="R18" s="312"/>
      <c r="S18" s="1239"/>
      <c r="T18" s="1242" t="s">
        <v>174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533</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4582" customFormat="1" ht="14.25" hidden="1" customHeight="1">
      <c r="M24" s="1417"/>
      <c r="N24" s="1417"/>
      <c r="O24" s="1418" t="s">
        <v>534</v>
      </c>
      <c r="P24" s="1417"/>
      <c r="Q24" s="1419"/>
      <c r="R24" s="1419"/>
      <c r="AA24" s="1416" t="s">
        <v>536</v>
      </c>
      <c r="AC24" s="1416" t="s">
        <v>537</v>
      </c>
      <c r="AD24" s="1416" t="s">
        <v>590</v>
      </c>
      <c r="AH24" s="1416" t="s">
        <v>590</v>
      </c>
      <c r="AK24" s="1416" t="s">
        <v>626</v>
      </c>
      <c r="AL24" s="1416" t="s">
        <v>590</v>
      </c>
      <c r="AP24" s="1416" t="s">
        <v>590</v>
      </c>
      <c r="AY24" s="1416" t="s">
        <v>536</v>
      </c>
      <c r="BA24" s="1416" t="s">
        <v>537</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52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5298"/>
      <c r="U28" s="5298"/>
      <c r="V28" s="5298"/>
      <c r="W28" s="5298"/>
      <c r="X28" s="5298"/>
      <c r="Y28" s="5298"/>
      <c r="Z28" s="5298"/>
      <c r="AA28" s="5298"/>
      <c r="AB28" s="5298"/>
      <c r="AC28" s="5298"/>
      <c r="AD28" s="5298"/>
      <c r="AE28" s="5298"/>
      <c r="AF28" s="5298"/>
      <c r="AG28" s="5298"/>
      <c r="AH28" s="5298"/>
      <c r="AI28" s="5298"/>
      <c r="AJ28" s="5298"/>
      <c r="AK28" s="5298"/>
      <c r="AL28" s="5298"/>
      <c r="AM28" s="5298"/>
      <c r="AN28" s="5298"/>
      <c r="AO28" s="5298"/>
      <c r="AP28" s="5298"/>
      <c r="AQ28" s="5298"/>
      <c r="AR28" s="5298"/>
      <c r="AS28" s="5298"/>
      <c r="AT28" s="5298"/>
      <c r="AU28" s="5298"/>
      <c r="AV28" s="5298"/>
      <c r="AW28" s="5298"/>
      <c r="AX28" s="5298"/>
      <c r="AY28" s="5298"/>
      <c r="AZ28" s="5298"/>
      <c r="BA28" s="1151"/>
    </row>
    <row r="29" spans="1:60" ht="14.25" customHeight="1">
      <c r="Q29" s="209"/>
      <c r="R29" s="304"/>
      <c r="S29" s="5245" t="str">
        <f>IF(org=0,"Не определено",org)</f>
        <v>ПАО "ТГК-1" (филиал "Кольский")</v>
      </c>
      <c r="T29" s="5245"/>
      <c r="U29" s="5245"/>
      <c r="V29" s="5245"/>
      <c r="W29" s="5245"/>
      <c r="X29" s="5245"/>
      <c r="Y29" s="5245"/>
      <c r="Z29" s="5245"/>
      <c r="AA29" s="5245"/>
      <c r="AB29" s="5245"/>
      <c r="AC29" s="5245"/>
      <c r="AD29" s="5245"/>
      <c r="AE29" s="5245"/>
      <c r="AF29" s="5245"/>
      <c r="AG29" s="5245"/>
      <c r="AH29" s="5245"/>
      <c r="AI29" s="5245"/>
      <c r="AJ29" s="5245"/>
      <c r="AK29" s="5245"/>
      <c r="AL29" s="5245"/>
      <c r="AM29" s="5245"/>
      <c r="AN29" s="5245"/>
      <c r="AO29" s="5245"/>
      <c r="AP29" s="5245"/>
      <c r="AQ29" s="5245"/>
      <c r="AR29" s="5245"/>
      <c r="AS29" s="5245"/>
      <c r="AT29" s="5245"/>
      <c r="AU29" s="5245"/>
      <c r="AV29" s="5245"/>
      <c r="AW29" s="5245"/>
      <c r="AX29" s="5245"/>
      <c r="AY29" s="5245"/>
      <c r="AZ29" s="524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180" customFormat="1" ht="25.5" customHeight="1">
      <c r="A31" s="1283"/>
      <c r="B31" s="1283"/>
      <c r="C31" s="1283"/>
      <c r="D31" s="1283"/>
      <c r="E31" s="1283"/>
      <c r="F31" s="1283"/>
      <c r="G31" s="1283"/>
      <c r="H31" s="1283"/>
      <c r="I31" s="1283"/>
      <c r="J31" s="1283"/>
      <c r="K31" s="1283"/>
      <c r="L31" s="1284"/>
      <c r="M31" s="1283"/>
      <c r="N31" s="1283"/>
      <c r="O31" s="1283"/>
      <c r="P31" s="1283"/>
      <c r="Q31" s="1283"/>
      <c r="S31" s="5306" t="s">
        <v>38</v>
      </c>
      <c r="T31" s="5306"/>
      <c r="U31" s="1287"/>
      <c r="V31" s="5307" t="str">
        <f>IF(TITLE_NAME_OR_PR_CHANGE="",IF(TITLE_NAME_OR_PR="","",TITLE_NAME_OR_PR),TITLE_NAME_OR_PR_CHANGE)</f>
        <v>Комитет по тарифному регулированию Мурманской области</v>
      </c>
      <c r="W31" s="5307"/>
      <c r="X31" s="5307"/>
      <c r="Y31" s="5307"/>
      <c r="Z31" s="5307"/>
      <c r="AA31" s="5307"/>
      <c r="AB31" s="5307"/>
      <c r="AC31" s="252"/>
      <c r="AD31" s="5307" t="str">
        <f>IF(TITLE_NAME_OR_PR_CHANGE="",IF(TITLE_NAME_OR_PR="","",TITLE_NAME_OR_PR),TITLE_NAME_OR_PR_CHANGE)</f>
        <v>Комитет по тарифному регулированию Мурманской области</v>
      </c>
      <c r="AE31" s="5307"/>
      <c r="AF31" s="5307"/>
      <c r="AG31" s="5307"/>
      <c r="AH31" s="5307"/>
      <c r="AI31" s="5307"/>
      <c r="AJ31" s="5307"/>
      <c r="AK31" s="5307"/>
      <c r="AL31" s="5307"/>
      <c r="AM31" s="5307"/>
      <c r="AN31" s="5307"/>
      <c r="AO31" s="5307"/>
      <c r="AP31" s="5307"/>
      <c r="AQ31" s="5307"/>
      <c r="AR31" s="5307"/>
      <c r="AS31" s="5307"/>
      <c r="AT31" s="5307"/>
      <c r="AU31" s="5307"/>
      <c r="AV31" s="5307"/>
      <c r="AW31" s="5307"/>
      <c r="AX31" s="5307"/>
      <c r="AY31" s="5307"/>
      <c r="AZ31" s="5307"/>
      <c r="BA31" s="252"/>
      <c r="BB31" s="252"/>
      <c r="BC31" s="199"/>
      <c r="BD31" s="295"/>
      <c r="BE31" s="295"/>
      <c r="BF31" s="295"/>
      <c r="BG31" s="295"/>
      <c r="BH31" s="295"/>
    </row>
    <row r="32" spans="1:60" s="2180" customFormat="1" ht="18.75" customHeight="1">
      <c r="A32" s="1283"/>
      <c r="B32" s="1283"/>
      <c r="C32" s="1283"/>
      <c r="D32" s="1283"/>
      <c r="E32" s="1283"/>
      <c r="F32" s="1283"/>
      <c r="G32" s="1283"/>
      <c r="H32" s="1283"/>
      <c r="I32" s="1283"/>
      <c r="J32" s="1283"/>
      <c r="K32" s="1283"/>
      <c r="L32" s="1284"/>
      <c r="M32" s="1283"/>
      <c r="N32" s="1283"/>
      <c r="O32" s="1283"/>
      <c r="P32" s="1283"/>
      <c r="Q32" s="1283"/>
      <c r="S32" s="5306" t="s">
        <v>539</v>
      </c>
      <c r="T32" s="5306"/>
      <c r="U32" s="1287"/>
      <c r="V32" s="5316">
        <f>IF(TITLE_DATE_PR_CHANGE="",IF(TITLE_DATE_PR="","",TITLE_DATE_PR),TITLE_DATE_PR_CHANGE)</f>
        <v>45646.340555555558</v>
      </c>
      <c r="W32" s="5316"/>
      <c r="X32" s="5316"/>
      <c r="Y32" s="5316"/>
      <c r="Z32" s="5316"/>
      <c r="AA32" s="5316"/>
      <c r="AB32" s="5316"/>
      <c r="AC32" s="252"/>
      <c r="AD32" s="5316">
        <f>IF(TITLE_DATE_PR_CHANGE="",IF(TITLE_DATE_PR="","",TITLE_DATE_PR),TITLE_DATE_PR_CHANGE)</f>
        <v>45646.340555555558</v>
      </c>
      <c r="AE32" s="5316"/>
      <c r="AF32" s="5316"/>
      <c r="AG32" s="5316"/>
      <c r="AH32" s="5316"/>
      <c r="AI32" s="5316"/>
      <c r="AJ32" s="5316"/>
      <c r="AK32" s="5316"/>
      <c r="AL32" s="5316"/>
      <c r="AM32" s="5316"/>
      <c r="AN32" s="5316"/>
      <c r="AO32" s="5316"/>
      <c r="AP32" s="5316"/>
      <c r="AQ32" s="5316"/>
      <c r="AR32" s="5316"/>
      <c r="AS32" s="5316"/>
      <c r="AT32" s="5316"/>
      <c r="AU32" s="5316"/>
      <c r="AV32" s="5316"/>
      <c r="AW32" s="5316"/>
      <c r="AX32" s="5316"/>
      <c r="AY32" s="5316"/>
      <c r="AZ32" s="5316"/>
      <c r="BA32" s="252"/>
      <c r="BB32" s="252"/>
      <c r="BC32" s="199"/>
      <c r="BD32" s="295"/>
      <c r="BE32" s="295"/>
      <c r="BF32" s="295"/>
      <c r="BG32" s="295"/>
      <c r="BH32" s="295"/>
    </row>
    <row r="33" spans="1:60" s="2180" customFormat="1" ht="18.75" customHeight="1">
      <c r="A33" s="1283"/>
      <c r="B33" s="1283"/>
      <c r="C33" s="1283"/>
      <c r="D33" s="1283"/>
      <c r="E33" s="1283"/>
      <c r="F33" s="1283"/>
      <c r="G33" s="1283"/>
      <c r="H33" s="1283"/>
      <c r="I33" s="1283"/>
      <c r="J33" s="1283"/>
      <c r="K33" s="1283"/>
      <c r="L33" s="1284"/>
      <c r="M33" s="1283"/>
      <c r="N33" s="1283"/>
      <c r="O33" s="1283"/>
      <c r="P33" s="1283"/>
      <c r="Q33" s="1283"/>
      <c r="S33" s="5306" t="s">
        <v>540</v>
      </c>
      <c r="T33" s="5306"/>
      <c r="U33" s="1287"/>
      <c r="V33" s="5307" t="str">
        <f>IF(TITLE_NUMBER_PR_CHANGE="",IF(TITLE_NUMBER_PR="","",TITLE_NUMBER_PR),TITLE_NUMBER_PR_CHANGE)</f>
        <v>51/6; 51/7</v>
      </c>
      <c r="W33" s="5307"/>
      <c r="X33" s="5307"/>
      <c r="Y33" s="5307"/>
      <c r="Z33" s="5307"/>
      <c r="AA33" s="5307"/>
      <c r="AB33" s="5307"/>
      <c r="AC33" s="252"/>
      <c r="AD33" s="5307" t="str">
        <f>IF(TITLE_NUMBER_PR_CHANGE="",IF(TITLE_NUMBER_PR="","",TITLE_NUMBER_PR),TITLE_NUMBER_PR_CHANGE)</f>
        <v>51/6; 51/7</v>
      </c>
      <c r="AE33" s="5307"/>
      <c r="AF33" s="5307"/>
      <c r="AG33" s="5307"/>
      <c r="AH33" s="5307"/>
      <c r="AI33" s="5307"/>
      <c r="AJ33" s="5307"/>
      <c r="AK33" s="5307"/>
      <c r="AL33" s="5307"/>
      <c r="AM33" s="5307"/>
      <c r="AN33" s="5307"/>
      <c r="AO33" s="5307"/>
      <c r="AP33" s="5307"/>
      <c r="AQ33" s="5307"/>
      <c r="AR33" s="5307"/>
      <c r="AS33" s="5307"/>
      <c r="AT33" s="5307"/>
      <c r="AU33" s="5307"/>
      <c r="AV33" s="5307"/>
      <c r="AW33" s="5307"/>
      <c r="AX33" s="5307"/>
      <c r="AY33" s="5307"/>
      <c r="AZ33" s="5307"/>
      <c r="BA33" s="252"/>
      <c r="BB33" s="252"/>
      <c r="BC33" s="199"/>
      <c r="BD33" s="295"/>
      <c r="BE33" s="295"/>
      <c r="BF33" s="295"/>
      <c r="BG33" s="295"/>
      <c r="BH33" s="295"/>
    </row>
    <row r="34" spans="1:60" s="2180" customFormat="1" ht="18.75" customHeight="1">
      <c r="A34" s="1283"/>
      <c r="B34" s="1283"/>
      <c r="C34" s="1283"/>
      <c r="D34" s="1283"/>
      <c r="E34" s="1283"/>
      <c r="F34" s="1283"/>
      <c r="G34" s="1283"/>
      <c r="H34" s="1283"/>
      <c r="I34" s="1283"/>
      <c r="J34" s="1283"/>
      <c r="K34" s="1283"/>
      <c r="L34" s="1284"/>
      <c r="M34" s="1283"/>
      <c r="N34" s="1283"/>
      <c r="O34" s="1283"/>
      <c r="P34" s="1283"/>
      <c r="Q34" s="1283"/>
      <c r="S34" s="5306" t="s">
        <v>40</v>
      </c>
      <c r="T34" s="5306"/>
      <c r="U34" s="1287"/>
      <c r="V34" s="5307" t="str">
        <f>IF(TITLE_IST_PUB_CHANGE="",IF(TITLE_IST_PUB="","",TITLE_IST_PUB),TITLE_IST_PUB_CHANGE)</f>
        <v>Официальный электронный бюллетень Правительства Мурманской области</v>
      </c>
      <c r="W34" s="5307"/>
      <c r="X34" s="5307"/>
      <c r="Y34" s="5307"/>
      <c r="Z34" s="5307"/>
      <c r="AA34" s="5307"/>
      <c r="AB34" s="5307"/>
      <c r="AC34" s="252"/>
      <c r="AD34" s="5307" t="str">
        <f>IF(TITLE_IST_PUB_CHANGE="",IF(TITLE_IST_PUB="","",TITLE_IST_PUB),TITLE_IST_PUB_CHANGE)</f>
        <v>Официальный электронный бюллетень Правительства Мурманской области</v>
      </c>
      <c r="AE34" s="5307"/>
      <c r="AF34" s="5307"/>
      <c r="AG34" s="5307"/>
      <c r="AH34" s="5307"/>
      <c r="AI34" s="5307"/>
      <c r="AJ34" s="5307"/>
      <c r="AK34" s="5307"/>
      <c r="AL34" s="5307"/>
      <c r="AM34" s="5307"/>
      <c r="AN34" s="5307"/>
      <c r="AO34" s="5307"/>
      <c r="AP34" s="5307"/>
      <c r="AQ34" s="5307"/>
      <c r="AR34" s="5307"/>
      <c r="AS34" s="5307"/>
      <c r="AT34" s="5307"/>
      <c r="AU34" s="5307"/>
      <c r="AV34" s="5307"/>
      <c r="AW34" s="5307"/>
      <c r="AX34" s="5307"/>
      <c r="AY34" s="5307"/>
      <c r="AZ34" s="5307"/>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180" customFormat="1" ht="18.75" hidden="1" customHeight="1">
      <c r="A36" s="1283"/>
      <c r="B36" s="1283"/>
      <c r="C36" s="1283"/>
      <c r="D36" s="1283"/>
      <c r="E36" s="1283"/>
      <c r="F36" s="1283"/>
      <c r="G36" s="1283"/>
      <c r="H36" s="1283"/>
      <c r="I36" s="1283"/>
      <c r="J36" s="1283"/>
      <c r="K36" s="1283"/>
      <c r="L36" s="1284"/>
      <c r="M36" s="1283"/>
      <c r="N36" s="1283"/>
      <c r="O36" s="1283"/>
      <c r="P36" s="1283"/>
      <c r="Q36" s="1283"/>
      <c r="S36" s="5306" t="s">
        <v>539</v>
      </c>
      <c r="T36" s="5306"/>
      <c r="U36" s="1287"/>
      <c r="V36" s="5316">
        <f>IF(TITLE_DATE_PR_CHANGE="",IF(TITLE_DATE_PR="","",TITLE_DATE_PR),TITLE_DATE_PR_CHANGE)</f>
        <v>45646.340555555558</v>
      </c>
      <c r="W36" s="5316"/>
      <c r="X36" s="5316"/>
      <c r="Y36" s="5316"/>
      <c r="Z36" s="5316"/>
      <c r="AA36" s="5316"/>
      <c r="AB36" s="5316"/>
      <c r="AC36" s="252"/>
      <c r="AD36" s="5316">
        <f>IF(TITLE_DATE_PR_CHANGE="",IF(TITLE_DATE_PR="","",TITLE_DATE_PR),TITLE_DATE_PR_CHANGE)</f>
        <v>45646.340555555558</v>
      </c>
      <c r="AE36" s="5316"/>
      <c r="AF36" s="5316"/>
      <c r="AG36" s="5316"/>
      <c r="AH36" s="5316"/>
      <c r="AI36" s="5316"/>
      <c r="AJ36" s="5316"/>
      <c r="AK36" s="5316"/>
      <c r="AL36" s="5316"/>
      <c r="AM36" s="5316"/>
      <c r="AN36" s="5316"/>
      <c r="AO36" s="5316"/>
      <c r="AP36" s="5316"/>
      <c r="AQ36" s="5316"/>
      <c r="AR36" s="5316"/>
      <c r="AS36" s="5316"/>
      <c r="AT36" s="5316"/>
      <c r="AU36" s="5316"/>
      <c r="AV36" s="5316"/>
      <c r="AW36" s="5316"/>
      <c r="AX36" s="5316"/>
      <c r="AY36" s="5316"/>
      <c r="AZ36" s="5316"/>
      <c r="BA36" s="252"/>
      <c r="BB36" s="252"/>
      <c r="BC36" s="199"/>
      <c r="BD36" s="295"/>
      <c r="BE36" s="295"/>
      <c r="BF36" s="295"/>
      <c r="BG36" s="295"/>
      <c r="BH36" s="295"/>
    </row>
    <row r="37" spans="1:60" s="2180" customFormat="1" ht="18.75" hidden="1" customHeight="1">
      <c r="A37" s="1283"/>
      <c r="B37" s="1283"/>
      <c r="C37" s="1283"/>
      <c r="D37" s="1283"/>
      <c r="E37" s="1283"/>
      <c r="F37" s="1283"/>
      <c r="G37" s="1283"/>
      <c r="H37" s="1283"/>
      <c r="I37" s="1283"/>
      <c r="J37" s="1283"/>
      <c r="K37" s="1283"/>
      <c r="L37" s="1284"/>
      <c r="M37" s="1283"/>
      <c r="N37" s="1283"/>
      <c r="O37" s="1283"/>
      <c r="P37" s="1283"/>
      <c r="Q37" s="1283"/>
      <c r="S37" s="5306" t="s">
        <v>540</v>
      </c>
      <c r="T37" s="5306"/>
      <c r="U37" s="1287"/>
      <c r="V37" s="5307" t="str">
        <f>IF(TITLE_NUMBER_PR_CHANGE="",IF(TITLE_NUMBER_PR="","",TITLE_NUMBER_PR),TITLE_NUMBER_PR_CHANGE)</f>
        <v>51/6; 51/7</v>
      </c>
      <c r="W37" s="5307"/>
      <c r="X37" s="5307"/>
      <c r="Y37" s="5307"/>
      <c r="Z37" s="5307"/>
      <c r="AA37" s="5307"/>
      <c r="AB37" s="5307"/>
      <c r="AC37" s="252"/>
      <c r="AD37" s="5307" t="str">
        <f>IF(TITLE_NUMBER_PR_CHANGE="",IF(TITLE_NUMBER_PR="","",TITLE_NUMBER_PR),TITLE_NUMBER_PR_CHANGE)</f>
        <v>51/6; 51/7</v>
      </c>
      <c r="AE37" s="5307"/>
      <c r="AF37" s="5307"/>
      <c r="AG37" s="5307"/>
      <c r="AH37" s="5307"/>
      <c r="AI37" s="5307"/>
      <c r="AJ37" s="5307"/>
      <c r="AK37" s="5307"/>
      <c r="AL37" s="5307"/>
      <c r="AM37" s="5307"/>
      <c r="AN37" s="5307"/>
      <c r="AO37" s="5307"/>
      <c r="AP37" s="5307"/>
      <c r="AQ37" s="5307"/>
      <c r="AR37" s="5307"/>
      <c r="AS37" s="5307"/>
      <c r="AT37" s="5307"/>
      <c r="AU37" s="5307"/>
      <c r="AV37" s="5307"/>
      <c r="AW37" s="5307"/>
      <c r="AX37" s="5307"/>
      <c r="AY37" s="5307"/>
      <c r="AZ37" s="5307"/>
      <c r="BA37" s="252"/>
      <c r="BB37" s="252"/>
      <c r="BC37" s="199"/>
      <c r="BD37" s="295"/>
      <c r="BE37" s="295"/>
      <c r="BF37" s="295"/>
      <c r="BG37" s="295"/>
      <c r="BH37" s="295"/>
    </row>
    <row r="38" spans="1:60" s="218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543</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543</v>
      </c>
      <c r="BD38" s="295"/>
      <c r="BE38" s="295"/>
      <c r="BF38" s="295"/>
      <c r="BG38" s="295"/>
      <c r="BH38" s="295"/>
    </row>
    <row r="39" spans="1:60" ht="14.25" customHeight="1">
      <c r="Q39" s="209"/>
      <c r="R39" s="304"/>
      <c r="S39" s="1194"/>
      <c r="T39" s="289"/>
      <c r="U39" s="1152"/>
      <c r="V39" s="5308"/>
      <c r="W39" s="5308"/>
      <c r="X39" s="5308"/>
      <c r="Y39" s="5308"/>
      <c r="Z39" s="5308"/>
      <c r="AA39" s="5308"/>
      <c r="AB39" s="5308"/>
      <c r="AC39" s="5308"/>
      <c r="AD39" s="5308"/>
      <c r="AE39" s="5308"/>
      <c r="AF39" s="5308"/>
      <c r="AG39" s="5308"/>
      <c r="AH39" s="5308"/>
      <c r="AI39" s="5308"/>
      <c r="AJ39" s="5308"/>
      <c r="AK39" s="5308"/>
      <c r="AL39" s="5308"/>
      <c r="AM39" s="5308"/>
      <c r="AN39" s="5308"/>
      <c r="AO39" s="5308"/>
      <c r="AP39" s="5308"/>
      <c r="AQ39" s="5308"/>
      <c r="AR39" s="5308"/>
      <c r="AS39" s="5308"/>
      <c r="AT39" s="5308"/>
      <c r="AU39" s="5308"/>
      <c r="AV39" s="5308"/>
      <c r="AW39" s="5308"/>
      <c r="AX39" s="5308"/>
      <c r="AY39" s="5308"/>
      <c r="AZ39" s="5308"/>
      <c r="BA39" s="5308"/>
    </row>
    <row r="40" spans="1:60" ht="14.25" customHeight="1">
      <c r="Q40" s="209"/>
      <c r="R40" s="304"/>
      <c r="S40" s="5180" t="s">
        <v>417</v>
      </c>
      <c r="T40" s="5180"/>
      <c r="U40" s="5180"/>
      <c r="V40" s="5180"/>
      <c r="W40" s="5180"/>
      <c r="X40" s="5180"/>
      <c r="Y40" s="5180"/>
      <c r="Z40" s="5180"/>
      <c r="AA40" s="5180"/>
      <c r="AB40" s="5180"/>
      <c r="AC40" s="5180"/>
      <c r="AD40" s="5180"/>
      <c r="AE40" s="5180"/>
      <c r="AF40" s="5180"/>
      <c r="AG40" s="5180"/>
      <c r="AH40" s="5180"/>
      <c r="AI40" s="5180"/>
      <c r="AJ40" s="5180"/>
      <c r="AK40" s="5180"/>
      <c r="AL40" s="5180"/>
      <c r="AM40" s="5180"/>
      <c r="AN40" s="5180"/>
      <c r="AO40" s="5180"/>
      <c r="AP40" s="5180"/>
      <c r="AQ40" s="5180"/>
      <c r="AR40" s="5180"/>
      <c r="AS40" s="5180"/>
      <c r="AT40" s="5180"/>
      <c r="AU40" s="5180"/>
      <c r="AV40" s="5180"/>
      <c r="AW40" s="5180"/>
      <c r="AX40" s="5180"/>
      <c r="AY40" s="5180"/>
      <c r="AZ40" s="5180"/>
      <c r="BA40" s="5180"/>
      <c r="BB40" s="5180"/>
      <c r="BC40" s="5180" t="s">
        <v>418</v>
      </c>
    </row>
    <row r="41" spans="1:60" ht="14.25" customHeight="1">
      <c r="Q41" s="209"/>
      <c r="R41" s="304"/>
      <c r="S41" s="5322" t="s">
        <v>83</v>
      </c>
      <c r="T41" s="5274" t="s">
        <v>627</v>
      </c>
      <c r="U41" s="219"/>
      <c r="V41" s="5323" t="s">
        <v>545</v>
      </c>
      <c r="W41" s="5324"/>
      <c r="X41" s="5324"/>
      <c r="Y41" s="5324"/>
      <c r="Z41" s="5324"/>
      <c r="AA41" s="5324"/>
      <c r="AB41" s="5325"/>
      <c r="AC41" s="5326" t="s">
        <v>546</v>
      </c>
      <c r="AD41" s="5352" t="s">
        <v>628</v>
      </c>
      <c r="AE41" s="5338"/>
      <c r="AF41" s="5338"/>
      <c r="AG41" s="5353"/>
      <c r="AH41" s="5352" t="s">
        <v>629</v>
      </c>
      <c r="AI41" s="5338"/>
      <c r="AJ41" s="5338"/>
      <c r="AK41" s="5353"/>
      <c r="AL41" s="5352" t="s">
        <v>630</v>
      </c>
      <c r="AM41" s="5338"/>
      <c r="AN41" s="5338"/>
      <c r="AO41" s="5353"/>
      <c r="AP41" s="5352" t="s">
        <v>631</v>
      </c>
      <c r="AQ41" s="5338"/>
      <c r="AR41" s="5338"/>
      <c r="AS41" s="5353"/>
      <c r="AT41" s="5323" t="s">
        <v>545</v>
      </c>
      <c r="AU41" s="5324"/>
      <c r="AV41" s="5324"/>
      <c r="AW41" s="5324"/>
      <c r="AX41" s="5324"/>
      <c r="AY41" s="5324"/>
      <c r="AZ41" s="5325"/>
      <c r="BA41" s="5326" t="s">
        <v>546</v>
      </c>
      <c r="BB41" s="5329" t="s">
        <v>548</v>
      </c>
      <c r="BC41" s="5180"/>
    </row>
    <row r="42" spans="1:60" ht="33.75" customHeight="1">
      <c r="Q42" s="209"/>
      <c r="R42" s="304"/>
      <c r="S42" s="5322"/>
      <c r="T42" s="5274"/>
      <c r="U42" s="937"/>
      <c r="V42" s="5259" t="s">
        <v>632</v>
      </c>
      <c r="W42" s="5260"/>
      <c r="X42" s="5259" t="s">
        <v>633</v>
      </c>
      <c r="Y42" s="5260"/>
      <c r="Z42" s="5259" t="s">
        <v>634</v>
      </c>
      <c r="AA42" s="5347"/>
      <c r="AB42" s="5260"/>
      <c r="AC42" s="5327"/>
      <c r="AD42" s="5354"/>
      <c r="AE42" s="5355"/>
      <c r="AF42" s="5355"/>
      <c r="AG42" s="5356"/>
      <c r="AH42" s="5354"/>
      <c r="AI42" s="5355"/>
      <c r="AJ42" s="5355"/>
      <c r="AK42" s="5356"/>
      <c r="AL42" s="5354"/>
      <c r="AM42" s="5355"/>
      <c r="AN42" s="5355"/>
      <c r="AO42" s="5356"/>
      <c r="AP42" s="5354"/>
      <c r="AQ42" s="5355"/>
      <c r="AR42" s="5355"/>
      <c r="AS42" s="5356"/>
      <c r="AT42" s="5259" t="s">
        <v>632</v>
      </c>
      <c r="AU42" s="5260"/>
      <c r="AV42" s="5259" t="s">
        <v>633</v>
      </c>
      <c r="AW42" s="5260"/>
      <c r="AX42" s="5259" t="s">
        <v>634</v>
      </c>
      <c r="AY42" s="5347"/>
      <c r="AZ42" s="5260"/>
      <c r="BA42" s="5327"/>
      <c r="BB42" s="5330"/>
      <c r="BC42" s="5180"/>
    </row>
    <row r="43" spans="1:60" ht="14.25" customHeight="1">
      <c r="Q43" s="209"/>
      <c r="R43" s="304"/>
      <c r="S43" s="5322"/>
      <c r="T43" s="5274"/>
      <c r="U43" s="937"/>
      <c r="V43" s="5264"/>
      <c r="W43" s="5265"/>
      <c r="X43" s="5264"/>
      <c r="Y43" s="5265"/>
      <c r="Z43" s="5264"/>
      <c r="AA43" s="5348"/>
      <c r="AB43" s="5265"/>
      <c r="AC43" s="5327"/>
      <c r="AD43" s="5354"/>
      <c r="AE43" s="5355"/>
      <c r="AF43" s="5355"/>
      <c r="AG43" s="5356"/>
      <c r="AH43" s="5354"/>
      <c r="AI43" s="5355"/>
      <c r="AJ43" s="5355"/>
      <c r="AK43" s="5356"/>
      <c r="AL43" s="5354"/>
      <c r="AM43" s="5355"/>
      <c r="AN43" s="5355"/>
      <c r="AO43" s="5356"/>
      <c r="AP43" s="5354"/>
      <c r="AQ43" s="5355"/>
      <c r="AR43" s="5355"/>
      <c r="AS43" s="5356"/>
      <c r="AT43" s="5264"/>
      <c r="AU43" s="5265"/>
      <c r="AV43" s="5264"/>
      <c r="AW43" s="5265"/>
      <c r="AX43" s="5264"/>
      <c r="AY43" s="5348"/>
      <c r="AZ43" s="5265"/>
      <c r="BA43" s="5327"/>
      <c r="BB43" s="5330"/>
      <c r="BC43" s="5180"/>
    </row>
    <row r="44" spans="1:60" ht="14.25" customHeight="1">
      <c r="A44" s="1285"/>
      <c r="B44" s="1285" t="s">
        <v>139</v>
      </c>
      <c r="C44" s="1285" t="s">
        <v>140</v>
      </c>
      <c r="D44" s="1285" t="s">
        <v>141</v>
      </c>
      <c r="E44" s="1279" t="s">
        <v>553</v>
      </c>
      <c r="F44" s="1279" t="s">
        <v>554</v>
      </c>
      <c r="G44" s="1279" t="s">
        <v>555</v>
      </c>
      <c r="H44" s="1279" t="s">
        <v>556</v>
      </c>
      <c r="I44" s="1279" t="s">
        <v>557</v>
      </c>
      <c r="J44" s="1279" t="s">
        <v>558</v>
      </c>
      <c r="K44" s="1279" t="s">
        <v>559</v>
      </c>
      <c r="L44" s="1279" t="s">
        <v>534</v>
      </c>
      <c r="Q44" s="209"/>
      <c r="R44" s="304"/>
      <c r="S44" s="5322"/>
      <c r="T44" s="5274"/>
      <c r="U44" s="220"/>
      <c r="V44" s="1388" t="s">
        <v>600</v>
      </c>
      <c r="W44" s="1388" t="s">
        <v>601</v>
      </c>
      <c r="X44" s="1388" t="s">
        <v>600</v>
      </c>
      <c r="Y44" s="1388" t="s">
        <v>601</v>
      </c>
      <c r="Z44" s="1398" t="s">
        <v>562</v>
      </c>
      <c r="AA44" s="5282" t="s">
        <v>563</v>
      </c>
      <c r="AB44" s="5284"/>
      <c r="AC44" s="5328"/>
      <c r="AD44" s="5357"/>
      <c r="AE44" s="5358"/>
      <c r="AF44" s="5358"/>
      <c r="AG44" s="5359"/>
      <c r="AH44" s="5357"/>
      <c r="AI44" s="5358"/>
      <c r="AJ44" s="5358"/>
      <c r="AK44" s="5359"/>
      <c r="AL44" s="5357"/>
      <c r="AM44" s="5358"/>
      <c r="AN44" s="5358"/>
      <c r="AO44" s="5359"/>
      <c r="AP44" s="5357"/>
      <c r="AQ44" s="5358"/>
      <c r="AR44" s="5358"/>
      <c r="AS44" s="5359"/>
      <c r="AT44" s="1388" t="s">
        <v>600</v>
      </c>
      <c r="AU44" s="1388" t="s">
        <v>601</v>
      </c>
      <c r="AV44" s="1388" t="s">
        <v>600</v>
      </c>
      <c r="AW44" s="1388" t="s">
        <v>601</v>
      </c>
      <c r="AX44" s="1398" t="s">
        <v>562</v>
      </c>
      <c r="AY44" s="5282" t="s">
        <v>563</v>
      </c>
      <c r="AZ44" s="5284"/>
      <c r="BA44" s="5328"/>
      <c r="BB44" s="5331"/>
      <c r="BC44" s="5180"/>
    </row>
    <row r="45" spans="1:60" s="1818"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114</v>
      </c>
      <c r="T45" s="1171" t="s">
        <v>98</v>
      </c>
      <c r="U45" s="1153" t="str">
        <f ca="1">OFFSET(U45,0,-1)</f>
        <v>2</v>
      </c>
      <c r="V45" s="1391">
        <f t="shared" ref="V45:AA45" ca="1" si="2">OFFSET(V45,0,-1)+1</f>
        <v>3</v>
      </c>
      <c r="W45" s="1391">
        <f t="shared" ca="1" si="2"/>
        <v>4</v>
      </c>
      <c r="X45" s="1391">
        <f t="shared" ca="1" si="2"/>
        <v>5</v>
      </c>
      <c r="Y45" s="1391">
        <f t="shared" ca="1" si="2"/>
        <v>6</v>
      </c>
      <c r="Z45" s="1391">
        <f t="shared" ca="1" si="2"/>
        <v>7</v>
      </c>
      <c r="AA45" s="5321">
        <f t="shared" ca="1" si="2"/>
        <v>8</v>
      </c>
      <c r="AB45" s="5321"/>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5321">
        <f ca="1">OFFSET(AY45,0,-1)+1</f>
        <v>3</v>
      </c>
      <c r="AZ45" s="5321"/>
      <c r="BA45" s="1391">
        <f ca="1">OFFSET(BA45,0,-2)+1</f>
        <v>4</v>
      </c>
      <c r="BB45" s="1153">
        <f ca="1">OFFSET(BB45,0,-1)</f>
        <v>4</v>
      </c>
      <c r="BC45" s="1391">
        <f ca="1">OFFSET(BC45,0,-1)+1</f>
        <v>5</v>
      </c>
      <c r="BD45" s="436"/>
      <c r="BE45" s="436"/>
      <c r="BF45" s="436"/>
      <c r="BG45" s="436"/>
      <c r="BH45" s="436"/>
    </row>
    <row r="46" spans="1:60" ht="21" customHeight="1">
      <c r="A46" s="1278" t="s">
        <v>378</v>
      </c>
      <c r="B46" s="1278"/>
      <c r="C46" s="1278"/>
      <c r="D46" s="1278"/>
      <c r="E46" s="5314">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127</v>
      </c>
      <c r="U46" s="218"/>
      <c r="V46" s="5301"/>
      <c r="W46" s="5301"/>
      <c r="X46" s="5301"/>
      <c r="Y46" s="5301"/>
      <c r="Z46" s="5301"/>
      <c r="AA46" s="5301"/>
      <c r="AB46" s="5301"/>
      <c r="AC46" s="5302"/>
      <c r="AD46" s="5300" t="str">
        <f>INDEX(PT_DIFFERENTIATION_NTAR,MATCH(A46,PT_DIFFERENTIATION_NTAR_ID,0))</f>
        <v/>
      </c>
      <c r="AE46" s="5301"/>
      <c r="AF46" s="5301"/>
      <c r="AG46" s="5301"/>
      <c r="AH46" s="5301"/>
      <c r="AI46" s="5301"/>
      <c r="AJ46" s="5301"/>
      <c r="AK46" s="5301"/>
      <c r="AL46" s="5301"/>
      <c r="AM46" s="5301"/>
      <c r="AN46" s="5301"/>
      <c r="AO46" s="5301"/>
      <c r="AP46" s="5301"/>
      <c r="AQ46" s="5301"/>
      <c r="AR46" s="5301"/>
      <c r="AS46" s="5301"/>
      <c r="AT46" s="5301"/>
      <c r="AU46" s="5301"/>
      <c r="AV46" s="5301"/>
      <c r="AW46" s="5301"/>
      <c r="AX46" s="5301"/>
      <c r="AY46" s="5301"/>
      <c r="AZ46" s="5301"/>
      <c r="BA46" s="5301"/>
      <c r="BB46" s="530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378</v>
      </c>
      <c r="B47" s="1278" t="s">
        <v>379</v>
      </c>
      <c r="C47" s="1278"/>
      <c r="D47" s="1278"/>
      <c r="E47" s="5315"/>
      <c r="F47" s="5314">
        <v>1</v>
      </c>
      <c r="G47" s="1278"/>
      <c r="H47" s="1278"/>
      <c r="I47" s="1278"/>
      <c r="J47" s="1278"/>
      <c r="K47" s="1278"/>
      <c r="L47" s="1279"/>
      <c r="M47" s="1280"/>
      <c r="N47" s="1280"/>
      <c r="O47" s="1280"/>
      <c r="P47" s="1325"/>
      <c r="Q47" s="1326"/>
      <c r="R47" s="277"/>
      <c r="S47" s="1402" t="str">
        <f>INDEX(PT_DIFFERENTIATION_NUM_TER,MATCH(B47,PT_DIFFERENTIATION_TER_ID,0))</f>
        <v>.</v>
      </c>
      <c r="T47" s="228" t="s">
        <v>516</v>
      </c>
      <c r="U47" s="218"/>
      <c r="V47" s="5301"/>
      <c r="W47" s="5301"/>
      <c r="X47" s="5301"/>
      <c r="Y47" s="5301"/>
      <c r="Z47" s="5301"/>
      <c r="AA47" s="5301"/>
      <c r="AB47" s="5301"/>
      <c r="AC47" s="5302"/>
      <c r="AD47" s="5300" t="str">
        <f>INDEX(PT_DIFFERENTIATION_TER,MATCH(B47,PT_DIFFERENTIATION_TER_ID,0))</f>
        <v/>
      </c>
      <c r="AE47" s="5301"/>
      <c r="AF47" s="5301"/>
      <c r="AG47" s="5301"/>
      <c r="AH47" s="5301"/>
      <c r="AI47" s="5301"/>
      <c r="AJ47" s="5301"/>
      <c r="AK47" s="5301"/>
      <c r="AL47" s="5301"/>
      <c r="AM47" s="5301"/>
      <c r="AN47" s="5301"/>
      <c r="AO47" s="5301"/>
      <c r="AP47" s="5301"/>
      <c r="AQ47" s="5301"/>
      <c r="AR47" s="5301"/>
      <c r="AS47" s="5301"/>
      <c r="AT47" s="5301"/>
      <c r="AU47" s="5301"/>
      <c r="AV47" s="5301"/>
      <c r="AW47" s="5301"/>
      <c r="AX47" s="5301"/>
      <c r="AY47" s="5301"/>
      <c r="AZ47" s="5301"/>
      <c r="BA47" s="5301"/>
      <c r="BB47" s="5302"/>
      <c r="BC47" s="1176" t="s">
        <v>517</v>
      </c>
      <c r="BE47" s="425"/>
      <c r="BF47" s="425" t="str">
        <f t="shared" si="3"/>
        <v>Территория действия тарифа</v>
      </c>
      <c r="BG47" s="425"/>
      <c r="BH47" s="425"/>
    </row>
    <row r="48" spans="1:60" ht="33.75" customHeight="1">
      <c r="A48" s="1278" t="s">
        <v>378</v>
      </c>
      <c r="B48" s="1278" t="s">
        <v>379</v>
      </c>
      <c r="C48" s="1278" t="s">
        <v>380</v>
      </c>
      <c r="D48" s="1278"/>
      <c r="E48" s="5315"/>
      <c r="F48" s="5315"/>
      <c r="G48" s="5314">
        <v>1</v>
      </c>
      <c r="H48" s="1278"/>
      <c r="I48" s="1278"/>
      <c r="J48" s="1278"/>
      <c r="K48" s="1278"/>
      <c r="L48" s="1279"/>
      <c r="M48" s="1280"/>
      <c r="N48" s="1280"/>
      <c r="O48" s="1280"/>
      <c r="P48" s="1327"/>
      <c r="Q48" s="1326"/>
      <c r="R48" s="277"/>
      <c r="S48" s="1402" t="str">
        <f>INDEX(PT_DIFFERENTIATION_NUM_CS,MATCH(C48,PT_DIFFERENTIATION_CS_ID,0))</f>
        <v>..</v>
      </c>
      <c r="T48" s="229" t="s">
        <v>650</v>
      </c>
      <c r="U48" s="218"/>
      <c r="V48" s="5301"/>
      <c r="W48" s="5301"/>
      <c r="X48" s="5301"/>
      <c r="Y48" s="5301"/>
      <c r="Z48" s="5301"/>
      <c r="AA48" s="5301"/>
      <c r="AB48" s="5301"/>
      <c r="AC48" s="5302"/>
      <c r="AD48" s="5300" t="str">
        <f>INDEX(PT_DIFFERENTIATION_CS,MATCH(C48,PT_DIFFERENTIATION_CS_ID,0))</f>
        <v/>
      </c>
      <c r="AE48" s="5301"/>
      <c r="AF48" s="5301"/>
      <c r="AG48" s="5301"/>
      <c r="AH48" s="5301"/>
      <c r="AI48" s="5301"/>
      <c r="AJ48" s="5301"/>
      <c r="AK48" s="5301"/>
      <c r="AL48" s="5301"/>
      <c r="AM48" s="5301"/>
      <c r="AN48" s="5301"/>
      <c r="AO48" s="5301"/>
      <c r="AP48" s="5301"/>
      <c r="AQ48" s="5301"/>
      <c r="AR48" s="5301"/>
      <c r="AS48" s="5301"/>
      <c r="AT48" s="5301"/>
      <c r="AU48" s="5301"/>
      <c r="AV48" s="5301"/>
      <c r="AW48" s="5301"/>
      <c r="AX48" s="5301"/>
      <c r="AY48" s="5301"/>
      <c r="AZ48" s="5301"/>
      <c r="BA48" s="5301"/>
      <c r="BB48" s="5302"/>
      <c r="BC48" s="1176" t="s">
        <v>651</v>
      </c>
      <c r="BE48" s="425"/>
      <c r="BF48" s="425" t="str">
        <f t="shared" si="3"/>
        <v>Наименование централизованной системы горячего водоснабжения</v>
      </c>
      <c r="BG48" s="425"/>
      <c r="BH48" s="425"/>
    </row>
    <row r="49" spans="1:60" s="1819" customFormat="1" ht="0" hidden="1" customHeight="1">
      <c r="A49" s="1259" t="s">
        <v>378</v>
      </c>
      <c r="B49" s="1259" t="s">
        <v>379</v>
      </c>
      <c r="C49" s="1259" t="s">
        <v>380</v>
      </c>
      <c r="D49" s="1259" t="s">
        <v>658</v>
      </c>
      <c r="E49" s="5315"/>
      <c r="F49" s="5315"/>
      <c r="G49" s="5315"/>
      <c r="H49" s="5314">
        <v>1</v>
      </c>
      <c r="I49" s="1259"/>
      <c r="J49" s="1259"/>
      <c r="K49" s="1259"/>
      <c r="L49" s="1262"/>
      <c r="M49" s="1232"/>
      <c r="N49" s="1232"/>
      <c r="O49" s="1232"/>
      <c r="P49" s="1406"/>
      <c r="Q49" s="1407"/>
      <c r="R49" s="281"/>
      <c r="S49" s="948"/>
      <c r="T49" s="1408"/>
      <c r="U49" s="1299"/>
      <c r="V49" s="5342"/>
      <c r="W49" s="5342"/>
      <c r="X49" s="5342"/>
      <c r="Y49" s="5342"/>
      <c r="Z49" s="5342"/>
      <c r="AA49" s="5342"/>
      <c r="AB49" s="5342"/>
      <c r="AC49" s="5343"/>
      <c r="AD49" s="5341"/>
      <c r="AE49" s="5342"/>
      <c r="AF49" s="5342"/>
      <c r="AG49" s="5342"/>
      <c r="AH49" s="5342"/>
      <c r="AI49" s="5342"/>
      <c r="AJ49" s="5342"/>
      <c r="AK49" s="5342"/>
      <c r="AL49" s="5342"/>
      <c r="AM49" s="5342"/>
      <c r="AN49" s="5342"/>
      <c r="AO49" s="5342"/>
      <c r="AP49" s="5342"/>
      <c r="AQ49" s="5342"/>
      <c r="AR49" s="5342"/>
      <c r="AS49" s="5342"/>
      <c r="AT49" s="5342"/>
      <c r="AU49" s="5342"/>
      <c r="AV49" s="5342"/>
      <c r="AW49" s="5342"/>
      <c r="AX49" s="5342"/>
      <c r="AY49" s="5342"/>
      <c r="AZ49" s="5342"/>
      <c r="BA49" s="5342"/>
      <c r="BB49" s="5343"/>
      <c r="BC49" s="1300" t="s">
        <v>521</v>
      </c>
      <c r="BE49" s="425"/>
      <c r="BF49" s="425" t="str">
        <f t="shared" si="3"/>
        <v/>
      </c>
      <c r="BG49" s="425"/>
      <c r="BH49" s="425"/>
    </row>
    <row r="50" spans="1:60" s="1819" customFormat="1" ht="0" hidden="1" customHeight="1">
      <c r="A50" s="1259" t="s">
        <v>378</v>
      </c>
      <c r="B50" s="1259" t="s">
        <v>379</v>
      </c>
      <c r="C50" s="1259" t="s">
        <v>380</v>
      </c>
      <c r="D50" s="1259" t="s">
        <v>658</v>
      </c>
      <c r="E50" s="5315"/>
      <c r="F50" s="5315"/>
      <c r="G50" s="5315"/>
      <c r="H50" s="5315"/>
      <c r="I50" s="5312" t="str">
        <f>S49&amp;".1"</f>
        <v>.1</v>
      </c>
      <c r="J50" s="1259"/>
      <c r="K50" s="1259"/>
      <c r="L50" s="1262" t="s">
        <v>522</v>
      </c>
      <c r="M50" s="435"/>
      <c r="N50" s="435"/>
      <c r="O50" s="435"/>
      <c r="P50" s="5313">
        <v>1</v>
      </c>
      <c r="Q50" s="1390"/>
      <c r="R50" s="280"/>
      <c r="S50" s="948"/>
      <c r="T50" s="1298"/>
      <c r="U50" s="1299"/>
      <c r="V50" s="5342"/>
      <c r="W50" s="5342"/>
      <c r="X50" s="5342"/>
      <c r="Y50" s="5342"/>
      <c r="Z50" s="5342"/>
      <c r="AA50" s="5342"/>
      <c r="AB50" s="5342"/>
      <c r="AC50" s="5343"/>
      <c r="AD50" s="5341"/>
      <c r="AE50" s="5342"/>
      <c r="AF50" s="5342"/>
      <c r="AG50" s="5342"/>
      <c r="AH50" s="5342"/>
      <c r="AI50" s="5342"/>
      <c r="AJ50" s="5342"/>
      <c r="AK50" s="5342"/>
      <c r="AL50" s="5342"/>
      <c r="AM50" s="5342"/>
      <c r="AN50" s="5342"/>
      <c r="AO50" s="5342"/>
      <c r="AP50" s="5342"/>
      <c r="AQ50" s="5342"/>
      <c r="AR50" s="5342"/>
      <c r="AS50" s="5342"/>
      <c r="AT50" s="5342"/>
      <c r="AU50" s="5342"/>
      <c r="AV50" s="5342"/>
      <c r="AW50" s="5342"/>
      <c r="AX50" s="5342"/>
      <c r="AY50" s="5342"/>
      <c r="AZ50" s="5342"/>
      <c r="BA50" s="5342"/>
      <c r="BB50" s="5343"/>
      <c r="BC50" s="1300"/>
      <c r="BE50" s="425"/>
      <c r="BF50" s="425" t="str">
        <f t="shared" si="3"/>
        <v/>
      </c>
      <c r="BG50" s="425"/>
      <c r="BH50" s="425"/>
    </row>
    <row r="51" spans="1:60" s="1819" customFormat="1" ht="0" hidden="1" customHeight="1">
      <c r="A51" s="1259" t="s">
        <v>378</v>
      </c>
      <c r="B51" s="1259" t="s">
        <v>379</v>
      </c>
      <c r="C51" s="1259" t="s">
        <v>380</v>
      </c>
      <c r="D51" s="1259" t="s">
        <v>658</v>
      </c>
      <c r="E51" s="5315"/>
      <c r="F51" s="5315"/>
      <c r="G51" s="5315"/>
      <c r="H51" s="5315"/>
      <c r="I51" s="5335"/>
      <c r="J51" s="5312" t="str">
        <f>S49&amp;".1"</f>
        <v>.1</v>
      </c>
      <c r="K51" s="1259"/>
      <c r="L51" s="1262"/>
      <c r="M51" s="435"/>
      <c r="N51" s="435"/>
      <c r="O51" s="435"/>
      <c r="P51" s="5313"/>
      <c r="Q51" s="5313">
        <v>1</v>
      </c>
      <c r="R51" s="281"/>
      <c r="S51" s="948"/>
      <c r="T51" s="1314"/>
      <c r="U51" s="1299"/>
      <c r="V51" s="5342"/>
      <c r="W51" s="5342"/>
      <c r="X51" s="5342"/>
      <c r="Y51" s="5342"/>
      <c r="Z51" s="5342"/>
      <c r="AA51" s="5342"/>
      <c r="AB51" s="5342"/>
      <c r="AC51" s="5343"/>
      <c r="AD51" s="5341"/>
      <c r="AE51" s="5342"/>
      <c r="AF51" s="5342"/>
      <c r="AG51" s="5342"/>
      <c r="AH51" s="5342"/>
      <c r="AI51" s="5342"/>
      <c r="AJ51" s="5342"/>
      <c r="AK51" s="5342"/>
      <c r="AL51" s="5342"/>
      <c r="AM51" s="5342"/>
      <c r="AN51" s="5387"/>
      <c r="AO51" s="5387"/>
      <c r="AP51" s="5342"/>
      <c r="AQ51" s="5342"/>
      <c r="AR51" s="5342"/>
      <c r="AS51" s="5342"/>
      <c r="AT51" s="5342"/>
      <c r="AU51" s="5342"/>
      <c r="AV51" s="5342"/>
      <c r="AW51" s="5342"/>
      <c r="AX51" s="5342"/>
      <c r="AY51" s="5342"/>
      <c r="AZ51" s="5342"/>
      <c r="BA51" s="5342"/>
      <c r="BB51" s="5343"/>
      <c r="BC51" s="1300"/>
      <c r="BE51" s="425"/>
      <c r="BF51" s="425" t="str">
        <f t="shared" si="3"/>
        <v/>
      </c>
      <c r="BG51" s="425"/>
      <c r="BH51" s="425"/>
    </row>
    <row r="52" spans="1:60" ht="11.25" customHeight="1">
      <c r="A52" s="1278" t="s">
        <v>378</v>
      </c>
      <c r="B52" s="1278" t="s">
        <v>379</v>
      </c>
      <c r="C52" s="1278" t="s">
        <v>380</v>
      </c>
      <c r="D52" s="1278" t="s">
        <v>658</v>
      </c>
      <c r="E52" s="5315"/>
      <c r="F52" s="5315"/>
      <c r="G52" s="5315"/>
      <c r="H52" s="5315"/>
      <c r="I52" s="5335"/>
      <c r="J52" s="5335"/>
      <c r="K52" s="5312" t="str">
        <f>S48&amp;".1"</f>
        <v>...1</v>
      </c>
      <c r="L52" s="1279"/>
      <c r="P52" s="5313"/>
      <c r="Q52" s="5313"/>
      <c r="R52" s="281">
        <v>1</v>
      </c>
      <c r="S52" s="5364" t="str">
        <f>$K52</f>
        <v>...1</v>
      </c>
      <c r="T52" s="5382"/>
      <c r="U52" s="218"/>
      <c r="V52" s="667"/>
      <c r="W52" s="1175"/>
      <c r="X52" s="667"/>
      <c r="Y52" s="1175"/>
      <c r="Z52" s="1642"/>
      <c r="AA52" s="1379" t="s">
        <v>62</v>
      </c>
      <c r="AB52" s="1642"/>
      <c r="AC52" s="1379" t="s">
        <v>62</v>
      </c>
      <c r="AD52" s="5240" t="s">
        <v>62</v>
      </c>
      <c r="AE52" s="5350"/>
      <c r="AF52" s="5269">
        <v>1</v>
      </c>
      <c r="AG52" s="5386"/>
      <c r="AH52" s="5161" t="s">
        <v>62</v>
      </c>
      <c r="AI52" s="5350"/>
      <c r="AJ52" s="5269">
        <v>1</v>
      </c>
      <c r="AK52" s="5385" t="s">
        <v>24</v>
      </c>
      <c r="AL52" s="5161" t="s">
        <v>62</v>
      </c>
      <c r="AM52" s="5259"/>
      <c r="AN52" s="5269">
        <v>1</v>
      </c>
      <c r="AO52" s="5379"/>
      <c r="AP52" s="5380" t="s">
        <v>62</v>
      </c>
      <c r="AQ52" s="231"/>
      <c r="AR52" s="1395">
        <v>1</v>
      </c>
      <c r="AS52" s="1401" t="s">
        <v>24</v>
      </c>
      <c r="AT52" s="667"/>
      <c r="AU52" s="1175"/>
      <c r="AV52" s="667"/>
      <c r="AW52" s="1175"/>
      <c r="AX52" s="1642"/>
      <c r="AY52" s="1379" t="s">
        <v>62</v>
      </c>
      <c r="AZ52" s="1642"/>
      <c r="BA52" s="1379" t="s">
        <v>62</v>
      </c>
      <c r="BB52" s="1264"/>
      <c r="BC52" s="5309" t="s">
        <v>621</v>
      </c>
      <c r="BE52" s="425"/>
      <c r="BF52" s="425" t="str">
        <f t="shared" si="3"/>
        <v/>
      </c>
      <c r="BG52" s="425"/>
      <c r="BH52" s="425"/>
    </row>
    <row r="53" spans="1:60" ht="11.25" customHeight="1">
      <c r="A53" s="1278"/>
      <c r="B53" s="1278"/>
      <c r="C53" s="1278"/>
      <c r="D53" s="1278"/>
      <c r="E53" s="5315"/>
      <c r="F53" s="5315"/>
      <c r="G53" s="5315"/>
      <c r="H53" s="5315"/>
      <c r="I53" s="5335"/>
      <c r="J53" s="5335"/>
      <c r="K53" s="5312"/>
      <c r="L53" s="1279"/>
      <c r="P53" s="5313"/>
      <c r="Q53" s="5313"/>
      <c r="R53" s="281"/>
      <c r="S53" s="5365"/>
      <c r="T53" s="5383"/>
      <c r="U53" s="218"/>
      <c r="V53" s="1308"/>
      <c r="W53" s="1405"/>
      <c r="X53" s="1308"/>
      <c r="Y53" s="1405"/>
      <c r="Z53" s="1308"/>
      <c r="AA53" s="1308"/>
      <c r="AB53" s="1308"/>
      <c r="AC53" s="1308"/>
      <c r="AD53" s="5241"/>
      <c r="AE53" s="5350"/>
      <c r="AF53" s="5269"/>
      <c r="AG53" s="5386"/>
      <c r="AH53" s="5161"/>
      <c r="AI53" s="5350"/>
      <c r="AJ53" s="5269"/>
      <c r="AK53" s="5385"/>
      <c r="AL53" s="5161"/>
      <c r="AM53" s="5264"/>
      <c r="AN53" s="5269"/>
      <c r="AO53" s="5379"/>
      <c r="AP53" s="5381"/>
      <c r="AQ53" s="238"/>
      <c r="AR53" s="349"/>
      <c r="AS53" s="349" t="s">
        <v>622</v>
      </c>
      <c r="AT53" s="1308"/>
      <c r="AU53" s="1405"/>
      <c r="AV53" s="1308"/>
      <c r="AW53" s="1405"/>
      <c r="AX53" s="1308"/>
      <c r="AY53" s="1308"/>
      <c r="AZ53" s="1308"/>
      <c r="BA53" s="1308"/>
      <c r="BB53" s="1312"/>
      <c r="BC53" s="5310"/>
      <c r="BE53" s="425"/>
      <c r="BF53" s="425"/>
      <c r="BG53" s="425"/>
      <c r="BH53" s="425"/>
    </row>
    <row r="54" spans="1:60" ht="11.25" customHeight="1">
      <c r="A54" s="1278" t="s">
        <v>378</v>
      </c>
      <c r="B54" s="1278"/>
      <c r="C54" s="1278"/>
      <c r="D54" s="1278"/>
      <c r="E54" s="5315"/>
      <c r="F54" s="5315"/>
      <c r="G54" s="5315"/>
      <c r="H54" s="5315"/>
      <c r="I54" s="5335"/>
      <c r="J54" s="5335"/>
      <c r="K54" s="5312"/>
      <c r="L54" s="1279"/>
      <c r="P54" s="5313"/>
      <c r="Q54" s="5313"/>
      <c r="R54" s="281"/>
      <c r="S54" s="5365"/>
      <c r="T54" s="5383"/>
      <c r="U54" s="218"/>
      <c r="V54" s="1308"/>
      <c r="W54" s="1405"/>
      <c r="X54" s="1308"/>
      <c r="Y54" s="1405"/>
      <c r="Z54" s="1308"/>
      <c r="AA54" s="1308"/>
      <c r="AB54" s="1308"/>
      <c r="AC54" s="1308"/>
      <c r="AD54" s="5241"/>
      <c r="AE54" s="5350"/>
      <c r="AF54" s="5269"/>
      <c r="AG54" s="5386"/>
      <c r="AH54" s="5161"/>
      <c r="AI54" s="5350"/>
      <c r="AJ54" s="5269"/>
      <c r="AK54" s="5385"/>
      <c r="AL54" s="5161"/>
      <c r="AM54" s="238"/>
      <c r="AN54" s="1409"/>
      <c r="AO54" s="1409" t="s">
        <v>623</v>
      </c>
      <c r="AP54" s="349"/>
      <c r="AQ54" s="349"/>
      <c r="AR54" s="349"/>
      <c r="AS54" s="1308"/>
      <c r="AT54" s="1308"/>
      <c r="AU54" s="1405"/>
      <c r="AV54" s="1308"/>
      <c r="AW54" s="1405"/>
      <c r="AX54" s="1308"/>
      <c r="AY54" s="1308"/>
      <c r="AZ54" s="1308"/>
      <c r="BA54" s="1308"/>
      <c r="BB54" s="1312"/>
      <c r="BC54" s="5310"/>
      <c r="BE54" s="425"/>
      <c r="BF54" s="425"/>
      <c r="BG54" s="425"/>
      <c r="BH54" s="425"/>
    </row>
    <row r="55" spans="1:60" ht="11.25" customHeight="1">
      <c r="A55" s="1278" t="s">
        <v>378</v>
      </c>
      <c r="B55" s="1278"/>
      <c r="C55" s="1278"/>
      <c r="D55" s="1278"/>
      <c r="E55" s="5315"/>
      <c r="F55" s="5315"/>
      <c r="G55" s="5315"/>
      <c r="H55" s="5315"/>
      <c r="I55" s="5335"/>
      <c r="J55" s="5335"/>
      <c r="K55" s="5312"/>
      <c r="L55" s="1279"/>
      <c r="P55" s="5313"/>
      <c r="Q55" s="5313"/>
      <c r="R55" s="281"/>
      <c r="S55" s="5365"/>
      <c r="T55" s="5383"/>
      <c r="U55" s="218"/>
      <c r="V55" s="1308"/>
      <c r="W55" s="1405"/>
      <c r="X55" s="1308"/>
      <c r="Y55" s="1405"/>
      <c r="Z55" s="1308"/>
      <c r="AA55" s="1308"/>
      <c r="AB55" s="1308"/>
      <c r="AC55" s="1308"/>
      <c r="AD55" s="5241"/>
      <c r="AE55" s="5350"/>
      <c r="AF55" s="5269"/>
      <c r="AG55" s="5386"/>
      <c r="AH55" s="5161"/>
      <c r="AI55" s="212"/>
      <c r="AJ55" s="348"/>
      <c r="AK55" s="233" t="s">
        <v>624</v>
      </c>
      <c r="AL55" s="1308"/>
      <c r="AM55" s="1308"/>
      <c r="AN55" s="1308"/>
      <c r="AO55" s="1308"/>
      <c r="AP55" s="1308"/>
      <c r="AQ55" s="1308"/>
      <c r="AR55" s="1308"/>
      <c r="AS55" s="1308"/>
      <c r="AT55" s="1308"/>
      <c r="AU55" s="1405"/>
      <c r="AV55" s="1308"/>
      <c r="AW55" s="1405"/>
      <c r="AX55" s="1308"/>
      <c r="AY55" s="1308"/>
      <c r="AZ55" s="1308"/>
      <c r="BA55" s="1308"/>
      <c r="BB55" s="1312"/>
      <c r="BC55" s="5310"/>
      <c r="BE55" s="425"/>
      <c r="BF55" s="425"/>
      <c r="BG55" s="425"/>
      <c r="BH55" s="425"/>
    </row>
    <row r="56" spans="1:60" ht="11.25" customHeight="1">
      <c r="A56" s="1278" t="s">
        <v>378</v>
      </c>
      <c r="B56" s="1278" t="s">
        <v>379</v>
      </c>
      <c r="C56" s="1278" t="s">
        <v>380</v>
      </c>
      <c r="D56" s="1278" t="s">
        <v>658</v>
      </c>
      <c r="E56" s="5315"/>
      <c r="F56" s="5315"/>
      <c r="G56" s="5315"/>
      <c r="H56" s="5315"/>
      <c r="I56" s="5335"/>
      <c r="J56" s="5335"/>
      <c r="K56" s="5312"/>
      <c r="L56" s="1279"/>
      <c r="P56" s="5313"/>
      <c r="Q56" s="5313"/>
      <c r="R56" s="281"/>
      <c r="S56" s="5366"/>
      <c r="T56" s="5384"/>
      <c r="U56" s="218"/>
      <c r="V56" s="1308"/>
      <c r="W56" s="1309" t="str">
        <f>Z52&amp;"-"&amp;AB52</f>
        <v>-</v>
      </c>
      <c r="X56" s="1308"/>
      <c r="Y56" s="1309" t="str">
        <f>AB52&amp;"-"&amp;AD52</f>
        <v>-да</v>
      </c>
      <c r="Z56" s="1308"/>
      <c r="AA56" s="1308"/>
      <c r="AB56" s="1308"/>
      <c r="AC56" s="1308"/>
      <c r="AD56" s="5166"/>
      <c r="AE56" s="232"/>
      <c r="AF56" s="234"/>
      <c r="AG56" s="349" t="s">
        <v>625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5310"/>
      <c r="BE56" s="425"/>
      <c r="BF56" s="425" t="str">
        <f t="shared" ref="BF56:BF63" si="4">IF(T56="","",T56)</f>
        <v/>
      </c>
      <c r="BG56" s="425"/>
      <c r="BH56" s="425"/>
    </row>
    <row r="57" spans="1:60" ht="11.25" customHeight="1">
      <c r="A57" s="1278" t="s">
        <v>378</v>
      </c>
      <c r="B57" s="1278" t="s">
        <v>379</v>
      </c>
      <c r="C57" s="1278" t="s">
        <v>380</v>
      </c>
      <c r="D57" s="1278" t="s">
        <v>658</v>
      </c>
      <c r="E57" s="5315"/>
      <c r="F57" s="5315"/>
      <c r="G57" s="5315"/>
      <c r="H57" s="5315"/>
      <c r="I57" s="5335"/>
      <c r="J57" s="5312"/>
      <c r="K57" s="1278"/>
      <c r="L57" s="1279"/>
      <c r="P57" s="5313"/>
      <c r="Q57" s="5313"/>
      <c r="R57" s="280"/>
      <c r="S57" s="1197"/>
      <c r="T57" s="205" t="s">
        <v>589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5311"/>
      <c r="BE57" s="425"/>
      <c r="BF57" s="425" t="str">
        <f t="shared" si="4"/>
        <v>Добавить строку</v>
      </c>
      <c r="BG57" s="425"/>
      <c r="BH57" s="425"/>
    </row>
    <row r="58" spans="1:60" s="1819" customFormat="1" ht="0" hidden="1" customHeight="1">
      <c r="A58" s="1259" t="s">
        <v>378</v>
      </c>
      <c r="B58" s="1259" t="s">
        <v>379</v>
      </c>
      <c r="C58" s="1259" t="s">
        <v>380</v>
      </c>
      <c r="D58" s="1259" t="s">
        <v>658</v>
      </c>
      <c r="E58" s="5315"/>
      <c r="F58" s="5315"/>
      <c r="G58" s="5315"/>
      <c r="H58" s="5315"/>
      <c r="I58" s="5312"/>
      <c r="J58" s="1259"/>
      <c r="K58" s="1259"/>
      <c r="L58" s="1262"/>
      <c r="M58" s="435"/>
      <c r="N58" s="435"/>
      <c r="O58" s="435"/>
      <c r="P58" s="5313"/>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9" customFormat="1" ht="0" hidden="1" customHeight="1">
      <c r="A59" s="1259" t="s">
        <v>378</v>
      </c>
      <c r="B59" s="1259" t="s">
        <v>379</v>
      </c>
      <c r="C59" s="1259" t="s">
        <v>380</v>
      </c>
      <c r="D59" s="1259" t="s">
        <v>658</v>
      </c>
      <c r="E59" s="5315"/>
      <c r="F59" s="5315"/>
      <c r="G59" s="5315"/>
      <c r="H59" s="5314"/>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167" customFormat="1" ht="0" hidden="1" customHeight="1">
      <c r="A60" s="1259" t="s">
        <v>378</v>
      </c>
      <c r="B60" s="1259" t="s">
        <v>379</v>
      </c>
      <c r="C60" s="1259" t="s">
        <v>380</v>
      </c>
      <c r="D60" s="1231"/>
      <c r="E60" s="5315"/>
      <c r="F60" s="5315"/>
      <c r="G60" s="5314"/>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167" customFormat="1" ht="0" hidden="1" customHeight="1">
      <c r="A61" s="1259" t="s">
        <v>378</v>
      </c>
      <c r="B61" s="1259" t="s">
        <v>379</v>
      </c>
      <c r="C61" s="1231"/>
      <c r="D61" s="1231"/>
      <c r="E61" s="5315"/>
      <c r="F61" s="5314"/>
      <c r="G61" s="1231"/>
      <c r="H61" s="1231"/>
      <c r="I61" s="1231"/>
      <c r="J61" s="1231"/>
      <c r="K61" s="1231"/>
      <c r="L61" s="1403"/>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9" customFormat="1" ht="0" hidden="1" customHeight="1">
      <c r="A62" s="1259" t="s">
        <v>378</v>
      </c>
      <c r="B62" s="1259"/>
      <c r="C62" s="1259"/>
      <c r="D62" s="1259"/>
      <c r="E62" s="5314"/>
      <c r="F62" s="1259"/>
      <c r="G62" s="1259"/>
      <c r="H62" s="1259"/>
      <c r="I62" s="1259"/>
      <c r="J62" s="1259"/>
      <c r="K62" s="1259"/>
      <c r="L62" s="1262"/>
      <c r="M62" s="1238"/>
      <c r="N62" s="1238"/>
      <c r="O62" s="443"/>
      <c r="P62" s="312"/>
      <c r="Q62" s="1260"/>
      <c r="R62" s="312"/>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167"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215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5334"/>
      <c r="U65" s="5334"/>
      <c r="V65" s="5334"/>
      <c r="W65" s="5334"/>
      <c r="X65" s="5334"/>
      <c r="Y65" s="5334"/>
      <c r="Z65" s="5334"/>
      <c r="AA65" s="5334"/>
      <c r="AB65" s="5334"/>
      <c r="AC65" s="5334"/>
      <c r="AD65" s="5334"/>
      <c r="AE65" s="5334"/>
      <c r="AF65" s="5334"/>
      <c r="AG65" s="5334"/>
      <c r="AH65" s="5334"/>
      <c r="AI65" s="5334"/>
      <c r="AJ65" s="5334"/>
      <c r="AK65" s="5334"/>
      <c r="AL65" s="5334"/>
      <c r="AM65" s="5334"/>
      <c r="AN65" s="5334"/>
      <c r="AO65" s="5334"/>
      <c r="AP65" s="5334"/>
      <c r="AQ65" s="5334"/>
      <c r="AR65" s="5334"/>
      <c r="AS65" s="5334"/>
      <c r="AT65" s="5334"/>
      <c r="AU65" s="5334"/>
      <c r="AV65" s="5334"/>
      <c r="AW65" s="5334"/>
      <c r="AX65" s="5334"/>
      <c r="AY65" s="5334"/>
      <c r="AZ65" s="5334"/>
      <c r="BA65" s="5334"/>
      <c r="BB65" s="5334"/>
      <c r="BC65" s="5334"/>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5334"/>
      <c r="U67" s="5334"/>
      <c r="V67" s="5334"/>
      <c r="W67" s="5334"/>
      <c r="X67" s="5334"/>
      <c r="Y67" s="5334"/>
      <c r="Z67" s="5334"/>
      <c r="AA67" s="5334"/>
      <c r="AB67" s="5334"/>
      <c r="AC67" s="5334"/>
      <c r="AD67" s="5334"/>
      <c r="AE67" s="5334"/>
      <c r="AF67" s="5334"/>
      <c r="AG67" s="5334"/>
      <c r="AH67" s="5334"/>
      <c r="AI67" s="5334"/>
      <c r="AJ67" s="5334"/>
      <c r="AK67" s="5334"/>
      <c r="AL67" s="5334"/>
      <c r="AM67" s="5334"/>
      <c r="AN67" s="5334"/>
      <c r="AO67" s="5334"/>
      <c r="AP67" s="5334"/>
      <c r="AQ67" s="5334"/>
      <c r="AR67" s="5334"/>
      <c r="AS67" s="5334"/>
      <c r="AT67" s="5334"/>
      <c r="AU67" s="5334"/>
      <c r="AV67" s="5334"/>
      <c r="AW67" s="5334"/>
      <c r="AX67" s="5334"/>
      <c r="AY67" s="5334"/>
      <c r="AZ67" s="5334"/>
      <c r="BA67" s="5334"/>
      <c r="BB67" s="5334"/>
      <c r="BC67" s="5334"/>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4590" hidden="1" customWidth="1"/>
    <col min="2" max="2" width="16.85546875" style="1832" hidden="1" customWidth="1"/>
    <col min="3" max="3" width="5.5703125" style="1834" hidden="1" customWidth="1"/>
    <col min="4" max="4" width="3.7109375" style="4596" customWidth="1"/>
    <col min="5" max="5" width="7.7109375" style="2115" customWidth="1"/>
    <col min="6" max="6" width="54.5703125" style="2115" customWidth="1"/>
    <col min="7" max="7" width="10.42578125" style="2115" customWidth="1"/>
    <col min="8" max="8" width="40.7109375" style="2115" hidden="1" customWidth="1"/>
    <col min="9" max="9" width="40.7109375" style="2115" customWidth="1"/>
    <col min="10" max="10" width="102.85546875" style="2115"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4591"/>
    <col min="22" max="26" width="9.140625" style="1832"/>
    <col min="27" max="31" width="9.140625" style="2114"/>
  </cols>
  <sheetData>
    <row r="1" spans="1:31" ht="11.25" hidden="1" customHeight="1"/>
    <row r="2" spans="1:31" ht="23.25" hidden="1" customHeight="1">
      <c r="B2" s="5154"/>
      <c r="C2" s="1066" t="s">
        <v>659</v>
      </c>
      <c r="D2" s="1549"/>
      <c r="E2" s="470">
        <f>B2</f>
        <v>0</v>
      </c>
      <c r="F2" s="471"/>
      <c r="G2" s="1556" t="s">
        <v>660</v>
      </c>
      <c r="H2" s="1556" t="s">
        <v>660</v>
      </c>
      <c r="I2" s="1556" t="s">
        <v>660</v>
      </c>
      <c r="J2" s="207" t="s">
        <v>661</v>
      </c>
      <c r="K2" s="467"/>
    </row>
    <row r="3" spans="1:31" s="1834" customFormat="1" ht="0.75" hidden="1" customHeight="1">
      <c r="B3" s="5154"/>
      <c r="C3" s="1066"/>
      <c r="D3" s="472"/>
      <c r="E3" s="473"/>
      <c r="F3" s="474" t="s">
        <v>662</v>
      </c>
      <c r="G3" s="475"/>
      <c r="H3" s="475">
        <f>H4*H5+H7</f>
        <v>0</v>
      </c>
      <c r="I3" s="475">
        <f>I4*I5+I6</f>
        <v>0</v>
      </c>
      <c r="J3" s="476"/>
    </row>
    <row r="4" spans="1:31" ht="23.25" hidden="1" customHeight="1">
      <c r="B4" s="5154"/>
      <c r="C4" s="1066"/>
      <c r="D4" s="1549"/>
      <c r="E4" s="470" t="str">
        <f>B2&amp;".1"</f>
        <v>.1</v>
      </c>
      <c r="F4" s="477" t="s">
        <v>663</v>
      </c>
      <c r="G4" s="478"/>
      <c r="H4" s="465"/>
      <c r="I4" s="465"/>
      <c r="J4" s="207" t="s">
        <v>664</v>
      </c>
      <c r="K4" s="467"/>
    </row>
    <row r="5" spans="1:31" ht="18.75" hidden="1" customHeight="1">
      <c r="B5" s="5154"/>
      <c r="C5" s="1066"/>
      <c r="D5" s="1549"/>
      <c r="E5" s="470" t="str">
        <f>B2&amp;".2"</f>
        <v>.2</v>
      </c>
      <c r="F5" s="477" t="s">
        <v>665</v>
      </c>
      <c r="G5" s="1556" t="s">
        <v>666</v>
      </c>
      <c r="H5" s="465"/>
      <c r="I5" s="465"/>
      <c r="J5" s="207"/>
      <c r="K5" s="467"/>
    </row>
    <row r="6" spans="1:31" ht="18.75" hidden="1" customHeight="1">
      <c r="B6" s="5154"/>
      <c r="C6" s="1066"/>
      <c r="D6" s="1549"/>
      <c r="E6" s="470" t="str">
        <f>B2&amp;".3"</f>
        <v>.3</v>
      </c>
      <c r="F6" s="477" t="s">
        <v>667</v>
      </c>
      <c r="G6" s="1556" t="s">
        <v>666</v>
      </c>
      <c r="H6" s="465"/>
      <c r="I6" s="465"/>
      <c r="J6" s="207"/>
      <c r="K6" s="467"/>
    </row>
    <row r="7" spans="1:31" ht="18.75" hidden="1" customHeight="1">
      <c r="B7" s="5154"/>
      <c r="C7" s="1066"/>
      <c r="D7" s="1549"/>
      <c r="E7" s="470" t="str">
        <f>B2&amp;".4"</f>
        <v>.4</v>
      </c>
      <c r="F7" s="477" t="s">
        <v>668</v>
      </c>
      <c r="G7" s="1556" t="s">
        <v>660</v>
      </c>
      <c r="H7" s="479"/>
      <c r="I7" s="479"/>
      <c r="J7" s="207"/>
      <c r="K7" s="467"/>
    </row>
    <row r="8" spans="1:31" s="1832" customFormat="1" ht="11.25" hidden="1" customHeight="1">
      <c r="A8" s="894"/>
      <c r="C8" s="1547"/>
      <c r="D8" s="461"/>
      <c r="H8" s="1059">
        <v>4</v>
      </c>
      <c r="I8" s="1059">
        <v>4</v>
      </c>
      <c r="L8" s="1547"/>
      <c r="M8" s="1547"/>
      <c r="R8" s="1547"/>
    </row>
    <row r="9" spans="1:31" s="1832" customFormat="1" ht="22.5" hidden="1" customHeight="1">
      <c r="A9" s="894"/>
      <c r="C9" s="1547"/>
      <c r="D9" s="462"/>
      <c r="E9" s="1558"/>
      <c r="F9" s="464"/>
      <c r="G9" s="1556" t="s">
        <v>666</v>
      </c>
      <c r="H9" s="465"/>
      <c r="I9" s="465"/>
      <c r="J9" s="466" t="s">
        <v>669</v>
      </c>
      <c r="K9" s="467"/>
      <c r="L9" s="1547"/>
      <c r="M9" s="1547"/>
      <c r="R9" s="1547"/>
      <c r="U9" s="468"/>
      <c r="AA9" s="1543"/>
      <c r="AB9" s="1543"/>
      <c r="AC9" s="1543"/>
      <c r="AD9" s="1543"/>
      <c r="AE9" s="1543"/>
    </row>
    <row r="10" spans="1:31" ht="11.25" hidden="1" customHeight="1"/>
    <row r="11" spans="1:31" ht="18.75" hidden="1" customHeight="1">
      <c r="D11" s="1549"/>
      <c r="E11" s="470"/>
      <c r="F11" s="464"/>
      <c r="G11" s="1556" t="s">
        <v>670</v>
      </c>
      <c r="H11" s="465"/>
      <c r="I11" s="465"/>
      <c r="J11" s="207" t="s">
        <v>671</v>
      </c>
      <c r="K11" s="467"/>
    </row>
    <row r="12" spans="1:31" ht="11.25" hidden="1" customHeight="1"/>
    <row r="13" spans="1:31" ht="22.5" hidden="1" customHeight="1">
      <c r="D13" s="1549"/>
      <c r="E13" s="470"/>
      <c r="F13" s="464"/>
      <c r="G13" s="877" t="s">
        <v>672</v>
      </c>
      <c r="H13" s="469"/>
      <c r="I13" s="469"/>
      <c r="J13" s="662" t="s">
        <v>673</v>
      </c>
      <c r="K13" s="467"/>
    </row>
    <row r="14" spans="1:31" ht="11.25" hidden="1" customHeight="1"/>
    <row r="15" spans="1:31" ht="22.5" hidden="1" customHeight="1">
      <c r="D15" s="1549"/>
      <c r="E15" s="470"/>
      <c r="F15" s="464"/>
      <c r="G15" s="1556" t="s">
        <v>674</v>
      </c>
      <c r="H15" s="469"/>
      <c r="I15" s="469"/>
      <c r="J15" s="207" t="s">
        <v>675</v>
      </c>
      <c r="K15" s="467"/>
    </row>
    <row r="16" spans="1:31" ht="11.25" hidden="1" customHeight="1"/>
    <row r="17" spans="1:26" ht="22.5" hidden="1" customHeight="1">
      <c r="D17" s="1549"/>
      <c r="E17" s="470"/>
      <c r="F17" s="464"/>
      <c r="G17" s="1556" t="s">
        <v>676</v>
      </c>
      <c r="H17" s="469"/>
      <c r="I17" s="469"/>
      <c r="J17" s="207" t="s">
        <v>677</v>
      </c>
      <c r="K17" s="467"/>
    </row>
    <row r="18" spans="1:26" ht="11.25" hidden="1" customHeight="1"/>
    <row r="19" spans="1:26" s="2114"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529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5298"/>
      <c r="G21" s="5298"/>
      <c r="H21" s="5298"/>
      <c r="I21" s="5298"/>
      <c r="J21" s="480"/>
    </row>
    <row r="22" spans="1:26" ht="24" customHeight="1">
      <c r="E22" s="5245" t="str">
        <f>IF(org=0,"Не определено",org)</f>
        <v>ПАО "ТГК-1" (филиал "Кольский")</v>
      </c>
      <c r="F22" s="5245"/>
      <c r="G22" s="5245"/>
      <c r="H22" s="5245"/>
      <c r="I22" s="5245"/>
    </row>
    <row r="23" spans="1:26" ht="11.25" customHeight="1">
      <c r="E23" s="1036"/>
      <c r="F23" s="1036"/>
      <c r="G23" s="1036"/>
      <c r="H23" s="1036"/>
      <c r="I23" s="1036"/>
    </row>
    <row r="24" spans="1:26" s="1834" customFormat="1" ht="0.75" customHeight="1">
      <c r="A24" s="1066"/>
      <c r="D24" s="1552"/>
      <c r="H24" s="801"/>
      <c r="I24" s="801" t="s">
        <v>121</v>
      </c>
    </row>
    <row r="25" spans="1:26" ht="11.25" customHeight="1">
      <c r="E25" s="629"/>
      <c r="F25" s="5388" t="s">
        <v>110</v>
      </c>
      <c r="G25" s="5389"/>
      <c r="H25" s="1562" t="str">
        <f>IF(H24="","",INDEX(DIFFERENTIATION_UNMERGE_VD,MATCH(H24,DIFFERENTIATION_ID_DIFF,0)))</f>
        <v/>
      </c>
      <c r="I25" s="1562">
        <f>IF(I24="","",INDEX(DIFFERENTIATION_UNMERGE_VD,MATCH(I24,DIFFERENTIATION_ID_DIFF,0)))</f>
        <v>0</v>
      </c>
      <c r="J25" s="5180"/>
    </row>
    <row r="26" spans="1:26" ht="11.25" customHeight="1">
      <c r="E26" s="629"/>
      <c r="F26" s="5388" t="s">
        <v>678</v>
      </c>
      <c r="G26" s="5389"/>
      <c r="H26" s="1562" t="str">
        <f>IF(H24="","",INDEX(DIFFERENTIATION_UNMERGE_AREA,MATCH(H24,DIFFERENTIATION_ID_DIFF,0)))</f>
        <v/>
      </c>
      <c r="I26" s="1562" t="str">
        <f>IF(I24="","",INDEX(DIFFERENTIATION_UNMERGE_AREA,MATCH(I24,DIFFERENTIATION_ID_DIFF,0)))</f>
        <v/>
      </c>
      <c r="J26" s="5180"/>
    </row>
    <row r="27" spans="1:26" ht="11.25" customHeight="1">
      <c r="E27" s="629"/>
      <c r="F27" s="5388" t="s">
        <v>679</v>
      </c>
      <c r="G27" s="5389"/>
      <c r="H27" s="1562" t="str">
        <f>IF(H24="","",INDEX(DIFFERENTIATION_UNMERGE_SYSTEM,MATCH(H24,DIFFERENTIATION_ID_DIFF,0)))</f>
        <v/>
      </c>
      <c r="I27" s="1562" t="str">
        <f>IF(I24="","",INDEX(DIFFERENTIATION_UNMERGE_SYSTEM,MATCH(I24,DIFFERENTIATION_ID_DIFF,0)))</f>
        <v>без дифференциации</v>
      </c>
      <c r="J27" s="5180"/>
    </row>
    <row r="28" spans="1:26" ht="11.25" customHeight="1">
      <c r="E28" s="5390" t="s">
        <v>417</v>
      </c>
      <c r="F28" s="5391"/>
      <c r="G28" s="5391"/>
      <c r="H28" s="1555"/>
      <c r="I28" s="1555"/>
      <c r="J28" s="5180"/>
    </row>
    <row r="29" spans="1:26" ht="22.5" customHeight="1">
      <c r="E29" s="1556" t="s">
        <v>83</v>
      </c>
      <c r="F29" s="1563" t="s">
        <v>419</v>
      </c>
      <c r="G29" s="1563" t="s">
        <v>680</v>
      </c>
      <c r="H29" s="1563" t="s">
        <v>420</v>
      </c>
      <c r="I29" s="1563" t="s">
        <v>420</v>
      </c>
      <c r="J29" s="5180"/>
    </row>
    <row r="30" spans="1:26" ht="18.75" customHeight="1">
      <c r="D30" s="1549"/>
      <c r="E30" s="470">
        <f>FHD_NUM_P_1</f>
        <v>1</v>
      </c>
      <c r="F30" s="1787" t="str">
        <f>FHD_P_1</f>
        <v>Выручка от регулируемого вида деятельности с распределением по видам деятельности</v>
      </c>
      <c r="G30" s="1785" t="s">
        <v>666</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7" t="str">
        <f>FHD_P_2</f>
        <v>Себестоимость производимых товаров (оказываемых услуг) по регулируемому виду деятельности, включая:</v>
      </c>
      <c r="G31" s="1785" t="s">
        <v>666</v>
      </c>
      <c r="H31" s="482">
        <f>SUMIF($K33:$K71,$K31,H33:H71)</f>
        <v>0</v>
      </c>
      <c r="I31" s="482">
        <f>SUMIF($K33:$K71,$K31,I33:I71)</f>
        <v>0</v>
      </c>
      <c r="J31" s="207" t="str">
        <f>FHD_NOTE_P_2</f>
        <v>Указывается суммарная себестоимость производимых товаров.</v>
      </c>
      <c r="K31" s="1547" t="s">
        <v>681</v>
      </c>
    </row>
    <row r="32" spans="1:26" ht="11.25" customHeight="1">
      <c r="D32" s="1549"/>
      <c r="E32" s="470" t="str">
        <f>FHD_NUM_P_3</f>
        <v>2.1</v>
      </c>
      <c r="F32" s="1433" t="str">
        <f>FHD_P_3</f>
        <v>Расходы на приобретаемую тепловую энергию (мощность), теплоноситель</v>
      </c>
      <c r="G32" s="1785" t="s">
        <v>666</v>
      </c>
      <c r="H32" s="481"/>
      <c r="I32" s="481"/>
      <c r="J32" s="207" t="str">
        <f>FHD_NOTE_P_3</f>
        <v/>
      </c>
      <c r="K32" s="1547" t="str">
        <f t="shared" ref="K32:K70" si="0">IF((LEN(E32)-LEN(SUBSTITUTE(E32,".","")))/LEN(".")=1,"p","")</f>
        <v>p</v>
      </c>
    </row>
    <row r="33" spans="1:31" ht="11.25" customHeight="1">
      <c r="A33" s="5392" t="s">
        <v>682</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5" t="s">
        <v>666</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4592" customFormat="1" ht="0.75" customHeight="1">
      <c r="A34" s="5392"/>
      <c r="B34" s="5393"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4592" customFormat="1" ht="0.75" customHeight="1">
      <c r="A35" s="5392"/>
      <c r="B35" s="5393"/>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4592" customFormat="1" ht="0.75" customHeight="1">
      <c r="A36" s="5392"/>
      <c r="B36" s="5393"/>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4592" customFormat="1" ht="0.75" customHeight="1">
      <c r="A37" s="5392"/>
      <c r="B37" s="5393"/>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4592" customFormat="1" ht="0.75" customHeight="1">
      <c r="A38" s="5392"/>
      <c r="B38" s="5393"/>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4592" customFormat="1" ht="0.75" customHeight="1">
      <c r="A39" s="5392"/>
      <c r="B39" s="5393"/>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832" customFormat="1" ht="15" customHeight="1">
      <c r="A40" s="5392"/>
      <c r="C40" s="1547"/>
      <c r="D40" s="1544"/>
      <c r="E40" s="494"/>
      <c r="F40" s="495" t="s">
        <v>683</v>
      </c>
      <c r="G40" s="496"/>
      <c r="H40" s="497"/>
      <c r="I40" s="497"/>
      <c r="J40" s="219"/>
      <c r="K40" s="1547" t="str">
        <f t="shared" si="0"/>
        <v/>
      </c>
      <c r="L40" s="1547"/>
      <c r="M40" s="1547"/>
      <c r="R40" s="1547"/>
      <c r="U40" s="468"/>
      <c r="AA40" s="1543"/>
      <c r="AB40" s="1543"/>
      <c r="AC40" s="1543"/>
      <c r="AD40" s="1543"/>
      <c r="AE40" s="1543"/>
    </row>
    <row r="41" spans="1:31" ht="11.25" hidden="1" customHeight="1">
      <c r="A41" s="5392" t="s">
        <v>684</v>
      </c>
      <c r="D41" s="1549"/>
      <c r="E41" s="470" t="str">
        <f>FHD_NUM_P_5</f>
        <v/>
      </c>
      <c r="F41" s="1433" t="str">
        <f>FHD_P_5</f>
        <v/>
      </c>
      <c r="G41" s="1785" t="s">
        <v>666</v>
      </c>
      <c r="H41" s="481"/>
      <c r="I41" s="481"/>
      <c r="J41" s="207" t="str">
        <f>FHD_NOTE_P_5</f>
        <v/>
      </c>
      <c r="K41" s="1547" t="str">
        <f t="shared" si="0"/>
        <v/>
      </c>
    </row>
    <row r="42" spans="1:31" ht="11.25" hidden="1" customHeight="1">
      <c r="A42" s="5392"/>
      <c r="D42" s="1549"/>
      <c r="E42" s="470" t="str">
        <f>FHD_NUM_P_6</f>
        <v/>
      </c>
      <c r="F42" s="1433" t="str">
        <f>FHD_P_6</f>
        <v/>
      </c>
      <c r="G42" s="1785" t="s">
        <v>666</v>
      </c>
      <c r="H42" s="481"/>
      <c r="I42" s="481"/>
      <c r="J42" s="207" t="str">
        <f>FHD_NOTE_P_6</f>
        <v/>
      </c>
      <c r="K42" s="1547" t="str">
        <f t="shared" si="0"/>
        <v/>
      </c>
    </row>
    <row r="43" spans="1:31" ht="11.25" hidden="1" customHeight="1">
      <c r="A43" s="5392"/>
      <c r="D43" s="1549"/>
      <c r="E43" s="470" t="str">
        <f>FHD_NUM_P_7</f>
        <v/>
      </c>
      <c r="F43" s="1433" t="str">
        <f>FHD_P_7</f>
        <v/>
      </c>
      <c r="G43" s="1785" t="s">
        <v>666</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5" t="s">
        <v>666</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5" t="s">
        <v>685</v>
      </c>
      <c r="H45" s="481"/>
      <c r="I45" s="481"/>
      <c r="J45" s="207" t="str">
        <f>FHD_NOTE_P_9</f>
        <v/>
      </c>
      <c r="K45" s="1547" t="str">
        <f t="shared" si="0"/>
        <v/>
      </c>
    </row>
    <row r="46" spans="1:31" s="1832" customFormat="1" ht="11.25" customHeight="1">
      <c r="A46" s="894"/>
      <c r="C46" s="1547"/>
      <c r="D46" s="498"/>
      <c r="E46" s="470" t="str">
        <f>FHD_NUM_P_10</f>
        <v>2.3.2</v>
      </c>
      <c r="F46" s="1560" t="str">
        <f>FHD_P_10</f>
        <v>Объём приобретения электрической энергии</v>
      </c>
      <c r="G46" s="1785" t="s">
        <v>686</v>
      </c>
      <c r="H46" s="481"/>
      <c r="I46" s="481"/>
      <c r="J46" s="207" t="str">
        <f>FHD_NOTE_P_10</f>
        <v/>
      </c>
      <c r="K46" s="1547" t="str">
        <f t="shared" si="0"/>
        <v/>
      </c>
      <c r="L46" s="1547"/>
      <c r="M46" s="1547"/>
      <c r="R46" s="1547"/>
      <c r="U46" s="468"/>
      <c r="AA46" s="1543"/>
      <c r="AB46" s="1543"/>
      <c r="AC46" s="1543"/>
      <c r="AD46" s="1543"/>
      <c r="AE46" s="1543"/>
    </row>
    <row r="47" spans="1:31" s="1832" customFormat="1" ht="11.25" customHeight="1">
      <c r="A47" s="896" t="s">
        <v>687</v>
      </c>
      <c r="C47" s="1547"/>
      <c r="D47" s="499"/>
      <c r="E47" s="470" t="str">
        <f>FHD_NUM_P_11</f>
        <v>2.4</v>
      </c>
      <c r="F47" s="1433" t="str">
        <f>FHD_P_11</f>
        <v>Расходы на приобретение холодной воды, используемой в технологическом процессе</v>
      </c>
      <c r="G47" s="1785" t="s">
        <v>666</v>
      </c>
      <c r="H47" s="481"/>
      <c r="I47" s="481"/>
      <c r="J47" s="207" t="str">
        <f>FHD_NOTE_P_11</f>
        <v/>
      </c>
      <c r="K47" s="1547" t="str">
        <f t="shared" si="0"/>
        <v>p</v>
      </c>
      <c r="L47" s="1547"/>
      <c r="M47" s="1547"/>
      <c r="R47" s="1547"/>
      <c r="U47" s="468"/>
      <c r="AA47" s="1543"/>
      <c r="AB47" s="1543"/>
      <c r="AC47" s="1543"/>
      <c r="AD47" s="1543"/>
      <c r="AE47" s="1543"/>
    </row>
    <row r="48" spans="1:31" s="1832" customFormat="1" ht="18" customHeight="1">
      <c r="A48" s="896" t="s">
        <v>688</v>
      </c>
      <c r="C48" s="1547"/>
      <c r="D48" s="1549"/>
      <c r="E48" s="470" t="str">
        <f>FHD_NUM_P_12</f>
        <v>2.5</v>
      </c>
      <c r="F48" s="1433" t="str">
        <f>FHD_P_12</f>
        <v>Расходы на химические реагенты, используемые в технологическом процессе</v>
      </c>
      <c r="G48" s="1785" t="s">
        <v>666</v>
      </c>
      <c r="H48" s="501"/>
      <c r="I48" s="501"/>
      <c r="J48" s="207" t="str">
        <f>FHD_NOTE_P_12</f>
        <v/>
      </c>
      <c r="K48" s="1547" t="str">
        <f t="shared" si="0"/>
        <v>p</v>
      </c>
      <c r="L48" s="1547"/>
      <c r="M48" s="1547"/>
      <c r="R48" s="1547"/>
      <c r="U48" s="468"/>
      <c r="AA48" s="1543"/>
      <c r="AB48" s="1543"/>
      <c r="AC48" s="1543"/>
      <c r="AD48" s="1543"/>
      <c r="AE48" s="1543"/>
    </row>
    <row r="49" spans="1:31" s="2173"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5" t="s">
        <v>666</v>
      </c>
      <c r="H49" s="481"/>
      <c r="I49" s="481"/>
      <c r="J49" s="207" t="str">
        <f>FHD_NOTE_P_13</f>
        <v/>
      </c>
      <c r="K49" s="1547" t="str">
        <f t="shared" si="0"/>
        <v>p</v>
      </c>
      <c r="L49" s="648"/>
      <c r="M49" s="648"/>
      <c r="R49" s="648"/>
      <c r="U49" s="649"/>
      <c r="AA49" s="650"/>
      <c r="AB49" s="650"/>
      <c r="AC49" s="650"/>
      <c r="AD49" s="650"/>
      <c r="AE49" s="650"/>
    </row>
    <row r="50" spans="1:31" s="2173" customFormat="1" ht="11.25" customHeight="1">
      <c r="A50" s="895"/>
      <c r="C50" s="648"/>
      <c r="D50" s="593"/>
      <c r="E50" s="470" t="str">
        <f>FHD_NUM_P_14</f>
        <v>2.6.1</v>
      </c>
      <c r="F50" s="1560" t="str">
        <f>FHD_P_14</f>
        <v>Расходы на оплату труда основного производственного персонала</v>
      </c>
      <c r="G50" s="1785" t="s">
        <v>666</v>
      </c>
      <c r="H50" s="481"/>
      <c r="I50" s="481"/>
      <c r="J50" s="207" t="str">
        <f>FHD_NOTE_P_14</f>
        <v/>
      </c>
      <c r="K50" s="1547" t="str">
        <f t="shared" si="0"/>
        <v/>
      </c>
      <c r="L50" s="648"/>
      <c r="M50" s="648"/>
      <c r="R50" s="648"/>
      <c r="U50" s="649"/>
      <c r="AA50" s="650"/>
      <c r="AB50" s="650"/>
      <c r="AC50" s="650"/>
      <c r="AD50" s="650"/>
      <c r="AE50" s="650"/>
    </row>
    <row r="51" spans="1:31" s="2173"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5" t="s">
        <v>666</v>
      </c>
      <c r="H51" s="481"/>
      <c r="I51" s="481"/>
      <c r="J51" s="207" t="str">
        <f>FHD_NOTE_P_15</f>
        <v/>
      </c>
      <c r="K51" s="1547" t="str">
        <f t="shared" si="0"/>
        <v/>
      </c>
      <c r="L51" s="648"/>
      <c r="M51" s="648"/>
      <c r="R51" s="648"/>
      <c r="U51" s="649"/>
      <c r="AA51" s="650"/>
      <c r="AB51" s="650"/>
      <c r="AC51" s="650"/>
      <c r="AD51" s="650"/>
      <c r="AE51" s="650"/>
    </row>
    <row r="52" spans="1:31" s="1832"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5" t="s">
        <v>666</v>
      </c>
      <c r="H52" s="481"/>
      <c r="I52" s="481"/>
      <c r="J52" s="207" t="str">
        <f>FHD_NOTE_P_16</f>
        <v/>
      </c>
      <c r="K52" s="1547" t="str">
        <f t="shared" si="0"/>
        <v>p</v>
      </c>
      <c r="L52" s="1547"/>
      <c r="M52" s="1552"/>
      <c r="N52" s="461"/>
      <c r="O52" s="461"/>
      <c r="R52" s="1547"/>
      <c r="U52" s="468"/>
      <c r="AA52" s="1543"/>
      <c r="AB52" s="1543"/>
      <c r="AC52" s="1543"/>
      <c r="AD52" s="1543"/>
      <c r="AE52" s="1543"/>
    </row>
    <row r="53" spans="1:31" s="1832"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5" t="s">
        <v>666</v>
      </c>
      <c r="H53" s="481"/>
      <c r="I53" s="481"/>
      <c r="J53" s="207" t="str">
        <f>FHD_NOTE_P_17</f>
        <v/>
      </c>
      <c r="K53" s="1547" t="str">
        <f t="shared" si="0"/>
        <v/>
      </c>
      <c r="L53" s="1547"/>
      <c r="M53" s="1552"/>
      <c r="N53" s="461"/>
      <c r="O53" s="461"/>
      <c r="R53" s="1547"/>
      <c r="U53" s="468"/>
      <c r="AA53" s="1543"/>
      <c r="AB53" s="1543"/>
      <c r="AC53" s="1543"/>
      <c r="AD53" s="1543"/>
      <c r="AE53" s="1543"/>
    </row>
    <row r="54" spans="1:31" s="1832"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5" t="s">
        <v>666</v>
      </c>
      <c r="H54" s="481"/>
      <c r="I54" s="481"/>
      <c r="J54" s="207" t="str">
        <f>FHD_NOTE_P_18</f>
        <v/>
      </c>
      <c r="K54" s="1547" t="str">
        <f t="shared" si="0"/>
        <v/>
      </c>
      <c r="L54" s="1547"/>
      <c r="M54" s="1552"/>
      <c r="N54" s="461"/>
      <c r="O54" s="461"/>
      <c r="R54" s="1547"/>
      <c r="U54" s="468"/>
      <c r="AA54" s="1543"/>
      <c r="AB54" s="1543"/>
      <c r="AC54" s="1543"/>
      <c r="AD54" s="1543"/>
      <c r="AE54" s="1543"/>
    </row>
    <row r="55" spans="1:31" s="1832" customFormat="1" ht="11.25" customHeight="1">
      <c r="A55" s="894"/>
      <c r="C55" s="1547"/>
      <c r="D55" s="499"/>
      <c r="E55" s="470" t="str">
        <f>FHD_NUM_P_19</f>
        <v>2.8</v>
      </c>
      <c r="F55" s="1433" t="str">
        <f>FHD_P_19</f>
        <v>Расходы на амортизацию основных средств и нематериальных активов</v>
      </c>
      <c r="G55" s="1785" t="s">
        <v>666</v>
      </c>
      <c r="H55" s="481"/>
      <c r="I55" s="481"/>
      <c r="J55" s="207" t="str">
        <f>FHD_NOTE_P_19</f>
        <v/>
      </c>
      <c r="K55" s="1547" t="str">
        <f t="shared" si="0"/>
        <v>p</v>
      </c>
      <c r="L55" s="1547"/>
      <c r="M55" s="1547"/>
      <c r="R55" s="1547"/>
      <c r="U55" s="468"/>
      <c r="AA55" s="1543"/>
      <c r="AB55" s="1543"/>
      <c r="AC55" s="1543"/>
      <c r="AD55" s="1543"/>
      <c r="AE55" s="1543"/>
    </row>
    <row r="56" spans="1:31" s="1832" customFormat="1" ht="11.25" customHeight="1">
      <c r="A56" s="894"/>
      <c r="C56" s="1547"/>
      <c r="D56" s="499"/>
      <c r="E56" s="470" t="str">
        <f>FHD_NUM_P_20</f>
        <v>2.8.1</v>
      </c>
      <c r="F56" s="1560" t="str">
        <f>FHD_P_20</f>
        <v>Расходы на амортизацию основных средств</v>
      </c>
      <c r="G56" s="1785" t="s">
        <v>666</v>
      </c>
      <c r="H56" s="481"/>
      <c r="I56" s="481"/>
      <c r="J56" s="207" t="str">
        <f>FHD_NOTE_P_20</f>
        <v/>
      </c>
      <c r="K56" s="1547" t="str">
        <f t="shared" si="0"/>
        <v/>
      </c>
      <c r="L56" s="1547"/>
      <c r="M56" s="1547"/>
      <c r="R56" s="1547"/>
      <c r="U56" s="468"/>
      <c r="AA56" s="1543"/>
      <c r="AB56" s="1543"/>
      <c r="AC56" s="1543"/>
      <c r="AD56" s="1543"/>
      <c r="AE56" s="1543"/>
    </row>
    <row r="57" spans="1:31" s="1832" customFormat="1" ht="11.25" customHeight="1">
      <c r="A57" s="894"/>
      <c r="C57" s="1547"/>
      <c r="D57" s="499"/>
      <c r="E57" s="470" t="str">
        <f>FHD_NUM_P_21</f>
        <v>2.8.2</v>
      </c>
      <c r="F57" s="1560" t="str">
        <f>FHD_P_21</f>
        <v>Расходы на амортизацию нематериальных активов</v>
      </c>
      <c r="G57" s="1785" t="s">
        <v>666</v>
      </c>
      <c r="H57" s="481"/>
      <c r="I57" s="481"/>
      <c r="J57" s="207" t="str">
        <f>FHD_NOTE_P_21</f>
        <v/>
      </c>
      <c r="K57" s="1547" t="str">
        <f t="shared" si="0"/>
        <v/>
      </c>
      <c r="L57" s="1547"/>
      <c r="M57" s="1547"/>
      <c r="R57" s="1547"/>
      <c r="U57" s="468"/>
      <c r="AA57" s="1543"/>
      <c r="AB57" s="1543"/>
      <c r="AC57" s="1543"/>
      <c r="AD57" s="1543"/>
      <c r="AE57" s="1543"/>
    </row>
    <row r="58" spans="1:31" s="1832"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5" t="s">
        <v>666</v>
      </c>
      <c r="H58" s="481"/>
      <c r="I58" s="481"/>
      <c r="J58" s="207" t="str">
        <f>FHD_NOTE_P_22</f>
        <v/>
      </c>
      <c r="K58" s="1547" t="str">
        <f t="shared" si="0"/>
        <v>p</v>
      </c>
      <c r="L58" s="1547"/>
      <c r="M58" s="1547"/>
      <c r="R58" s="1547"/>
      <c r="U58" s="468"/>
      <c r="AA58" s="1543"/>
      <c r="AB58" s="1543"/>
      <c r="AC58" s="1543"/>
      <c r="AD58" s="1543"/>
      <c r="AE58" s="1543"/>
    </row>
    <row r="59" spans="1:31" s="1832" customFormat="1" ht="11.25" customHeight="1">
      <c r="A59" s="894"/>
      <c r="C59" s="1547"/>
      <c r="D59" s="499"/>
      <c r="E59" s="470" t="str">
        <f>FHD_NUM_P_23</f>
        <v>2.10</v>
      </c>
      <c r="F59" s="1433" t="str">
        <f>FHD_P_23</f>
        <v>Общепроизводственные расходы, в том числе:</v>
      </c>
      <c r="G59" s="1785" t="s">
        <v>666</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832" customFormat="1" ht="11.25" customHeight="1">
      <c r="A60" s="894"/>
      <c r="C60" s="1547"/>
      <c r="D60" s="499"/>
      <c r="E60" s="470" t="str">
        <f>FHD_NUM_P_24</f>
        <v>2.10.1</v>
      </c>
      <c r="F60" s="1560" t="str">
        <f>FHD_P_24</f>
        <v>Расходы на текущий ремонт</v>
      </c>
      <c r="G60" s="1785" t="s">
        <v>666</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832" customFormat="1" ht="11.25" customHeight="1">
      <c r="A61" s="894"/>
      <c r="C61" s="1547"/>
      <c r="D61" s="499"/>
      <c r="E61" s="470" t="str">
        <f>FHD_NUM_P_25</f>
        <v>2.10.2</v>
      </c>
      <c r="F61" s="1560" t="str">
        <f>FHD_P_25</f>
        <v>Расходы на капитальный ремонт</v>
      </c>
      <c r="G61" s="1785" t="s">
        <v>666</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832" customFormat="1" ht="11.25" customHeight="1">
      <c r="A62" s="894"/>
      <c r="C62" s="1547"/>
      <c r="D62" s="1549"/>
      <c r="E62" s="470" t="str">
        <f>FHD_NUM_P_26</f>
        <v>2.11</v>
      </c>
      <c r="F62" s="1433" t="str">
        <f>FHD_P_26</f>
        <v>Общехозяйственные расходы, в том числе:</v>
      </c>
      <c r="G62" s="1785" t="s">
        <v>666</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832" customFormat="1" ht="11.25" customHeight="1">
      <c r="A63" s="894"/>
      <c r="C63" s="1547"/>
      <c r="D63" s="1549"/>
      <c r="E63" s="470" t="str">
        <f>FHD_NUM_P_27</f>
        <v>2.11.1</v>
      </c>
      <c r="F63" s="1560" t="str">
        <f>FHD_P_27</f>
        <v>Расходы на текущий ремонт</v>
      </c>
      <c r="G63" s="1785" t="s">
        <v>666</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832" customFormat="1" ht="11.25" customHeight="1">
      <c r="A64" s="894"/>
      <c r="C64" s="1547"/>
      <c r="D64" s="1549"/>
      <c r="E64" s="470" t="str">
        <f>FHD_NUM_P_28</f>
        <v>2.11.2</v>
      </c>
      <c r="F64" s="1560" t="str">
        <f>FHD_P_28</f>
        <v>Расходы на капитальный ремонт</v>
      </c>
      <c r="G64" s="1785" t="s">
        <v>666</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832" customFormat="1" ht="11.25" customHeight="1">
      <c r="A65" s="894"/>
      <c r="C65" s="1547"/>
      <c r="D65" s="1549"/>
      <c r="E65" s="470" t="str">
        <f>FHD_NUM_P_29</f>
        <v>2.12</v>
      </c>
      <c r="F65" s="1433" t="str">
        <f>FHD_P_29</f>
        <v>Расходы на капитальный и текущий ремонт основных средств</v>
      </c>
      <c r="G65" s="1785" t="s">
        <v>666</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832"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5" t="s">
        <v>423</v>
      </c>
      <c r="H66" s="1559" t="s">
        <v>689</v>
      </c>
      <c r="I66" s="1559" t="s">
        <v>689</v>
      </c>
      <c r="J66" s="207" t="str">
        <f>FHD_NOTE_P_30</f>
        <v/>
      </c>
      <c r="K66" s="1547" t="str">
        <f t="shared" si="0"/>
        <v/>
      </c>
      <c r="L66" s="1547">
        <f>IFERROR(MATCH("есть",B_FHD_FLAG_INDEX_1,0),0)</f>
        <v>0</v>
      </c>
      <c r="M66" s="1547"/>
      <c r="R66" s="1547"/>
      <c r="U66" s="468"/>
      <c r="AA66" s="1543"/>
      <c r="AB66" s="1543"/>
      <c r="AC66" s="1543"/>
      <c r="AD66" s="1543"/>
      <c r="AE66" s="1543"/>
    </row>
    <row r="67" spans="1:31" s="1832" customFormat="1" ht="22.5" hidden="1" customHeight="1">
      <c r="A67" s="5392" t="s">
        <v>690</v>
      </c>
      <c r="C67" s="1547"/>
      <c r="D67" s="1549"/>
      <c r="E67" s="470" t="str">
        <f>FHD_NUM_P_31</f>
        <v/>
      </c>
      <c r="F67" s="1433" t="str">
        <f>FHD_P_31</f>
        <v/>
      </c>
      <c r="G67" s="1785" t="s">
        <v>666</v>
      </c>
      <c r="H67" s="481"/>
      <c r="I67" s="481"/>
      <c r="J67" s="207" t="str">
        <f>FHD_NOTE_P_31</f>
        <v/>
      </c>
      <c r="K67" s="1547" t="str">
        <f t="shared" si="0"/>
        <v/>
      </c>
      <c r="L67" s="1547"/>
      <c r="M67" s="1547"/>
      <c r="R67" s="1547"/>
      <c r="U67" s="468"/>
      <c r="AA67" s="1543"/>
      <c r="AB67" s="1543"/>
      <c r="AC67" s="1543"/>
      <c r="AD67" s="1543"/>
      <c r="AE67" s="1543"/>
    </row>
    <row r="68" spans="1:31" s="1832" customFormat="1" ht="45" hidden="1" customHeight="1">
      <c r="A68" s="5392"/>
      <c r="C68" s="1547"/>
      <c r="D68" s="1549"/>
      <c r="E68" s="470" t="str">
        <f>FHD_NUM_P_32</f>
        <v/>
      </c>
      <c r="F68" s="1560" t="str">
        <f>FHD_P_32</f>
        <v/>
      </c>
      <c r="G68" s="1785" t="s">
        <v>423</v>
      </c>
      <c r="H68" s="1559" t="s">
        <v>689</v>
      </c>
      <c r="I68" s="1559" t="s">
        <v>689</v>
      </c>
      <c r="J68" s="207" t="str">
        <f>FHD_NOTE_P_32</f>
        <v/>
      </c>
      <c r="K68" s="1547" t="str">
        <f t="shared" si="0"/>
        <v/>
      </c>
      <c r="L68" s="1547">
        <f>IFERROR(MATCH("есть",B_FHD_FLAG_INDEX_2,0),0)</f>
        <v>0</v>
      </c>
      <c r="M68" s="1547"/>
      <c r="R68" s="1547"/>
      <c r="U68" s="468"/>
      <c r="AA68" s="1543"/>
      <c r="AB68" s="1543"/>
      <c r="AC68" s="1543"/>
      <c r="AD68" s="1543"/>
      <c r="AE68" s="1543"/>
    </row>
    <row r="69" spans="1:31" s="1832"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6" t="s">
        <v>666</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1834" customFormat="1" ht="0.75" customHeight="1">
      <c r="A70" s="1066"/>
      <c r="D70" s="472"/>
      <c r="E70" s="919" t="str">
        <f>E69&amp;".0"</f>
        <v>2.13.0</v>
      </c>
      <c r="F70" s="898"/>
      <c r="G70" s="919"/>
      <c r="H70" s="899"/>
      <c r="I70" s="899"/>
      <c r="J70" s="900"/>
      <c r="K70" s="1547" t="str">
        <f t="shared" si="0"/>
        <v/>
      </c>
    </row>
    <row r="71" spans="1:31" s="1832" customFormat="1" ht="14.25" customHeight="1">
      <c r="A71" s="894"/>
      <c r="C71" s="1547"/>
      <c r="D71" s="1544"/>
      <c r="E71" s="494"/>
      <c r="F71" s="495" t="s">
        <v>691</v>
      </c>
      <c r="G71" s="496"/>
      <c r="H71" s="497"/>
      <c r="I71" s="497"/>
      <c r="J71" s="219"/>
      <c r="K71" s="1547"/>
      <c r="L71" s="1547"/>
      <c r="M71" s="1547"/>
      <c r="R71" s="1547"/>
      <c r="U71" s="468"/>
      <c r="AA71" s="1543"/>
      <c r="AB71" s="1543"/>
      <c r="AC71" s="1543"/>
      <c r="AD71" s="1543"/>
      <c r="AE71" s="1543"/>
    </row>
    <row r="72" spans="1:31" s="1832" customFormat="1" ht="18.75" customHeight="1">
      <c r="A72" s="896" t="s">
        <v>692</v>
      </c>
      <c r="C72" s="1547"/>
      <c r="D72" s="1549"/>
      <c r="E72" s="470" t="str">
        <f>FHD_NUM_P_34</f>
        <v>3</v>
      </c>
      <c r="F72" s="1787" t="str">
        <f>FHD_P_34</f>
        <v>Валовая прибыль (убытки) от реализации товаров и оказания услуг по регулируемому виду деятельности</v>
      </c>
      <c r="G72" s="1785" t="s">
        <v>666</v>
      </c>
      <c r="H72" s="481"/>
      <c r="I72" s="481"/>
      <c r="J72" s="207" t="str">
        <f>FHD_NOTE_P_34</f>
        <v/>
      </c>
      <c r="K72" s="467"/>
      <c r="L72" s="1547"/>
      <c r="M72" s="1547"/>
      <c r="R72" s="1547"/>
      <c r="U72" s="468"/>
      <c r="AA72" s="1543"/>
      <c r="AB72" s="1543"/>
      <c r="AC72" s="1543"/>
      <c r="AD72" s="1543"/>
      <c r="AE72" s="1543"/>
    </row>
    <row r="73" spans="1:31" s="1832" customFormat="1" ht="18.75" customHeight="1">
      <c r="A73" s="894"/>
      <c r="C73" s="1547"/>
      <c r="D73" s="499"/>
      <c r="E73" s="470" t="str">
        <f>FHD_NUM_P_35</f>
        <v>4</v>
      </c>
      <c r="F73" s="1787" t="str">
        <f>FHD_P_35</f>
        <v>Чистая прибыль, полученная от регулируемого вида деятельности, в том числе:</v>
      </c>
      <c r="G73" s="1785" t="s">
        <v>666</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832"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5" t="s">
        <v>666</v>
      </c>
      <c r="H74" s="481"/>
      <c r="I74" s="481"/>
      <c r="J74" s="207" t="str">
        <f>FHD_NOTE_P_36</f>
        <v/>
      </c>
      <c r="K74" s="467"/>
      <c r="L74" s="1547"/>
      <c r="M74" s="1547"/>
      <c r="R74" s="1547"/>
      <c r="U74" s="468"/>
      <c r="AA74" s="1543"/>
      <c r="AB74" s="1543"/>
      <c r="AC74" s="1543"/>
      <c r="AD74" s="1543"/>
      <c r="AE74" s="1543"/>
    </row>
    <row r="75" spans="1:31" s="1832" customFormat="1" ht="18.75" customHeight="1">
      <c r="A75" s="894"/>
      <c r="C75" s="1547"/>
      <c r="D75" s="1549"/>
      <c r="E75" s="470" t="str">
        <f>FHD_NUM_P_37</f>
        <v>5</v>
      </c>
      <c r="F75" s="1787" t="str">
        <f>FHD_P_37</f>
        <v>Изменение стоимости основных фондов, в том числе:</v>
      </c>
      <c r="G75" s="1785" t="s">
        <v>666</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832" customFormat="1" ht="18.75" customHeight="1">
      <c r="A76" s="894"/>
      <c r="C76" s="1547"/>
      <c r="D76" s="1549"/>
      <c r="E76" s="470" t="str">
        <f>FHD_NUM_P_38</f>
        <v>5.1</v>
      </c>
      <c r="F76" s="1433" t="str">
        <f>FHD_P_38</f>
        <v>Изменение стоимости основных фондов за счет:</v>
      </c>
      <c r="G76" s="1785" t="s">
        <v>666</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832"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5" t="s">
        <v>666</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832"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5" t="s">
        <v>666</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832" customFormat="1" ht="18.75" customHeight="1">
      <c r="A79" s="894"/>
      <c r="C79" s="1547"/>
      <c r="D79" s="1549"/>
      <c r="E79" s="470" t="str">
        <f>FHD_NUM_P_41</f>
        <v>5.2</v>
      </c>
      <c r="F79" s="1433" t="str">
        <f>FHD_P_41</f>
        <v>Изменение стоимости основных фондов за счет их переоценки</v>
      </c>
      <c r="G79" s="1786" t="s">
        <v>666</v>
      </c>
      <c r="H79" s="481"/>
      <c r="I79" s="481"/>
      <c r="J79" s="207" t="str">
        <f>FHD_NOTE_P_41</f>
        <v/>
      </c>
      <c r="K79" s="467"/>
      <c r="L79" s="1547"/>
      <c r="M79" s="1547"/>
      <c r="R79" s="1547"/>
      <c r="U79" s="468"/>
      <c r="AA79" s="1543"/>
      <c r="AB79" s="1543"/>
      <c r="AC79" s="1543"/>
      <c r="AD79" s="1543"/>
      <c r="AE79" s="1543"/>
    </row>
    <row r="80" spans="1:31" s="1832" customFormat="1" ht="18.75" hidden="1" customHeight="1">
      <c r="A80" s="896" t="s">
        <v>693</v>
      </c>
      <c r="C80" s="1547"/>
      <c r="D80" s="1549"/>
      <c r="E80" s="470" t="str">
        <f>FHD_NUM_P_42</f>
        <v/>
      </c>
      <c r="F80" s="1787" t="str">
        <f>FHD_P_42</f>
        <v/>
      </c>
      <c r="G80" s="1785" t="s">
        <v>666</v>
      </c>
      <c r="H80" s="884"/>
      <c r="I80" s="481"/>
      <c r="J80" s="207" t="str">
        <f>FHD_NOTE_P_42</f>
        <v/>
      </c>
      <c r="K80" s="467"/>
      <c r="L80" s="1547"/>
      <c r="M80" s="1547"/>
      <c r="R80" s="1547"/>
      <c r="U80" s="468"/>
      <c r="AA80" s="1543"/>
      <c r="AB80" s="1543"/>
      <c r="AC80" s="1543"/>
      <c r="AD80" s="1543"/>
      <c r="AE80" s="1543"/>
    </row>
    <row r="81" spans="1:31" s="1832" customFormat="1" ht="18.75" customHeight="1">
      <c r="A81" s="894"/>
      <c r="C81" s="1547"/>
      <c r="D81" s="1549"/>
      <c r="E81" s="470" t="str">
        <f>FHD_NUM_P_43</f>
        <v>6</v>
      </c>
      <c r="F81" s="1787" t="str">
        <f>FHD_P_43</f>
        <v>Годовая бухгалтерская (финансовая) отчетность, включая бухгалтерский баланс и приложения к нему</v>
      </c>
      <c r="G81" s="1785" t="s">
        <v>423</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4593" customFormat="1" ht="18.75" hidden="1" customHeight="1">
      <c r="A82" s="5392" t="s">
        <v>694</v>
      </c>
      <c r="C82" s="653"/>
      <c r="D82" s="651"/>
      <c r="E82" s="470" t="str">
        <f>FHD_NUM_P_44</f>
        <v/>
      </c>
      <c r="F82" s="1787" t="str">
        <f>FHD_P_44</f>
        <v/>
      </c>
      <c r="G82" s="1788" t="s">
        <v>695</v>
      </c>
      <c r="H82" s="885"/>
      <c r="I82" s="501"/>
      <c r="J82" s="207" t="str">
        <f>FHD_NOTE_P_44</f>
        <v/>
      </c>
      <c r="K82" s="652"/>
      <c r="L82" s="653"/>
      <c r="M82" s="653"/>
      <c r="R82" s="653"/>
      <c r="U82" s="654"/>
      <c r="AA82" s="655"/>
      <c r="AB82" s="655"/>
      <c r="AC82" s="655"/>
      <c r="AD82" s="655"/>
      <c r="AE82" s="655"/>
    </row>
    <row r="83" spans="1:31" s="4593" customFormat="1" ht="18.75" hidden="1" customHeight="1">
      <c r="A83" s="5392"/>
      <c r="C83" s="653"/>
      <c r="D83" s="651"/>
      <c r="E83" s="470" t="str">
        <f>FHD_NUM_P_45</f>
        <v/>
      </c>
      <c r="F83" s="1787" t="str">
        <f>FHD_P_45</f>
        <v/>
      </c>
      <c r="G83" s="1788" t="s">
        <v>695</v>
      </c>
      <c r="H83" s="885"/>
      <c r="I83" s="501"/>
      <c r="J83" s="207" t="str">
        <f>FHD_NOTE_P_45</f>
        <v/>
      </c>
      <c r="K83" s="652"/>
      <c r="L83" s="653"/>
      <c r="M83" s="653"/>
      <c r="R83" s="653"/>
      <c r="U83" s="654"/>
      <c r="AA83" s="655"/>
      <c r="AB83" s="655"/>
      <c r="AC83" s="655"/>
      <c r="AD83" s="655"/>
      <c r="AE83" s="655"/>
    </row>
    <row r="84" spans="1:31" s="4593" customFormat="1" ht="18.75" hidden="1" customHeight="1">
      <c r="A84" s="5392"/>
      <c r="C84" s="653"/>
      <c r="D84" s="656"/>
      <c r="E84" s="470" t="str">
        <f>FHD_NUM_P_46</f>
        <v/>
      </c>
      <c r="F84" s="1787" t="str">
        <f>FHD_P_46</f>
        <v/>
      </c>
      <c r="G84" s="1788" t="s">
        <v>695</v>
      </c>
      <c r="H84" s="885"/>
      <c r="I84" s="501"/>
      <c r="J84" s="207" t="str">
        <f>FHD_NOTE_P_46</f>
        <v/>
      </c>
      <c r="K84" s="652"/>
      <c r="L84" s="653"/>
      <c r="M84" s="653"/>
      <c r="R84" s="653"/>
      <c r="U84" s="654"/>
      <c r="AA84" s="655"/>
      <c r="AB84" s="655"/>
      <c r="AC84" s="655"/>
      <c r="AD84" s="655"/>
      <c r="AE84" s="655"/>
    </row>
    <row r="85" spans="1:31" s="4593" customFormat="1" ht="18.75" hidden="1" customHeight="1">
      <c r="A85" s="5392"/>
      <c r="C85" s="653"/>
      <c r="D85" s="651"/>
      <c r="E85" s="470" t="str">
        <f>FHD_NUM_P_47</f>
        <v/>
      </c>
      <c r="F85" s="1787" t="str">
        <f>FHD_P_47</f>
        <v/>
      </c>
      <c r="G85" s="1788" t="s">
        <v>695</v>
      </c>
      <c r="H85" s="885"/>
      <c r="I85" s="501"/>
      <c r="J85" s="207" t="str">
        <f>FHD_NOTE_P_47</f>
        <v/>
      </c>
      <c r="K85" s="652"/>
      <c r="L85" s="653"/>
      <c r="M85" s="653"/>
      <c r="R85" s="653"/>
      <c r="U85" s="654"/>
      <c r="AA85" s="655"/>
      <c r="AB85" s="655"/>
      <c r="AC85" s="655"/>
      <c r="AD85" s="655"/>
      <c r="AE85" s="655"/>
    </row>
    <row r="86" spans="1:31" s="4594" customFormat="1" ht="18.75" hidden="1" customHeight="1">
      <c r="A86" s="5392"/>
      <c r="B86" s="822"/>
      <c r="C86" s="653"/>
      <c r="D86" s="651"/>
      <c r="E86" s="470" t="str">
        <f>FHD_NUM_P_48</f>
        <v/>
      </c>
      <c r="F86" s="1787" t="str">
        <f>FHD_P_48</f>
        <v/>
      </c>
      <c r="G86" s="1788" t="s">
        <v>695</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4594" customFormat="1" ht="18.75" hidden="1" customHeight="1">
      <c r="A87" s="5392"/>
      <c r="B87" s="822"/>
      <c r="C87" s="653"/>
      <c r="D87" s="651"/>
      <c r="E87" s="470" t="str">
        <f>FHD_NUM_P_49</f>
        <v/>
      </c>
      <c r="F87" s="1787" t="str">
        <f>FHD_P_49</f>
        <v/>
      </c>
      <c r="G87" s="1788" t="s">
        <v>695</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4594" customFormat="1" ht="18.75" hidden="1" customHeight="1">
      <c r="A88" s="5392"/>
      <c r="B88" s="822"/>
      <c r="C88" s="653"/>
      <c r="D88" s="651"/>
      <c r="E88" s="470" t="str">
        <f>FHD_NUM_P_50</f>
        <v/>
      </c>
      <c r="F88" s="1787" t="str">
        <f>FHD_P_50</f>
        <v/>
      </c>
      <c r="G88" s="1788" t="s">
        <v>695</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4594" customFormat="1" ht="18.75" hidden="1" customHeight="1">
      <c r="A89" s="5392"/>
      <c r="B89" s="822"/>
      <c r="C89" s="653"/>
      <c r="D89" s="651"/>
      <c r="E89" s="470" t="str">
        <f>FHD_NUM_P_51</f>
        <v/>
      </c>
      <c r="F89" s="1787" t="str">
        <f>FHD_P_51</f>
        <v/>
      </c>
      <c r="G89" s="1788" t="s">
        <v>695</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4594" customFormat="1" ht="18.75" hidden="1" customHeight="1">
      <c r="A90" s="5392"/>
      <c r="B90" s="822"/>
      <c r="C90" s="653"/>
      <c r="D90" s="651"/>
      <c r="E90" s="470" t="str">
        <f>FHD_NUM_P_52</f>
        <v/>
      </c>
      <c r="F90" s="1787" t="str">
        <f>FHD_P_52</f>
        <v/>
      </c>
      <c r="G90" s="1788" t="s">
        <v>672</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4593" customFormat="1" ht="18.75" hidden="1" customHeight="1">
      <c r="A91" s="5392" t="s">
        <v>696</v>
      </c>
      <c r="C91" s="653"/>
      <c r="D91" s="651"/>
      <c r="E91" s="470" t="str">
        <f>FHD_NUM_P_53</f>
        <v/>
      </c>
      <c r="F91" s="1787" t="str">
        <f>FHD_P_53</f>
        <v/>
      </c>
      <c r="G91" s="1788" t="s">
        <v>695</v>
      </c>
      <c r="H91" s="885"/>
      <c r="I91" s="501"/>
      <c r="J91" s="207" t="str">
        <f>FHD_NOTE_P_53</f>
        <v/>
      </c>
      <c r="K91" s="652"/>
      <c r="L91" s="653"/>
      <c r="M91" s="653"/>
      <c r="R91" s="653"/>
      <c r="U91" s="654"/>
      <c r="AA91" s="655"/>
      <c r="AB91" s="655"/>
      <c r="AC91" s="655"/>
      <c r="AD91" s="655"/>
      <c r="AE91" s="655"/>
    </row>
    <row r="92" spans="1:31" s="4593" customFormat="1" ht="18.75" hidden="1" customHeight="1">
      <c r="A92" s="5392"/>
      <c r="C92" s="653"/>
      <c r="D92" s="651"/>
      <c r="E92" s="470" t="str">
        <f>FHD_NUM_P_54</f>
        <v/>
      </c>
      <c r="F92" s="1787" t="str">
        <f>FHD_P_54</f>
        <v/>
      </c>
      <c r="G92" s="1788" t="s">
        <v>695</v>
      </c>
      <c r="H92" s="885"/>
      <c r="I92" s="501"/>
      <c r="J92" s="207" t="str">
        <f>FHD_NOTE_P_54</f>
        <v/>
      </c>
      <c r="K92" s="652"/>
      <c r="L92" s="653"/>
      <c r="M92" s="653"/>
      <c r="R92" s="653"/>
      <c r="U92" s="654"/>
      <c r="AA92" s="655"/>
      <c r="AB92" s="655"/>
      <c r="AC92" s="655"/>
      <c r="AD92" s="655"/>
      <c r="AE92" s="655"/>
    </row>
    <row r="93" spans="1:31" s="4593" customFormat="1" ht="18.75" hidden="1" customHeight="1">
      <c r="A93" s="5392"/>
      <c r="C93" s="653"/>
      <c r="D93" s="656"/>
      <c r="E93" s="470" t="str">
        <f>FHD_NUM_P_55</f>
        <v/>
      </c>
      <c r="F93" s="1787" t="str">
        <f>FHD_P_55</f>
        <v/>
      </c>
      <c r="G93" s="1791"/>
      <c r="H93" s="885"/>
      <c r="I93" s="501"/>
      <c r="J93" s="207" t="str">
        <f>FHD_NOTE_P_55</f>
        <v/>
      </c>
      <c r="K93" s="652"/>
      <c r="L93" s="653"/>
      <c r="M93" s="653"/>
      <c r="R93" s="653"/>
      <c r="U93" s="654"/>
      <c r="AA93" s="655"/>
      <c r="AB93" s="655"/>
      <c r="AC93" s="655"/>
      <c r="AD93" s="655"/>
      <c r="AE93" s="655"/>
    </row>
    <row r="94" spans="1:31" s="4593" customFormat="1" ht="18.75" hidden="1" customHeight="1">
      <c r="A94" s="5392"/>
      <c r="C94" s="653"/>
      <c r="D94" s="651"/>
      <c r="E94" s="470" t="str">
        <f>FHD_NUM_P_56</f>
        <v/>
      </c>
      <c r="F94" s="1787" t="str">
        <f>FHD_P_56</f>
        <v/>
      </c>
      <c r="G94" s="1788" t="s">
        <v>697</v>
      </c>
      <c r="H94" s="885"/>
      <c r="I94" s="501"/>
      <c r="J94" s="207" t="str">
        <f>FHD_NOTE_P_56</f>
        <v/>
      </c>
      <c r="K94" s="652"/>
      <c r="L94" s="653"/>
      <c r="M94" s="653"/>
      <c r="R94" s="653"/>
      <c r="U94" s="654"/>
      <c r="AA94" s="655"/>
      <c r="AB94" s="655"/>
      <c r="AC94" s="655"/>
      <c r="AD94" s="655"/>
      <c r="AE94" s="655"/>
    </row>
    <row r="95" spans="1:31" s="4594" customFormat="1" ht="18.75" hidden="1" customHeight="1">
      <c r="A95" s="5392"/>
      <c r="B95" s="822"/>
      <c r="C95" s="653"/>
      <c r="D95" s="651"/>
      <c r="E95" s="470" t="str">
        <f>FHD_NUM_P_57</f>
        <v/>
      </c>
      <c r="F95" s="1787" t="str">
        <f>FHD_P_57</f>
        <v/>
      </c>
      <c r="G95" s="1788" t="s">
        <v>672</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5392" t="s">
        <v>698</v>
      </c>
      <c r="D96" s="1549"/>
      <c r="E96" s="470" t="str">
        <f>FHD_NUM_P_58</f>
        <v/>
      </c>
      <c r="F96" s="1787" t="str">
        <f>FHD_P_58</f>
        <v/>
      </c>
      <c r="G96" s="1788" t="s">
        <v>695</v>
      </c>
      <c r="H96" s="885"/>
      <c r="I96" s="501"/>
      <c r="J96" s="207" t="str">
        <f>FHD_NOTE_P_58</f>
        <v/>
      </c>
      <c r="K96" s="467"/>
    </row>
    <row r="97" spans="1:31" ht="18.75" hidden="1" customHeight="1">
      <c r="A97" s="5392"/>
      <c r="D97" s="1549"/>
      <c r="E97" s="470" t="str">
        <f>FHD_NUM_P_59</f>
        <v/>
      </c>
      <c r="F97" s="1787" t="str">
        <f>FHD_P_59</f>
        <v/>
      </c>
      <c r="G97" s="1788" t="s">
        <v>695</v>
      </c>
      <c r="H97" s="885"/>
      <c r="I97" s="501"/>
      <c r="J97" s="207" t="str">
        <f>FHD_NOTE_P_59</f>
        <v/>
      </c>
      <c r="K97" s="467"/>
    </row>
    <row r="98" spans="1:31" ht="18.75" hidden="1" customHeight="1">
      <c r="A98" s="5392"/>
      <c r="D98" s="1549"/>
      <c r="E98" s="470" t="str">
        <f>FHD_NUM_P_60</f>
        <v/>
      </c>
      <c r="F98" s="1787" t="str">
        <f>FHD_P_60</f>
        <v/>
      </c>
      <c r="G98" s="1788" t="s">
        <v>695</v>
      </c>
      <c r="H98" s="885"/>
      <c r="I98" s="501"/>
      <c r="J98" s="207" t="str">
        <f>FHD_NOTE_P_60</f>
        <v/>
      </c>
      <c r="K98" s="467"/>
    </row>
    <row r="99" spans="1:31" s="1832" customFormat="1" ht="18.75" customHeight="1">
      <c r="A99" s="5392" t="s">
        <v>699</v>
      </c>
      <c r="C99" s="1547"/>
      <c r="D99" s="1549"/>
      <c r="E99" s="470" t="str">
        <f>FHD_NUM_P_61</f>
        <v>7</v>
      </c>
      <c r="F99" s="17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5" t="s">
        <v>670</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1834" customFormat="1" ht="0.75" customHeight="1">
      <c r="A100" s="5392"/>
      <c r="D100" s="472"/>
      <c r="E100" s="919" t="str">
        <f>E99&amp;".0"</f>
        <v>7.0</v>
      </c>
      <c r="F100" s="901"/>
      <c r="G100" s="902"/>
      <c r="H100" s="899"/>
      <c r="I100" s="899"/>
      <c r="J100" s="903"/>
    </row>
    <row r="101" spans="1:31" ht="15" customHeight="1">
      <c r="A101" s="5392"/>
      <c r="D101" s="1544"/>
      <c r="E101" s="879"/>
      <c r="F101" s="880" t="s">
        <v>700</v>
      </c>
      <c r="G101" s="496"/>
      <c r="H101" s="497"/>
      <c r="I101" s="497"/>
      <c r="J101" s="910" t="s">
        <v>701</v>
      </c>
      <c r="K101" s="467"/>
    </row>
    <row r="102" spans="1:31" s="1832" customFormat="1" ht="18.75" customHeight="1">
      <c r="A102" s="5392"/>
      <c r="C102" s="1547"/>
      <c r="D102" s="1549"/>
      <c r="E102" s="470" t="str">
        <f>FHD_NUM_P_62</f>
        <v>8</v>
      </c>
      <c r="F102" s="1787" t="str">
        <f>FHD_P_62</f>
        <v>Тепловая нагрузка по договорам, заключенным в рамках осуществления регулируемых видов деятельности</v>
      </c>
      <c r="G102" s="1784" t="s">
        <v>670</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832" customFormat="1" ht="18.75" customHeight="1">
      <c r="A103" s="5392"/>
      <c r="C103" s="1547"/>
      <c r="D103" s="1549"/>
      <c r="E103" s="470" t="str">
        <f>FHD_NUM_P_63</f>
        <v>9</v>
      </c>
      <c r="F103" s="1787" t="str">
        <f>FHD_P_63</f>
        <v>Объем вырабатываемой регулируемой организацией тепловой энергии в рамках осуществления регулируемых видов деятельности</v>
      </c>
      <c r="G103" s="1784" t="s">
        <v>697</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832" customFormat="1" ht="18.75" customHeight="1">
      <c r="A104" s="5392"/>
      <c r="C104" s="1547" t="s">
        <v>702</v>
      </c>
      <c r="D104" s="1549"/>
      <c r="E104" s="470" t="str">
        <f>FHD_NUM_P_64</f>
        <v>9.1</v>
      </c>
      <c r="F104" s="1787" t="str">
        <f>FHD_P_64</f>
        <v>Объем приобретаемой регулируемой организацией тепловой энергии в рамках осуществления регулируемых видов деятельности</v>
      </c>
      <c r="G104" s="1784" t="s">
        <v>697</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832" customFormat="1" ht="18.75" customHeight="1">
      <c r="A105" s="5392"/>
      <c r="C105" s="1547"/>
      <c r="D105" s="1549"/>
      <c r="E105" s="470" t="str">
        <f>FHD_NUM_P_65</f>
        <v>10</v>
      </c>
      <c r="F105" s="17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4" t="s">
        <v>697</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832" customFormat="1" ht="18.75" customHeight="1">
      <c r="A106" s="5392"/>
      <c r="C106" s="1547"/>
      <c r="D106" s="1549"/>
      <c r="E106" s="470" t="str">
        <f>FHD_NUM_P_66</f>
        <v>10.1</v>
      </c>
      <c r="F106" s="1433" t="str">
        <f>FHD_P_66</f>
        <v xml:space="preserve">По приборам учёта </v>
      </c>
      <c r="G106" s="1784" t="s">
        <v>697</v>
      </c>
      <c r="H106" s="501"/>
      <c r="I106" s="501"/>
      <c r="J106" s="207" t="str">
        <f>FHD_NOTE_P_66</f>
        <v/>
      </c>
      <c r="K106" s="467"/>
      <c r="L106" s="1547"/>
      <c r="M106" s="1547"/>
      <c r="R106" s="1547"/>
      <c r="U106" s="468"/>
      <c r="AA106" s="1543"/>
      <c r="AB106" s="1543"/>
      <c r="AC106" s="1543"/>
      <c r="AD106" s="1543"/>
      <c r="AE106" s="1543"/>
    </row>
    <row r="107" spans="1:31" s="1832" customFormat="1" ht="18.75" customHeight="1">
      <c r="A107" s="5392"/>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4" t="s">
        <v>697</v>
      </c>
      <c r="H107" s="501"/>
      <c r="I107" s="501"/>
      <c r="J107" s="207" t="str">
        <f>FHD_NOTE_P_67</f>
        <v/>
      </c>
      <c r="K107" s="467"/>
      <c r="L107" s="1547"/>
      <c r="M107" s="1547"/>
      <c r="R107" s="1547"/>
      <c r="U107" s="468"/>
      <c r="AA107" s="1543"/>
      <c r="AB107" s="1543"/>
      <c r="AC107" s="1543"/>
      <c r="AD107" s="1543"/>
      <c r="AE107" s="1543"/>
    </row>
    <row r="108" spans="1:31" s="1832" customFormat="1" ht="18.75" customHeight="1">
      <c r="A108" s="5392"/>
      <c r="C108" s="1547"/>
      <c r="D108" s="1549"/>
      <c r="E108" s="470" t="str">
        <f>FHD_NUM_P_68</f>
        <v>10.2</v>
      </c>
      <c r="F108" s="1433" t="str">
        <f>FHD_P_68</f>
        <v>Расчётным путём</v>
      </c>
      <c r="G108" s="1784" t="s">
        <v>697</v>
      </c>
      <c r="H108" s="501"/>
      <c r="I108" s="501"/>
      <c r="J108" s="207" t="str">
        <f>FHD_NOTE_P_68</f>
        <v/>
      </c>
      <c r="K108" s="467"/>
      <c r="L108" s="1547"/>
      <c r="M108" s="1547"/>
      <c r="R108" s="1547"/>
      <c r="U108" s="468"/>
      <c r="AA108" s="1543"/>
      <c r="AB108" s="1543"/>
      <c r="AC108" s="1543"/>
      <c r="AD108" s="1543"/>
      <c r="AE108" s="1543"/>
    </row>
    <row r="109" spans="1:31" s="1832" customFormat="1" ht="18.75" customHeight="1">
      <c r="A109" s="5392"/>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4" t="s">
        <v>697</v>
      </c>
      <c r="H109" s="501"/>
      <c r="I109" s="501"/>
      <c r="J109" s="207" t="str">
        <f>FHD_NOTE_P_69</f>
        <v/>
      </c>
      <c r="K109" s="467"/>
      <c r="L109" s="1547"/>
      <c r="M109" s="1547"/>
      <c r="R109" s="1547"/>
      <c r="U109" s="468"/>
      <c r="AA109" s="1543"/>
      <c r="AB109" s="1543"/>
      <c r="AC109" s="1543"/>
      <c r="AD109" s="1543"/>
      <c r="AE109" s="1543"/>
    </row>
    <row r="110" spans="1:31" s="1832" customFormat="1" ht="22.5" customHeight="1">
      <c r="A110" s="5392"/>
      <c r="C110" s="1547"/>
      <c r="D110" s="1549"/>
      <c r="E110" s="470" t="str">
        <f>FHD_NUM_P_70</f>
        <v>11</v>
      </c>
      <c r="F110" s="17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4" t="s">
        <v>703</v>
      </c>
      <c r="H110" s="481"/>
      <c r="I110" s="481"/>
      <c r="J110" s="207" t="str">
        <f>FHD_NOTE_P_70</f>
        <v/>
      </c>
      <c r="K110" s="467"/>
      <c r="L110" s="1547"/>
      <c r="M110" s="1547"/>
      <c r="R110" s="1547"/>
      <c r="U110" s="468"/>
      <c r="AA110" s="1543"/>
      <c r="AB110" s="1543"/>
      <c r="AC110" s="1543"/>
      <c r="AD110" s="1543"/>
      <c r="AE110" s="1543"/>
    </row>
    <row r="111" spans="1:31" s="1832" customFormat="1" ht="22.5" customHeight="1">
      <c r="A111" s="5392"/>
      <c r="C111" s="1547"/>
      <c r="D111" s="1549"/>
      <c r="E111" s="470" t="str">
        <f>FHD_NUM_P_71</f>
        <v>12</v>
      </c>
      <c r="F111" s="1787" t="str">
        <f>FHD_P_71</f>
        <v>Фактический объем потерь при передаче тепловой энергии</v>
      </c>
      <c r="G111" s="1784" t="s">
        <v>703</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7" t="str">
        <f>FHD_P_72</f>
        <v>Среднесписочная численность основного производственного персонала</v>
      </c>
      <c r="G112" s="1783" t="s">
        <v>704</v>
      </c>
      <c r="H112" s="501"/>
      <c r="I112" s="501"/>
      <c r="J112" s="207" t="str">
        <f>FHD_NOTE_P_72</f>
        <v/>
      </c>
      <c r="K112" s="467"/>
    </row>
    <row r="113" spans="1:31" ht="18.75" customHeight="1">
      <c r="A113" s="896" t="s">
        <v>705</v>
      </c>
      <c r="D113" s="1549"/>
      <c r="E113" s="470" t="str">
        <f>FHD_NUM_P_73</f>
        <v>14</v>
      </c>
      <c r="F113" s="1787" t="str">
        <f>FHD_P_73</f>
        <v>Среднесписочная численность административно-управленческого персонала</v>
      </c>
      <c r="G113" s="878" t="s">
        <v>704</v>
      </c>
      <c r="H113" s="876"/>
      <c r="I113" s="876"/>
      <c r="J113" s="207" t="str">
        <f>FHD_NOTE_P_73</f>
        <v/>
      </c>
      <c r="K113" s="467"/>
    </row>
    <row r="114" spans="1:31" ht="33.75" hidden="1" customHeight="1">
      <c r="A114" s="896" t="s">
        <v>706</v>
      </c>
      <c r="D114" s="1549"/>
      <c r="E114" s="470" t="str">
        <f>FHD_NUM_P_74</f>
        <v/>
      </c>
      <c r="F114" s="1787" t="str">
        <f>FHD_P_74</f>
        <v/>
      </c>
      <c r="G114" s="1783" t="s">
        <v>707</v>
      </c>
      <c r="H114" s="501"/>
      <c r="I114" s="501"/>
      <c r="J114" s="207" t="str">
        <f>FHD_NOTE_P_74</f>
        <v/>
      </c>
      <c r="K114" s="467"/>
    </row>
    <row r="115" spans="1:31" s="4594" customFormat="1" ht="18.75" hidden="1" customHeight="1">
      <c r="A115" s="5392" t="s">
        <v>708</v>
      </c>
      <c r="B115" s="822"/>
      <c r="C115" s="653"/>
      <c r="D115" s="651"/>
      <c r="E115" s="470" t="str">
        <f>FHD_NUM_P_75</f>
        <v/>
      </c>
      <c r="F115" s="1787" t="str">
        <f>FHD_P_75</f>
        <v/>
      </c>
      <c r="G115" s="1783" t="s">
        <v>672</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4594" customFormat="1" ht="18.75" hidden="1" customHeight="1">
      <c r="A116" s="5392"/>
      <c r="B116" s="822"/>
      <c r="C116" s="653"/>
      <c r="D116" s="651"/>
      <c r="E116" s="470" t="str">
        <f>FHD_NUM_P_76</f>
        <v/>
      </c>
      <c r="F116" s="1787" t="str">
        <f>FHD_P_76</f>
        <v/>
      </c>
      <c r="G116" s="1783" t="s">
        <v>672</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4594" customFormat="1" ht="18.75" hidden="1" customHeight="1">
      <c r="A117" s="5392"/>
      <c r="B117" s="822"/>
      <c r="C117" s="653"/>
      <c r="D117" s="651"/>
      <c r="E117" s="470" t="str">
        <f>FHD_NUM_P_77</f>
        <v/>
      </c>
      <c r="F117" s="1787" t="str">
        <f>FHD_P_77</f>
        <v/>
      </c>
      <c r="G117" s="1783" t="s">
        <v>672</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1834" customFormat="1" ht="0.75" hidden="1" customHeight="1">
      <c r="A118" s="5392"/>
      <c r="D118" s="472"/>
      <c r="E118" s="919" t="str">
        <f>E117&amp;".0"</f>
        <v>.0</v>
      </c>
      <c r="F118" s="904"/>
      <c r="G118" s="1561"/>
      <c r="H118" s="899"/>
      <c r="I118" s="899"/>
      <c r="J118" s="903"/>
    </row>
    <row r="119" spans="1:31" s="4594" customFormat="1" ht="15" hidden="1" customHeight="1">
      <c r="A119" s="5392"/>
      <c r="B119" s="822"/>
      <c r="C119" s="653"/>
      <c r="D119" s="663"/>
      <c r="E119" s="881"/>
      <c r="F119" s="882" t="s">
        <v>709</v>
      </c>
      <c r="G119" s="664"/>
      <c r="H119" s="665"/>
      <c r="I119" s="665"/>
      <c r="J119" s="909" t="s">
        <v>710</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5392" t="s">
        <v>711</v>
      </c>
      <c r="D120" s="1549"/>
      <c r="E120" s="470" t="str">
        <f>FHD_NUM_P_78</f>
        <v>15</v>
      </c>
      <c r="F120" s="17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4" t="s">
        <v>674</v>
      </c>
      <c r="H120" s="501"/>
      <c r="I120" s="501"/>
      <c r="J120" s="207" t="str">
        <f>FHD_NOTE_P_78</f>
        <v/>
      </c>
      <c r="K120" s="467"/>
    </row>
    <row r="121" spans="1:31" s="1834" customFormat="1" ht="0.75" customHeight="1">
      <c r="A121" s="5392"/>
      <c r="D121" s="472"/>
      <c r="E121" s="919" t="str">
        <f>E120&amp;".0"</f>
        <v>15.0</v>
      </c>
      <c r="F121" s="904"/>
      <c r="G121" s="1561"/>
      <c r="H121" s="899"/>
      <c r="I121" s="899"/>
      <c r="J121" s="903"/>
    </row>
    <row r="122" spans="1:31" ht="15" customHeight="1">
      <c r="A122" s="5392"/>
      <c r="D122" s="1544"/>
      <c r="E122" s="494"/>
      <c r="F122" s="1067" t="s">
        <v>700</v>
      </c>
      <c r="G122" s="496"/>
      <c r="H122" s="497"/>
      <c r="I122" s="497"/>
      <c r="J122" s="910" t="s">
        <v>712</v>
      </c>
      <c r="K122" s="467"/>
    </row>
    <row r="123" spans="1:31" ht="22.5" customHeight="1">
      <c r="A123" s="5392"/>
      <c r="D123" s="1549"/>
      <c r="E123" s="470" t="str">
        <f>FHD_NUM_P_79</f>
        <v>16</v>
      </c>
      <c r="F123" s="17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5" t="s">
        <v>676</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834" customFormat="1" ht="0.75" customHeight="1">
      <c r="A124" s="5392"/>
      <c r="D124" s="472"/>
      <c r="E124" s="919" t="str">
        <f>E123&amp;".0"</f>
        <v>16.0</v>
      </c>
      <c r="F124" s="905"/>
      <c r="G124" s="1561"/>
      <c r="H124" s="899"/>
      <c r="I124" s="899"/>
      <c r="J124" s="903"/>
    </row>
    <row r="125" spans="1:31" ht="15" customHeight="1">
      <c r="A125" s="5392"/>
      <c r="D125" s="1544"/>
      <c r="E125" s="494"/>
      <c r="F125" s="1067" t="s">
        <v>700</v>
      </c>
      <c r="G125" s="496"/>
      <c r="H125" s="497"/>
      <c r="I125" s="497"/>
      <c r="J125" s="910" t="s">
        <v>713</v>
      </c>
      <c r="K125" s="467"/>
    </row>
    <row r="126" spans="1:31" ht="22.5" customHeight="1">
      <c r="A126" s="5392"/>
      <c r="D126" s="1549"/>
      <c r="E126" s="470" t="str">
        <f>FHD_NUM_P_80</f>
        <v>17</v>
      </c>
      <c r="F126" s="17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5" t="s">
        <v>714</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5392"/>
      <c r="D127" s="1549"/>
      <c r="E127" s="470" t="str">
        <f>FHD_NUM_P_81</f>
        <v>18</v>
      </c>
      <c r="F127" s="17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5" t="s">
        <v>715</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5392"/>
      <c r="C128" s="1547" t="s">
        <v>702</v>
      </c>
      <c r="D128" s="1549"/>
      <c r="E128" s="470" t="str">
        <f>FHD_NUM_P_82</f>
        <v>19</v>
      </c>
      <c r="F128" s="17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5" t="s">
        <v>423</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5392"/>
      <c r="C129" s="1547" t="s">
        <v>702</v>
      </c>
      <c r="D129" s="1549"/>
      <c r="E129" s="470" t="str">
        <f>FHD_NUM_P_83</f>
        <v>19.1</v>
      </c>
      <c r="F129" s="1433" t="str">
        <f>FHD_P_83</f>
        <v>Информация о показателях физического износа объектов теплоснабжения</v>
      </c>
      <c r="G129" s="1785" t="s">
        <v>423</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5392"/>
      <c r="C130" s="1547" t="s">
        <v>702</v>
      </c>
      <c r="D130" s="1549"/>
      <c r="E130" s="470" t="str">
        <f>FHD_NUM_P_84</f>
        <v>19.2</v>
      </c>
      <c r="F130" s="1433" t="str">
        <f>FHD_P_84</f>
        <v>Информация о показателях энергетической эффективности объектов теплоснабжения</v>
      </c>
      <c r="G130" s="1785" t="s">
        <v>423</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4592"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4592"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4592"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4592"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4592"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4592"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4592"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4592"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4592"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4592"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4592"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4592"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4592"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4592"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4592"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4592"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4592"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4592"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4592"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4592"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4592"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4592"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4592"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4592"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4592"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4592"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4592"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4592"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4592"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4592"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4592"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4592"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4592"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4592"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4592"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4592"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4592"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4592"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4592"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4592"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4592"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4592"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4592"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4592"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4592"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4592"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4592"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4592"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4592"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4592"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4592"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4592"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4592"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4592"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4592"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4592"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4592"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4592"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4592"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4592"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4592"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4592"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4592"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4592"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4592"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4592"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4592"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4592"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4592"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4592"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4592"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4592"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4592"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4592"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4592"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4592"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4592"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4592"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4592"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4592"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4592"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4592"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4592"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4592"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4592"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4592"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4592"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4592"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4592"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4592"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4592"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4592"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4592"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4592"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4592"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4592"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4592"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4592"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4592"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4592"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4592"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4592"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4592"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4592"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4592"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4592"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4592"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4592"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4592"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4592"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4592"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4592"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4592"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4592"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4592"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4592"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4592"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4592"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4592"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4592"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4592"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4592"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4592"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4592"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4592"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4592"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4592"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4592"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4592"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4592"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4592"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4592"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4592"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4592"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4592"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4592"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4592"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4592"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4592"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4592"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4592"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4592"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4592"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4592"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4592"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4592"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4592"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4592"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4592"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4592"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4592"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4592"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4592"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4592"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4592"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4592"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4597" hidden="1" customWidth="1"/>
    <col min="2" max="2" width="17" style="2128" hidden="1" customWidth="1"/>
    <col min="3" max="3" width="3.7109375" style="2130" customWidth="1"/>
    <col min="4" max="4" width="1.85546875" style="2130" hidden="1" customWidth="1"/>
    <col min="5" max="6" width="7.7109375" style="2130" customWidth="1"/>
    <col min="7" max="7" width="29.7109375" style="2130" customWidth="1"/>
    <col min="8" max="8" width="3.7109375" style="2130" customWidth="1"/>
    <col min="9" max="9" width="5.42578125" style="2130" customWidth="1"/>
    <col min="10" max="10" width="24.5703125" style="2130" customWidth="1"/>
    <col min="11" max="11" width="24.42578125" style="2130" customWidth="1"/>
    <col min="12" max="12" width="3.7109375" style="2130" customWidth="1"/>
    <col min="13" max="13" width="6.28515625" style="2130" customWidth="1"/>
    <col min="14" max="14" width="25.85546875" style="2130" customWidth="1"/>
    <col min="15" max="18" width="18.7109375" style="2130" customWidth="1"/>
    <col min="19" max="19" width="93.42578125" style="2130" customWidth="1"/>
    <col min="20" max="20" width="10.5703125" style="2130" customWidth="1"/>
    <col min="21" max="21" width="10.5703125" style="4598" customWidth="1"/>
    <col min="22" max="22" width="11.7109375" style="4598" customWidth="1"/>
    <col min="23" max="23" width="10.5703125" style="4599" customWidth="1"/>
    <col min="24" max="27" width="10.5703125" style="2128" customWidth="1"/>
    <col min="28" max="83" width="9.140625" style="2130"/>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5298" t="str">
        <f>FHD20_NAME_FORM</f>
        <v>Форма 11. Информация о расходах на капитальный и текущий ремонт основных средств</v>
      </c>
      <c r="F5" s="5298"/>
      <c r="G5" s="5298"/>
      <c r="H5" s="5298"/>
      <c r="I5" s="5298"/>
      <c r="J5" s="5298"/>
      <c r="K5" s="5298"/>
      <c r="L5" s="533"/>
      <c r="M5" s="533"/>
    </row>
    <row r="6" spans="1:83" s="1822" customFormat="1" ht="16.5" customHeight="1">
      <c r="A6" s="530"/>
      <c r="B6" s="675"/>
      <c r="C6" s="434"/>
      <c r="D6" s="964"/>
      <c r="E6" s="5245" t="str">
        <f>IF(org=0,"Не определено",org)</f>
        <v>ПАО "ТГК-1" (филиал "Кольский")</v>
      </c>
      <c r="F6" s="5245"/>
      <c r="G6" s="5245"/>
      <c r="H6" s="5245"/>
      <c r="I6" s="5245"/>
      <c r="J6" s="5245"/>
      <c r="K6" s="5245"/>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8"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5151" t="s">
        <v>417</v>
      </c>
      <c r="F9" s="5156"/>
      <c r="G9" s="5156"/>
      <c r="H9" s="5156"/>
      <c r="I9" s="5156"/>
      <c r="J9" s="5156"/>
      <c r="K9" s="5156"/>
      <c r="L9" s="5156"/>
      <c r="M9" s="5156"/>
      <c r="N9" s="5156"/>
      <c r="O9" s="5156"/>
      <c r="P9" s="5156"/>
      <c r="Q9" s="5156"/>
      <c r="R9" s="5150"/>
      <c r="S9" s="5180" t="s">
        <v>418</v>
      </c>
      <c r="T9" s="260"/>
    </row>
    <row r="10" spans="1:83" ht="33.75" customHeight="1">
      <c r="D10" s="475" t="s">
        <v>83</v>
      </c>
      <c r="E10" s="5180" t="s">
        <v>83</v>
      </c>
      <c r="F10" s="5180"/>
      <c r="G10" s="446" t="s">
        <v>419</v>
      </c>
      <c r="H10" s="5180" t="s">
        <v>83</v>
      </c>
      <c r="I10" s="5180"/>
      <c r="J10" s="446" t="s">
        <v>716</v>
      </c>
      <c r="K10" s="446" t="s">
        <v>717</v>
      </c>
      <c r="L10" s="5180" t="s">
        <v>83</v>
      </c>
      <c r="M10" s="5180"/>
      <c r="N10" s="446" t="s">
        <v>718</v>
      </c>
      <c r="O10" s="446" t="s">
        <v>719</v>
      </c>
      <c r="P10" s="446" t="s">
        <v>720</v>
      </c>
      <c r="Q10" s="446" t="s">
        <v>721</v>
      </c>
      <c r="R10" s="446" t="s">
        <v>722</v>
      </c>
      <c r="S10" s="5180"/>
      <c r="T10" s="260"/>
    </row>
    <row r="11" spans="1:83" s="1819" customFormat="1" ht="15" hidden="1" customHeight="1">
      <c r="A11" s="958"/>
      <c r="D11" s="931" t="s">
        <v>114</v>
      </c>
      <c r="E11" s="931"/>
      <c r="F11" s="931" t="s">
        <v>98</v>
      </c>
      <c r="G11" s="931" t="s">
        <v>85</v>
      </c>
      <c r="H11" s="931"/>
      <c r="I11" s="931" t="s">
        <v>86</v>
      </c>
      <c r="J11" s="931" t="s">
        <v>115</v>
      </c>
      <c r="K11" s="931" t="s">
        <v>87</v>
      </c>
      <c r="L11" s="931"/>
      <c r="M11" s="931" t="s">
        <v>88</v>
      </c>
      <c r="N11" s="931" t="s">
        <v>116</v>
      </c>
      <c r="O11" s="931" t="s">
        <v>152</v>
      </c>
      <c r="P11" s="931" t="s">
        <v>153</v>
      </c>
      <c r="Q11" s="931" t="s">
        <v>154</v>
      </c>
      <c r="R11" s="931" t="s">
        <v>155</v>
      </c>
      <c r="S11" s="931" t="s">
        <v>156</v>
      </c>
      <c r="U11" s="531"/>
      <c r="V11" s="531"/>
      <c r="W11" s="531"/>
    </row>
    <row r="12" spans="1:83" s="1824" customFormat="1" ht="0.75" customHeight="1">
      <c r="A12" s="535"/>
      <c r="B12" s="288"/>
      <c r="D12" s="472"/>
      <c r="E12" s="271"/>
      <c r="F12" s="271"/>
      <c r="Q12" s="536"/>
      <c r="R12" s="537"/>
      <c r="T12" s="538"/>
      <c r="U12" s="539"/>
      <c r="V12" s="539"/>
      <c r="W12" s="540"/>
      <c r="X12" s="288"/>
      <c r="Y12" s="288"/>
      <c r="Z12" s="288"/>
      <c r="AA12" s="288"/>
    </row>
    <row r="13" spans="1:83" s="1818" customFormat="1" ht="0.75" customHeight="1">
      <c r="A13" s="541"/>
      <c r="B13" s="490"/>
      <c r="D13" s="472" t="s">
        <v>495</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4" customFormat="1" ht="15" hidden="1" customHeight="1">
      <c r="A14" s="543" t="s">
        <v>121</v>
      </c>
      <c r="B14" s="544"/>
      <c r="C14" s="544"/>
      <c r="D14" s="5399" t="s">
        <v>114</v>
      </c>
      <c r="E14" s="5396" t="s">
        <v>110</v>
      </c>
      <c r="F14" s="5397"/>
      <c r="G14" s="5398"/>
      <c r="H14" s="5402">
        <f>IF(A14="","",INDEX(DIFFERENTIATION_UNMERGE_VD,MATCH(A14,DIFFERENTIATION_ID_DIFF,0)))</f>
        <v>0</v>
      </c>
      <c r="I14" s="5402"/>
      <c r="J14" s="5402"/>
      <c r="K14" s="5402"/>
      <c r="L14" s="5402"/>
      <c r="M14" s="5402"/>
      <c r="N14" s="5402"/>
      <c r="O14" s="5402"/>
      <c r="P14" s="5402"/>
      <c r="Q14" s="5402"/>
      <c r="R14" s="5402"/>
      <c r="S14" s="637"/>
      <c r="T14" s="634"/>
      <c r="U14" s="545"/>
      <c r="V14" s="545"/>
      <c r="W14" s="546"/>
      <c r="X14" s="546"/>
      <c r="Y14" s="546"/>
      <c r="Z14" s="546"/>
      <c r="AA14" s="547"/>
      <c r="AB14" s="548"/>
      <c r="AC14" s="5394"/>
      <c r="AD14" s="549"/>
      <c r="AE14" s="550" t="s">
        <v>24</v>
      </c>
      <c r="AF14" s="550"/>
      <c r="AG14" s="551" t="s">
        <v>723</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4" customFormat="1" ht="15" hidden="1" customHeight="1">
      <c r="A15" s="543"/>
      <c r="B15" s="544"/>
      <c r="C15" s="544"/>
      <c r="D15" s="5400"/>
      <c r="E15" s="5396" t="s">
        <v>678</v>
      </c>
      <c r="F15" s="5397"/>
      <c r="G15" s="5398"/>
      <c r="H15" s="5402" t="str">
        <f>IF(A14="","",INDEX(DIFFERENTIATION_UNMERGE_AREA,MATCH(A14,DIFFERENTIATION_ID_DIFF,0)))</f>
        <v/>
      </c>
      <c r="I15" s="5402"/>
      <c r="J15" s="5402"/>
      <c r="K15" s="5402"/>
      <c r="L15" s="5402"/>
      <c r="M15" s="5402"/>
      <c r="N15" s="5402"/>
      <c r="O15" s="5402"/>
      <c r="P15" s="5402"/>
      <c r="Q15" s="5402"/>
      <c r="R15" s="5402"/>
      <c r="S15" s="637"/>
      <c r="T15" s="634"/>
      <c r="U15" s="545"/>
      <c r="V15" s="545"/>
      <c r="W15" s="546"/>
      <c r="X15" s="546"/>
      <c r="Y15" s="546"/>
      <c r="Z15" s="546"/>
      <c r="AA15" s="547"/>
      <c r="AB15" s="548"/>
      <c r="AC15" s="5394"/>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4" customFormat="1" ht="15" hidden="1" customHeight="1">
      <c r="A16" s="543"/>
      <c r="B16" s="544"/>
      <c r="C16" s="544"/>
      <c r="D16" s="5400"/>
      <c r="E16" s="5396" t="s">
        <v>679</v>
      </c>
      <c r="F16" s="5397"/>
      <c r="G16" s="5398"/>
      <c r="H16" s="5402" t="str">
        <f>IF(A14="","",INDEX(DIFFERENTIATION_UNMERGE_SYSTEM,MATCH(A14,DIFFERENTIATION_ID_DIFF,0)))</f>
        <v>без дифференциации</v>
      </c>
      <c r="I16" s="5402"/>
      <c r="J16" s="5402"/>
      <c r="K16" s="5402"/>
      <c r="L16" s="5402"/>
      <c r="M16" s="5402"/>
      <c r="N16" s="5402"/>
      <c r="O16" s="5402"/>
      <c r="P16" s="5402"/>
      <c r="Q16" s="5402"/>
      <c r="R16" s="5402"/>
      <c r="S16" s="637"/>
      <c r="T16" s="634"/>
      <c r="U16" s="545"/>
      <c r="V16" s="545"/>
      <c r="W16" s="546"/>
      <c r="X16" s="546"/>
      <c r="Y16" s="546"/>
      <c r="Z16" s="546"/>
      <c r="AA16" s="547"/>
      <c r="AB16" s="548"/>
      <c r="AC16" s="5394"/>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4" customFormat="1" ht="22.5" hidden="1" customHeight="1">
      <c r="A17" s="553"/>
      <c r="B17" s="350"/>
      <c r="C17" s="345"/>
      <c r="D17" s="5400"/>
      <c r="E17" s="5395" t="s">
        <v>724</v>
      </c>
      <c r="F17" s="5395"/>
      <c r="G17" s="5395"/>
      <c r="H17" s="5395"/>
      <c r="I17" s="5395"/>
      <c r="J17" s="5395"/>
      <c r="K17" s="5395"/>
      <c r="L17" s="5395"/>
      <c r="M17" s="5395"/>
      <c r="N17" s="5395"/>
      <c r="O17" s="5395"/>
      <c r="P17" s="5395"/>
      <c r="Q17" s="482">
        <f>SUMIF(T18:T19,"i",Q18:Q19)</f>
        <v>0</v>
      </c>
      <c r="R17" s="923"/>
      <c r="S17" s="809" t="s">
        <v>725</v>
      </c>
      <c r="T17" s="635" t="s">
        <v>726</v>
      </c>
      <c r="U17" s="5313">
        <v>1</v>
      </c>
      <c r="V17" s="5313" t="str">
        <f>INDEX(B_FHD_FLAG_INDEX_1,1,MATCH(A14,B_FHD_FLAG_DIFFERENTIATION,0))</f>
        <v>отсутствует</v>
      </c>
      <c r="W17" s="350"/>
      <c r="X17" s="350"/>
      <c r="Y17" s="350"/>
      <c r="Z17" s="350"/>
      <c r="AA17" s="436"/>
      <c r="AB17" s="350"/>
      <c r="AC17" s="5394"/>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4" customFormat="1" ht="11.25" hidden="1" customHeight="1">
      <c r="A18" s="554"/>
      <c r="B18" s="436"/>
      <c r="C18" s="436"/>
      <c r="D18" s="5400"/>
      <c r="E18" s="555"/>
      <c r="F18" s="555">
        <v>0</v>
      </c>
      <c r="G18" s="555"/>
      <c r="H18" s="555"/>
      <c r="I18" s="555"/>
      <c r="J18" s="555"/>
      <c r="K18" s="555"/>
      <c r="L18" s="555"/>
      <c r="M18" s="555"/>
      <c r="N18" s="555"/>
      <c r="O18" s="555"/>
      <c r="P18" s="555"/>
      <c r="Q18" s="555"/>
      <c r="R18" s="555"/>
      <c r="S18" s="556"/>
      <c r="T18" s="636"/>
      <c r="U18" s="5313"/>
      <c r="V18" s="5313"/>
      <c r="W18" s="436"/>
      <c r="X18" s="436"/>
      <c r="Y18" s="436"/>
      <c r="Z18" s="436"/>
      <c r="AA18" s="436"/>
      <c r="AB18" s="350"/>
      <c r="AC18" s="5394"/>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4" customFormat="1" ht="11.25" hidden="1" customHeight="1">
      <c r="A19" s="553"/>
      <c r="B19" s="350"/>
      <c r="C19" s="345"/>
      <c r="D19" s="5400"/>
      <c r="E19" s="569" t="s">
        <v>24</v>
      </c>
      <c r="F19" s="570" t="s">
        <v>24</v>
      </c>
      <c r="G19" s="570" t="s">
        <v>24</v>
      </c>
      <c r="H19" s="571" t="s">
        <v>24</v>
      </c>
      <c r="I19" s="571"/>
      <c r="J19" s="571"/>
      <c r="K19" s="571"/>
      <c r="L19" s="571"/>
      <c r="M19" s="571"/>
      <c r="N19" s="571"/>
      <c r="O19" s="571"/>
      <c r="P19" s="571"/>
      <c r="Q19" s="571"/>
      <c r="R19" s="572"/>
      <c r="S19" s="926"/>
      <c r="T19" s="636"/>
      <c r="U19" s="5313"/>
      <c r="V19" s="5313"/>
      <c r="W19" s="350"/>
      <c r="X19" s="350"/>
      <c r="Y19" s="350"/>
      <c r="Z19" s="350"/>
      <c r="AA19" s="436"/>
      <c r="AB19" s="350"/>
      <c r="AC19" s="5394"/>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4" customFormat="1" ht="22.5" hidden="1" customHeight="1">
      <c r="A20" s="553"/>
      <c r="B20" s="350"/>
      <c r="C20" s="345"/>
      <c r="D20" s="5400"/>
      <c r="E20" s="5395" t="s">
        <v>727</v>
      </c>
      <c r="F20" s="5395"/>
      <c r="G20" s="5395"/>
      <c r="H20" s="5395"/>
      <c r="I20" s="5395"/>
      <c r="J20" s="5395"/>
      <c r="K20" s="5395"/>
      <c r="L20" s="5395"/>
      <c r="M20" s="5395"/>
      <c r="N20" s="5395"/>
      <c r="O20" s="5395"/>
      <c r="P20" s="5395"/>
      <c r="Q20" s="482">
        <f>SUMIF(T21:T22,"i",Q21:Q22)</f>
        <v>0</v>
      </c>
      <c r="R20" s="923"/>
      <c r="S20" s="627" t="s">
        <v>728</v>
      </c>
      <c r="T20" s="635" t="s">
        <v>726</v>
      </c>
      <c r="U20" s="5313">
        <v>2</v>
      </c>
      <c r="V20" s="5313"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4" customFormat="1" ht="11.25" hidden="1" customHeight="1">
      <c r="A21" s="626"/>
      <c r="B21" s="436"/>
      <c r="C21" s="436"/>
      <c r="D21" s="5400"/>
      <c r="E21" s="555"/>
      <c r="F21" s="555">
        <v>0</v>
      </c>
      <c r="G21" s="555"/>
      <c r="H21" s="555"/>
      <c r="I21" s="555"/>
      <c r="J21" s="555"/>
      <c r="K21" s="555"/>
      <c r="L21" s="555"/>
      <c r="M21" s="555"/>
      <c r="N21" s="555"/>
      <c r="O21" s="555"/>
      <c r="P21" s="555"/>
      <c r="Q21" s="555"/>
      <c r="R21" s="555"/>
      <c r="S21" s="556"/>
      <c r="T21" s="636"/>
      <c r="U21" s="5313"/>
      <c r="V21" s="5313"/>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4" customFormat="1" ht="11.25" hidden="1" customHeight="1">
      <c r="A22" s="553"/>
      <c r="B22" s="350"/>
      <c r="C22" s="345"/>
      <c r="D22" s="5401"/>
      <c r="E22" s="569" t="s">
        <v>24</v>
      </c>
      <c r="F22" s="570" t="s">
        <v>24</v>
      </c>
      <c r="G22" s="570" t="s">
        <v>24</v>
      </c>
      <c r="H22" s="571" t="s">
        <v>24</v>
      </c>
      <c r="I22" s="571"/>
      <c r="J22" s="571"/>
      <c r="K22" s="571"/>
      <c r="L22" s="571"/>
      <c r="M22" s="571"/>
      <c r="N22" s="571"/>
      <c r="O22" s="571"/>
      <c r="P22" s="571"/>
      <c r="Q22" s="571"/>
      <c r="R22" s="572"/>
      <c r="S22" s="926"/>
      <c r="T22" s="636"/>
      <c r="U22" s="5313"/>
      <c r="V22" s="5313"/>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5403"/>
      <c r="F27" s="5403"/>
      <c r="G27" s="5403"/>
      <c r="H27" s="5403"/>
      <c r="I27" s="5403"/>
      <c r="J27" s="5403"/>
      <c r="K27" s="5403"/>
      <c r="L27" s="5403"/>
      <c r="M27" s="5403"/>
      <c r="N27" s="5403"/>
      <c r="O27" s="5403"/>
      <c r="P27" s="5403"/>
      <c r="Q27" s="5403"/>
      <c r="R27" s="5403"/>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4590" hidden="1" customWidth="1"/>
    <col min="2" max="2" width="16.85546875" style="1832" hidden="1" customWidth="1"/>
    <col min="3" max="3" width="5.5703125" style="1834" hidden="1" customWidth="1"/>
    <col min="4" max="4" width="3.7109375" style="4596" customWidth="1"/>
    <col min="5" max="5" width="7.7109375" style="2115" customWidth="1"/>
    <col min="6" max="6" width="56.140625" style="2115" customWidth="1"/>
    <col min="7" max="7" width="10.42578125" style="2115" customWidth="1"/>
    <col min="8" max="8" width="40.7109375" style="2115" hidden="1" customWidth="1"/>
    <col min="9" max="9" width="40.7109375" style="2115" customWidth="1"/>
    <col min="10" max="10" width="102.85546875" style="2115"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4591"/>
    <col min="22" max="26" width="9.140625" style="1832"/>
    <col min="27" max="31" width="9.140625" style="2114"/>
  </cols>
  <sheetData>
    <row r="1" spans="1:31" s="1832" customFormat="1" ht="11.25" hidden="1" customHeight="1">
      <c r="A1" s="894"/>
      <c r="C1" s="1547"/>
      <c r="D1" s="461"/>
      <c r="H1" s="1059">
        <v>4</v>
      </c>
      <c r="I1" s="1059">
        <v>4</v>
      </c>
      <c r="L1" s="1547"/>
      <c r="M1" s="1547"/>
      <c r="R1" s="1547"/>
    </row>
    <row r="2" spans="1:31" s="1832" customFormat="1" ht="22.5" hidden="1" customHeight="1">
      <c r="A2" s="894"/>
      <c r="C2" s="1547"/>
      <c r="D2" s="462"/>
      <c r="E2" s="1548"/>
      <c r="F2" s="464"/>
      <c r="G2" s="1550" t="s">
        <v>666</v>
      </c>
      <c r="H2" s="465"/>
      <c r="I2" s="465"/>
      <c r="J2" s="466" t="s">
        <v>729</v>
      </c>
      <c r="K2" s="467"/>
      <c r="L2" s="1547"/>
      <c r="M2" s="1547"/>
      <c r="R2" s="1547"/>
      <c r="U2" s="468"/>
      <c r="AA2" s="1543"/>
      <c r="AB2" s="1543"/>
      <c r="AC2" s="1543"/>
      <c r="AD2" s="1543"/>
      <c r="AE2" s="1543"/>
    </row>
    <row r="3" spans="1:31" ht="11.25" hidden="1" customHeight="1"/>
    <row r="4" spans="1:31" s="2114"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5258" t="s">
        <v>730</v>
      </c>
      <c r="F6" s="5258"/>
      <c r="G6" s="5258"/>
      <c r="H6" s="5258"/>
      <c r="I6" s="5258"/>
      <c r="J6" s="480"/>
    </row>
    <row r="7" spans="1:31" ht="24" customHeight="1">
      <c r="E7" s="5245" t="str">
        <f>IF(org=0,"Не определено",org)</f>
        <v>ПАО "ТГК-1" (филиал "Кольский")</v>
      </c>
      <c r="F7" s="5245"/>
      <c r="G7" s="5245"/>
      <c r="H7" s="5245"/>
      <c r="I7" s="5245"/>
    </row>
    <row r="8" spans="1:31" ht="11.25" customHeight="1">
      <c r="E8" s="1036"/>
      <c r="F8" s="1036"/>
      <c r="G8" s="1036"/>
      <c r="H8" s="1036"/>
      <c r="I8" s="1036"/>
    </row>
    <row r="9" spans="1:31" s="1834" customFormat="1" ht="0.75" customHeight="1">
      <c r="A9" s="1066"/>
      <c r="D9" s="1552"/>
      <c r="H9" s="801"/>
      <c r="I9" s="801" t="s">
        <v>121</v>
      </c>
    </row>
    <row r="10" spans="1:31" ht="11.25" customHeight="1">
      <c r="E10" s="629"/>
      <c r="F10" s="5388" t="s">
        <v>110</v>
      </c>
      <c r="G10" s="5389"/>
      <c r="H10" s="1469" t="str">
        <f>IF(H9="","",INDEX(DIFFERENTIATION_UNMERGE_VD,MATCH(H9,DIFFERENTIATION_ID_DIFF,0)))</f>
        <v/>
      </c>
      <c r="I10" s="1469">
        <f>IF(I9="","",INDEX(DIFFERENTIATION_UNMERGE_VD,MATCH(I9,DIFFERENTIATION_ID_DIFF,0)))</f>
        <v>0</v>
      </c>
      <c r="J10" s="5180"/>
    </row>
    <row r="11" spans="1:31" ht="11.25" customHeight="1">
      <c r="E11" s="629"/>
      <c r="F11" s="5388" t="s">
        <v>678</v>
      </c>
      <c r="G11" s="5389"/>
      <c r="H11" s="1469" t="str">
        <f>IF(H9="","",INDEX(DIFFERENTIATION_UNMERGE_AREA,MATCH(H9,DIFFERENTIATION_ID_DIFF,0)))</f>
        <v/>
      </c>
      <c r="I11" s="1469" t="str">
        <f>IF(I9="","",INDEX(DIFFERENTIATION_UNMERGE_AREA,MATCH(I9,DIFFERENTIATION_ID_DIFF,0)))</f>
        <v/>
      </c>
      <c r="J11" s="5180"/>
    </row>
    <row r="12" spans="1:31" ht="11.25" hidden="1" customHeight="1">
      <c r="E12" s="1572"/>
      <c r="F12" s="5404" t="s">
        <v>679</v>
      </c>
      <c r="G12" s="5405"/>
      <c r="H12" s="1573" t="str">
        <f>IF(H9="","",INDEX(DIFFERENTIATION_UNMERGE_SYSTEM,MATCH(H9,DIFFERENTIATION_ID_DIFF,0)))</f>
        <v/>
      </c>
      <c r="I12" s="1573" t="str">
        <f>IF(I9="","",INDEX(DIFFERENTIATION_UNMERGE_SYSTEM,MATCH(I9,DIFFERENTIATION_ID_DIFF,0)))</f>
        <v>без дифференциации</v>
      </c>
      <c r="J12" s="5180"/>
    </row>
    <row r="13" spans="1:31" ht="11.25" customHeight="1">
      <c r="E13" s="5390" t="s">
        <v>417</v>
      </c>
      <c r="F13" s="5391"/>
      <c r="G13" s="5391"/>
      <c r="H13" s="1468"/>
      <c r="I13" s="1468"/>
      <c r="J13" s="5180"/>
    </row>
    <row r="14" spans="1:31" ht="22.5" customHeight="1">
      <c r="E14" s="1550" t="s">
        <v>83</v>
      </c>
      <c r="F14" s="1545" t="s">
        <v>419</v>
      </c>
      <c r="G14" s="1545" t="s">
        <v>680</v>
      </c>
      <c r="H14" s="1545" t="s">
        <v>420</v>
      </c>
      <c r="I14" s="1545" t="s">
        <v>420</v>
      </c>
      <c r="J14" s="5180"/>
    </row>
    <row r="15" spans="1:31" ht="18.75" customHeight="1">
      <c r="D15" s="1549"/>
      <c r="E15" s="1541" t="s">
        <v>114</v>
      </c>
      <c r="F15" s="625" t="s">
        <v>731</v>
      </c>
      <c r="G15" s="1556" t="s">
        <v>666</v>
      </c>
      <c r="H15" s="481"/>
      <c r="I15" s="481"/>
      <c r="J15" s="207" t="s">
        <v>732</v>
      </c>
      <c r="K15" s="467" t="s">
        <v>733</v>
      </c>
    </row>
    <row r="16" spans="1:31" ht="33.75" customHeight="1">
      <c r="D16" s="1549"/>
      <c r="E16" s="1541" t="s">
        <v>98</v>
      </c>
      <c r="F16" s="625" t="s">
        <v>734</v>
      </c>
      <c r="G16" s="1556" t="s">
        <v>666</v>
      </c>
      <c r="H16" s="482">
        <f>SUM(H17,H20:H32)</f>
        <v>0</v>
      </c>
      <c r="I16" s="482">
        <f>SUM(I17,I20:I32)</f>
        <v>0</v>
      </c>
      <c r="J16" s="207" t="s">
        <v>735</v>
      </c>
      <c r="K16" s="467" t="s">
        <v>733</v>
      </c>
    </row>
    <row r="17" spans="1:31" ht="18.75" customHeight="1">
      <c r="D17" s="1549"/>
      <c r="E17" s="1574" t="s">
        <v>736</v>
      </c>
      <c r="F17" s="862" t="s">
        <v>737</v>
      </c>
      <c r="G17" s="1553" t="s">
        <v>666</v>
      </c>
      <c r="H17" s="481"/>
      <c r="I17" s="481"/>
      <c r="J17" s="207" t="s">
        <v>738</v>
      </c>
      <c r="K17" s="467"/>
    </row>
    <row r="18" spans="1:31" ht="22.5" customHeight="1">
      <c r="D18" s="1549"/>
      <c r="E18" s="1574" t="s">
        <v>739</v>
      </c>
      <c r="F18" s="1560" t="s">
        <v>740</v>
      </c>
      <c r="G18" s="1553" t="s">
        <v>666</v>
      </c>
      <c r="H18" s="481"/>
      <c r="I18" s="481"/>
      <c r="J18" s="207" t="s">
        <v>741</v>
      </c>
      <c r="K18" s="467"/>
    </row>
    <row r="19" spans="1:31" ht="33.75" customHeight="1">
      <c r="D19" s="1549"/>
      <c r="E19" s="1574" t="s">
        <v>742</v>
      </c>
      <c r="F19" s="1560" t="s">
        <v>743</v>
      </c>
      <c r="G19" s="1553" t="s">
        <v>666</v>
      </c>
      <c r="H19" s="481"/>
      <c r="I19" s="481"/>
      <c r="J19" s="207"/>
      <c r="K19" s="467"/>
    </row>
    <row r="20" spans="1:31" ht="18.75" customHeight="1">
      <c r="D20" s="1549"/>
      <c r="E20" s="1574" t="s">
        <v>424</v>
      </c>
      <c r="F20" s="862" t="s">
        <v>744</v>
      </c>
      <c r="G20" s="1553" t="s">
        <v>666</v>
      </c>
      <c r="H20" s="481"/>
      <c r="I20" s="481"/>
      <c r="J20" s="207" t="s">
        <v>745</v>
      </c>
      <c r="K20" s="467"/>
    </row>
    <row r="21" spans="1:31" ht="18.75" customHeight="1">
      <c r="D21" s="1549"/>
      <c r="E21" s="1574" t="s">
        <v>746</v>
      </c>
      <c r="F21" s="1560" t="s">
        <v>747</v>
      </c>
      <c r="G21" s="1553" t="s">
        <v>666</v>
      </c>
      <c r="H21" s="481"/>
      <c r="I21" s="481"/>
      <c r="J21" s="207"/>
      <c r="K21" s="467"/>
    </row>
    <row r="22" spans="1:31" ht="18.75" customHeight="1">
      <c r="D22" s="1549"/>
      <c r="E22" s="1574" t="s">
        <v>748</v>
      </c>
      <c r="F22" s="1560" t="s">
        <v>749</v>
      </c>
      <c r="G22" s="1553" t="s">
        <v>666</v>
      </c>
      <c r="H22" s="481"/>
      <c r="I22" s="481"/>
      <c r="J22" s="207"/>
      <c r="K22" s="467"/>
    </row>
    <row r="23" spans="1:31" ht="22.5" customHeight="1">
      <c r="D23" s="1549"/>
      <c r="E23" s="1574" t="s">
        <v>427</v>
      </c>
      <c r="F23" s="862" t="s">
        <v>750</v>
      </c>
      <c r="G23" s="1553" t="s">
        <v>666</v>
      </c>
      <c r="H23" s="481"/>
      <c r="I23" s="481"/>
      <c r="J23" s="207" t="s">
        <v>751</v>
      </c>
      <c r="K23" s="467"/>
    </row>
    <row r="24" spans="1:31" ht="18.75" customHeight="1">
      <c r="D24" s="1549"/>
      <c r="E24" s="1574" t="s">
        <v>752</v>
      </c>
      <c r="F24" s="1560" t="s">
        <v>753</v>
      </c>
      <c r="G24" s="1553" t="s">
        <v>666</v>
      </c>
      <c r="H24" s="481"/>
      <c r="I24" s="481"/>
      <c r="J24" s="207"/>
      <c r="K24" s="467"/>
    </row>
    <row r="25" spans="1:31" ht="33.75" customHeight="1">
      <c r="D25" s="1549"/>
      <c r="E25" s="1574" t="s">
        <v>754</v>
      </c>
      <c r="F25" s="1560" t="s">
        <v>755</v>
      </c>
      <c r="G25" s="1553" t="s">
        <v>666</v>
      </c>
      <c r="H25" s="481"/>
      <c r="I25" s="481"/>
      <c r="J25" s="207"/>
      <c r="K25" s="467"/>
    </row>
    <row r="26" spans="1:31" ht="22.5" customHeight="1">
      <c r="D26" s="1549"/>
      <c r="E26" s="1574" t="s">
        <v>756</v>
      </c>
      <c r="F26" s="862" t="s">
        <v>757</v>
      </c>
      <c r="G26" s="1553" t="s">
        <v>666</v>
      </c>
      <c r="H26" s="481"/>
      <c r="I26" s="481"/>
      <c r="J26" s="207" t="s">
        <v>758</v>
      </c>
      <c r="K26" s="467"/>
    </row>
    <row r="27" spans="1:31" ht="18.75" customHeight="1">
      <c r="D27" s="1549"/>
      <c r="E27" s="1585" t="s">
        <v>759</v>
      </c>
      <c r="F27" s="1560" t="s">
        <v>760</v>
      </c>
      <c r="G27" s="1564" t="s">
        <v>666</v>
      </c>
      <c r="H27" s="1586"/>
      <c r="I27" s="1586"/>
      <c r="J27" s="207"/>
      <c r="K27" s="467"/>
    </row>
    <row r="28" spans="1:31" ht="18.75" customHeight="1">
      <c r="D28" s="1549"/>
      <c r="E28" s="1585" t="s">
        <v>761</v>
      </c>
      <c r="F28" s="1560" t="s">
        <v>762</v>
      </c>
      <c r="G28" s="1564" t="s">
        <v>666</v>
      </c>
      <c r="H28" s="1586"/>
      <c r="I28" s="1586"/>
      <c r="J28" s="207"/>
      <c r="K28" s="467"/>
    </row>
    <row r="29" spans="1:31" ht="18.75" customHeight="1">
      <c r="D29" s="1549"/>
      <c r="E29" s="1585" t="s">
        <v>763</v>
      </c>
      <c r="F29" s="862" t="s">
        <v>764</v>
      </c>
      <c r="G29" s="1564" t="s">
        <v>666</v>
      </c>
      <c r="H29" s="1586"/>
      <c r="I29" s="1586"/>
      <c r="J29" s="207"/>
      <c r="K29" s="467"/>
    </row>
    <row r="30" spans="1:31" ht="18.75" customHeight="1">
      <c r="D30" s="1549"/>
      <c r="E30" s="1585" t="s">
        <v>765</v>
      </c>
      <c r="F30" s="862" t="s">
        <v>766</v>
      </c>
      <c r="G30" s="1564" t="s">
        <v>666</v>
      </c>
      <c r="H30" s="1586"/>
      <c r="I30" s="1586"/>
      <c r="J30" s="207"/>
      <c r="K30" s="467"/>
    </row>
    <row r="31" spans="1:31" ht="18.75" customHeight="1">
      <c r="D31" s="1549"/>
      <c r="E31" s="1585" t="s">
        <v>767</v>
      </c>
      <c r="F31" s="862" t="s">
        <v>768</v>
      </c>
      <c r="G31" s="1564" t="s">
        <v>666</v>
      </c>
      <c r="H31" s="1586"/>
      <c r="I31" s="1586"/>
      <c r="J31" s="207"/>
      <c r="K31" s="467"/>
    </row>
    <row r="32" spans="1:31" s="1832" customFormat="1" ht="22.5" customHeight="1">
      <c r="A32" s="894"/>
      <c r="C32" s="1547"/>
      <c r="D32" s="1549"/>
      <c r="E32" s="1585" t="s">
        <v>769</v>
      </c>
      <c r="F32" s="862" t="s">
        <v>770</v>
      </c>
      <c r="G32" s="1554" t="s">
        <v>666</v>
      </c>
      <c r="H32" s="503">
        <f>SUM(H33:H34)</f>
        <v>0</v>
      </c>
      <c r="I32" s="503">
        <f>SUM(I33:I34)</f>
        <v>0</v>
      </c>
      <c r="J32" s="207" t="s">
        <v>771</v>
      </c>
      <c r="K32" s="467"/>
      <c r="L32" s="1547"/>
      <c r="M32" s="1547"/>
      <c r="R32" s="1547"/>
      <c r="U32" s="468"/>
      <c r="AA32" s="1543"/>
      <c r="AB32" s="1543"/>
      <c r="AC32" s="1543"/>
      <c r="AD32" s="1543"/>
      <c r="AE32" s="1543"/>
    </row>
    <row r="33" spans="1:31" s="1834" customFormat="1" ht="0.75" customHeight="1">
      <c r="A33" s="1066"/>
      <c r="D33" s="472"/>
      <c r="E33" s="718" t="str">
        <f>E32&amp;".0"</f>
        <v>2.8.0</v>
      </c>
      <c r="F33" s="898"/>
      <c r="G33" s="475"/>
      <c r="H33" s="899"/>
      <c r="I33" s="899"/>
      <c r="J33" s="900"/>
    </row>
    <row r="34" spans="1:31" s="1832" customFormat="1" ht="18.75" customHeight="1">
      <c r="A34" s="894"/>
      <c r="C34" s="1547"/>
      <c r="D34" s="1544"/>
      <c r="E34" s="494"/>
      <c r="F34" s="1576" t="s">
        <v>691</v>
      </c>
      <c r="G34" s="496"/>
      <c r="H34" s="497"/>
      <c r="I34" s="497"/>
      <c r="J34" s="219" t="s">
        <v>772</v>
      </c>
      <c r="K34" s="467"/>
      <c r="L34" s="1547"/>
      <c r="M34" s="1547"/>
      <c r="R34" s="1547"/>
      <c r="U34" s="468"/>
      <c r="AA34" s="1543"/>
      <c r="AB34" s="1543"/>
      <c r="AC34" s="1543"/>
      <c r="AD34" s="1543"/>
      <c r="AE34" s="1543"/>
    </row>
    <row r="35" spans="1:31" ht="56.25" customHeight="1">
      <c r="D35" s="1549"/>
      <c r="E35" s="1585" t="s">
        <v>773</v>
      </c>
      <c r="F35" s="862" t="s">
        <v>774</v>
      </c>
      <c r="G35" s="1564" t="s">
        <v>666</v>
      </c>
      <c r="H35" s="1586"/>
      <c r="I35" s="1586"/>
      <c r="J35" s="207" t="s">
        <v>775</v>
      </c>
      <c r="K35" s="467"/>
    </row>
    <row r="36" spans="1:31" s="1832" customFormat="1" ht="22.5" customHeight="1">
      <c r="A36" s="896" t="s">
        <v>692</v>
      </c>
      <c r="C36" s="1547"/>
      <c r="D36" s="1549"/>
      <c r="E36" s="1574" t="s">
        <v>85</v>
      </c>
      <c r="F36" s="625" t="s">
        <v>776</v>
      </c>
      <c r="G36" s="1553" t="s">
        <v>666</v>
      </c>
      <c r="H36" s="481"/>
      <c r="I36" s="481"/>
      <c r="J36" s="207" t="s">
        <v>777</v>
      </c>
      <c r="K36" s="467"/>
      <c r="L36" s="1547"/>
      <c r="M36" s="1547"/>
      <c r="R36" s="1547"/>
      <c r="U36" s="468"/>
      <c r="AA36" s="1543"/>
      <c r="AB36" s="1543"/>
      <c r="AC36" s="1543"/>
      <c r="AD36" s="1543"/>
      <c r="AE36" s="1543"/>
    </row>
    <row r="37" spans="1:31" s="1832" customFormat="1" ht="22.5" customHeight="1">
      <c r="A37" s="896"/>
      <c r="C37" s="1547"/>
      <c r="D37" s="1549"/>
      <c r="E37" s="1574" t="s">
        <v>443</v>
      </c>
      <c r="F37" s="862" t="s">
        <v>778</v>
      </c>
      <c r="G37" s="1564"/>
      <c r="H37" s="481"/>
      <c r="I37" s="481"/>
      <c r="J37" s="207"/>
      <c r="K37" s="467"/>
      <c r="L37" s="1547"/>
      <c r="M37" s="1547"/>
      <c r="R37" s="1547"/>
      <c r="U37" s="468"/>
      <c r="AA37" s="1543"/>
      <c r="AB37" s="1543"/>
      <c r="AC37" s="1543"/>
      <c r="AD37" s="1543"/>
      <c r="AE37" s="1543"/>
    </row>
    <row r="38" spans="1:31" s="1832" customFormat="1" ht="18.75" customHeight="1">
      <c r="A38" s="894"/>
      <c r="C38" s="1547"/>
      <c r="D38" s="499"/>
      <c r="E38" s="1574" t="s">
        <v>86</v>
      </c>
      <c r="F38" s="625" t="s">
        <v>779</v>
      </c>
      <c r="G38" s="1553" t="s">
        <v>666</v>
      </c>
      <c r="H38" s="481"/>
      <c r="I38" s="481"/>
      <c r="J38" s="207" t="s">
        <v>780</v>
      </c>
      <c r="K38" s="467"/>
      <c r="L38" s="1547"/>
      <c r="M38" s="1547"/>
      <c r="R38" s="1547"/>
      <c r="U38" s="468"/>
      <c r="AA38" s="1543"/>
      <c r="AB38" s="1543"/>
      <c r="AC38" s="1543"/>
      <c r="AD38" s="1543"/>
      <c r="AE38" s="1543"/>
    </row>
    <row r="39" spans="1:31" s="1832" customFormat="1" ht="22.5" customHeight="1">
      <c r="A39" s="894"/>
      <c r="C39" s="1547"/>
      <c r="D39" s="499"/>
      <c r="E39" s="1574" t="s">
        <v>781</v>
      </c>
      <c r="F39" s="862" t="s">
        <v>782</v>
      </c>
      <c r="G39" s="1564" t="s">
        <v>666</v>
      </c>
      <c r="H39" s="481"/>
      <c r="I39" s="481"/>
      <c r="J39" s="207" t="s">
        <v>783</v>
      </c>
      <c r="K39" s="467"/>
      <c r="L39" s="1547"/>
      <c r="M39" s="1547"/>
      <c r="R39" s="1547"/>
      <c r="U39" s="468"/>
      <c r="AA39" s="1543"/>
      <c r="AB39" s="1543"/>
      <c r="AC39" s="1543"/>
      <c r="AD39" s="1543"/>
      <c r="AE39" s="1543"/>
    </row>
    <row r="40" spans="1:31" s="1832" customFormat="1" ht="22.5" customHeight="1">
      <c r="A40" s="894"/>
      <c r="C40" s="1547"/>
      <c r="D40" s="1549"/>
      <c r="E40" s="1574" t="s">
        <v>784</v>
      </c>
      <c r="F40" s="1560" t="s">
        <v>785</v>
      </c>
      <c r="G40" s="1553" t="s">
        <v>666</v>
      </c>
      <c r="H40" s="481"/>
      <c r="I40" s="481"/>
      <c r="J40" s="207" t="s">
        <v>786</v>
      </c>
      <c r="K40" s="467"/>
      <c r="L40" s="1547"/>
      <c r="M40" s="1547"/>
      <c r="R40" s="1547"/>
      <c r="U40" s="468"/>
      <c r="AA40" s="1543"/>
      <c r="AB40" s="1543"/>
      <c r="AC40" s="1543"/>
      <c r="AD40" s="1543"/>
      <c r="AE40" s="1543"/>
    </row>
    <row r="41" spans="1:31" s="1832" customFormat="1" ht="22.5" customHeight="1">
      <c r="A41" s="894"/>
      <c r="C41" s="1547"/>
      <c r="D41" s="1549"/>
      <c r="E41" s="1574" t="s">
        <v>787</v>
      </c>
      <c r="F41" s="1560" t="s">
        <v>788</v>
      </c>
      <c r="G41" s="1553" t="s">
        <v>666</v>
      </c>
      <c r="H41" s="481"/>
      <c r="I41" s="481"/>
      <c r="J41" s="207" t="s">
        <v>789</v>
      </c>
      <c r="K41" s="467"/>
      <c r="L41" s="1547"/>
      <c r="M41" s="1547"/>
      <c r="R41" s="1547"/>
      <c r="U41" s="468"/>
      <c r="AA41" s="1543"/>
      <c r="AB41" s="1543"/>
      <c r="AC41" s="1543"/>
      <c r="AD41" s="1543"/>
      <c r="AE41" s="1543"/>
    </row>
    <row r="42" spans="1:31" s="1832" customFormat="1" ht="22.5" customHeight="1">
      <c r="A42" s="894"/>
      <c r="C42" s="1547"/>
      <c r="D42" s="1549"/>
      <c r="E42" s="1574" t="s">
        <v>790</v>
      </c>
      <c r="F42" s="1560" t="s">
        <v>791</v>
      </c>
      <c r="G42" s="1553" t="s">
        <v>666</v>
      </c>
      <c r="H42" s="481"/>
      <c r="I42" s="481"/>
      <c r="J42" s="207" t="s">
        <v>792</v>
      </c>
      <c r="K42" s="467"/>
      <c r="L42" s="1547"/>
      <c r="M42" s="1547"/>
      <c r="R42" s="1547"/>
      <c r="U42" s="468"/>
      <c r="AA42" s="1543"/>
      <c r="AB42" s="1543"/>
      <c r="AC42" s="1543"/>
      <c r="AD42" s="1543"/>
      <c r="AE42" s="1543"/>
    </row>
    <row r="43" spans="1:31" s="1832" customFormat="1" ht="33.75" customHeight="1">
      <c r="A43" s="894"/>
      <c r="C43" s="1547" t="s">
        <v>702</v>
      </c>
      <c r="D43" s="1549"/>
      <c r="E43" s="1574" t="s">
        <v>115</v>
      </c>
      <c r="F43" s="625" t="s">
        <v>793</v>
      </c>
      <c r="G43" s="1556" t="s">
        <v>794</v>
      </c>
      <c r="H43" s="334"/>
      <c r="I43" s="334"/>
      <c r="J43" s="207" t="s">
        <v>795</v>
      </c>
      <c r="K43" s="467"/>
      <c r="L43" s="1547"/>
      <c r="M43" s="1547"/>
      <c r="R43" s="1547"/>
      <c r="U43" s="468"/>
      <c r="AA43" s="1543"/>
      <c r="AB43" s="1543"/>
      <c r="AC43" s="1543"/>
      <c r="AD43" s="1543"/>
      <c r="AE43" s="1543"/>
    </row>
    <row r="44" spans="1:31" s="1832" customFormat="1" ht="22.5" customHeight="1">
      <c r="A44" s="894"/>
      <c r="C44" s="1547"/>
      <c r="D44" s="1549"/>
      <c r="E44" s="1574" t="s">
        <v>87</v>
      </c>
      <c r="F44" s="625" t="s">
        <v>796</v>
      </c>
      <c r="G44" s="1553" t="s">
        <v>797</v>
      </c>
      <c r="H44" s="469"/>
      <c r="I44" s="469"/>
      <c r="J44" s="207" t="s">
        <v>798</v>
      </c>
      <c r="K44" s="467"/>
      <c r="L44" s="1547"/>
      <c r="M44" s="1547"/>
      <c r="R44" s="1547"/>
      <c r="U44" s="468"/>
      <c r="AA44" s="1543"/>
      <c r="AB44" s="1543"/>
      <c r="AC44" s="1543"/>
      <c r="AD44" s="1543"/>
      <c r="AE44" s="1543"/>
    </row>
    <row r="45" spans="1:31" s="1832" customFormat="1" ht="22.5" customHeight="1">
      <c r="A45" s="894"/>
      <c r="C45" s="1547"/>
      <c r="D45" s="1549"/>
      <c r="E45" s="1574" t="s">
        <v>88</v>
      </c>
      <c r="F45" s="625" t="s">
        <v>799</v>
      </c>
      <c r="G45" s="1564" t="s">
        <v>800</v>
      </c>
      <c r="H45" s="469"/>
      <c r="I45" s="469"/>
      <c r="J45" s="207" t="s">
        <v>801</v>
      </c>
      <c r="K45" s="467"/>
      <c r="L45" s="1547"/>
      <c r="M45" s="1547"/>
      <c r="R45" s="1547"/>
      <c r="U45" s="468"/>
      <c r="AA45" s="1543"/>
      <c r="AB45" s="1543"/>
      <c r="AC45" s="1543"/>
      <c r="AD45" s="1543"/>
      <c r="AE45" s="1543"/>
    </row>
    <row r="46" spans="1:31" s="1832" customFormat="1" ht="18.75" customHeight="1">
      <c r="A46" s="894"/>
      <c r="C46" s="1547"/>
      <c r="D46" s="1549"/>
      <c r="E46" s="1574" t="s">
        <v>116</v>
      </c>
      <c r="F46" s="625" t="s">
        <v>802</v>
      </c>
      <c r="G46" s="1553" t="s">
        <v>704</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5334"/>
      <c r="G48" s="5334"/>
      <c r="H48" s="5334"/>
      <c r="I48" s="5334"/>
      <c r="J48" s="5334"/>
    </row>
    <row r="49" spans="1:31" s="4592" customFormat="1" ht="37.5" customHeight="1">
      <c r="A49" s="894"/>
      <c r="B49" s="1547"/>
      <c r="C49" s="1547"/>
      <c r="D49" s="275"/>
      <c r="F49" s="5334"/>
      <c r="G49" s="5334"/>
      <c r="H49" s="5334"/>
      <c r="I49" s="5334"/>
      <c r="J49" s="5334"/>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4592"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4592"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4592"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4592"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4592"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4592"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4592"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4592"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4592"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4592"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4592"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4592"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4592"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4592"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4592"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4592"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4592"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4592"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4592"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4592"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4592"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4592"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4592"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4592"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4592"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4592"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4592"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4592"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4592"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4592"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4592"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4592"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4592"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4592"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4592"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4592"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4592"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4592"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4592"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4592"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4592"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4592"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4592"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4592"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4592"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4592"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4592"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4592"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4592"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4592"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4592"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4592"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4592"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4592"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4592"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4592"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4592"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4592"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4592"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4592"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4592"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4592"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4592"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4592"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4592"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4592"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4592"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4592"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4592"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4592"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4592"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4592"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4592"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4592"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4592"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4592"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4592"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4592"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4592"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4592"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4592"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4592"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4592"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4592"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4592"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4592"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4592"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4592"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4592"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4592"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4592"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4592"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4592"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4592"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4592"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4592"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4592"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4592"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4592"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4592"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4592"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4592"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4592"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4592"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4592"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4592"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4592"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4592"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4592"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4592"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4592"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4592"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4592"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4592"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4592"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4592"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4592"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4592"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4592"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4592"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4592"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4592"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4592"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4592"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4592"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4592"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4592"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4592"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4592"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4592"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4592"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4592"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4592"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4592"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4592"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4592"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4592"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4592"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4592"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4592"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4592"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4592"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4592"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4592"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4592"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4592"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4592"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4592"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4592"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4592"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4592"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4592"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4592"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4592"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4592"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4590" hidden="1" customWidth="1"/>
    <col min="2" max="2" width="16.85546875" style="1832" hidden="1" customWidth="1"/>
    <col min="3" max="3" width="5.5703125" style="1834" hidden="1" customWidth="1"/>
    <col min="4" max="4" width="3.7109375" style="4596" customWidth="1"/>
    <col min="5" max="5" width="7.7109375" style="2115" customWidth="1"/>
    <col min="6" max="6" width="54.5703125" style="2115" customWidth="1"/>
    <col min="7" max="7" width="10.42578125" style="2115" customWidth="1"/>
    <col min="8" max="8" width="40.7109375" style="2115" hidden="1" customWidth="1"/>
    <col min="9" max="9" width="40.7109375" style="2115" customWidth="1"/>
    <col min="10" max="10" width="102.85546875" style="2115"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4591"/>
    <col min="22" max="26" width="9.140625" style="1832"/>
    <col min="27" max="31" width="9.140625" style="2114"/>
  </cols>
  <sheetData>
    <row r="1" spans="1:31" s="1832" customFormat="1" ht="11.25" hidden="1" customHeight="1">
      <c r="A1" s="894"/>
      <c r="C1" s="1547"/>
      <c r="D1" s="461"/>
      <c r="H1" s="1059">
        <v>4</v>
      </c>
      <c r="I1" s="1059">
        <v>4</v>
      </c>
      <c r="L1" s="1547"/>
      <c r="M1" s="1547"/>
      <c r="R1" s="1547"/>
    </row>
    <row r="2" spans="1:31" s="1832" customFormat="1" ht="22.5" hidden="1" customHeight="1">
      <c r="A2" s="894"/>
      <c r="C2" s="1547"/>
      <c r="D2" s="462"/>
      <c r="E2" s="1568"/>
      <c r="F2" s="464"/>
      <c r="G2" s="1567" t="s">
        <v>666</v>
      </c>
      <c r="H2" s="465"/>
      <c r="I2" s="465"/>
      <c r="J2" s="466" t="s">
        <v>669</v>
      </c>
      <c r="K2" s="467"/>
      <c r="L2" s="1547"/>
      <c r="M2" s="1547"/>
      <c r="R2" s="1547"/>
      <c r="U2" s="468"/>
      <c r="AA2" s="1543"/>
      <c r="AB2" s="1543"/>
      <c r="AC2" s="1543"/>
      <c r="AD2" s="1543"/>
      <c r="AE2" s="1543"/>
    </row>
    <row r="3" spans="1:31" ht="11.25" hidden="1" customHeight="1"/>
    <row r="4" spans="1:31" s="2114"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5298" t="s">
        <v>803</v>
      </c>
      <c r="F6" s="5298"/>
      <c r="G6" s="5298"/>
      <c r="H6" s="5298"/>
      <c r="I6" s="5298"/>
      <c r="J6" s="480"/>
    </row>
    <row r="7" spans="1:31" ht="24" customHeight="1">
      <c r="E7" s="5245" t="str">
        <f>IF(org=0,"Не определено",org)</f>
        <v>ПАО "ТГК-1" (филиал "Кольский")</v>
      </c>
      <c r="F7" s="5245"/>
      <c r="G7" s="5245"/>
      <c r="H7" s="5245"/>
      <c r="I7" s="5245"/>
    </row>
    <row r="8" spans="1:31" ht="11.25" customHeight="1">
      <c r="E8" s="1036"/>
      <c r="F8" s="1036"/>
      <c r="G8" s="1036"/>
      <c r="H8" s="1036"/>
      <c r="I8" s="1036"/>
    </row>
    <row r="9" spans="1:31" s="1834" customFormat="1" ht="0.75" customHeight="1">
      <c r="A9" s="1066"/>
      <c r="D9" s="1552"/>
      <c r="H9" s="801"/>
      <c r="I9" s="801" t="s">
        <v>121</v>
      </c>
    </row>
    <row r="10" spans="1:31" ht="11.25" customHeight="1">
      <c r="E10" s="629"/>
      <c r="F10" s="5388" t="s">
        <v>110</v>
      </c>
      <c r="G10" s="5389"/>
      <c r="H10" s="1569" t="str">
        <f>IF(H9="","",INDEX(DIFFERENTIATION_UNMERGE_VD,MATCH(H9,DIFFERENTIATION_ID_DIFF,0)))</f>
        <v/>
      </c>
      <c r="I10" s="1569">
        <f>IF(I9="","",INDEX(DIFFERENTIATION_UNMERGE_VD,MATCH(I9,DIFFERENTIATION_ID_DIFF,0)))</f>
        <v>0</v>
      </c>
      <c r="J10" s="5180"/>
    </row>
    <row r="11" spans="1:31" ht="11.25" customHeight="1">
      <c r="E11" s="629"/>
      <c r="F11" s="5388" t="s">
        <v>678</v>
      </c>
      <c r="G11" s="5389"/>
      <c r="H11" s="1569" t="str">
        <f>IF(H9="","",INDEX(DIFFERENTIATION_UNMERGE_AREA,MATCH(H9,DIFFERENTIATION_ID_DIFF,0)))</f>
        <v/>
      </c>
      <c r="I11" s="1569" t="str">
        <f>IF(I9="","",INDEX(DIFFERENTIATION_UNMERGE_AREA,MATCH(I9,DIFFERENTIATION_ID_DIFF,0)))</f>
        <v/>
      </c>
      <c r="J11" s="5180"/>
    </row>
    <row r="12" spans="1:31" ht="11.25" hidden="1" customHeight="1">
      <c r="E12" s="1572"/>
      <c r="F12" s="5404" t="s">
        <v>679</v>
      </c>
      <c r="G12" s="5405"/>
      <c r="H12" s="1573" t="str">
        <f>IF(H9="","",INDEX(DIFFERENTIATION_UNMERGE_SYSTEM,MATCH(H9,DIFFERENTIATION_ID_DIFF,0)))</f>
        <v/>
      </c>
      <c r="I12" s="1573" t="str">
        <f>IF(I9="","",INDEX(DIFFERENTIATION_UNMERGE_SYSTEM,MATCH(I9,DIFFERENTIATION_ID_DIFF,0)))</f>
        <v>без дифференциации</v>
      </c>
      <c r="J12" s="5180"/>
    </row>
    <row r="13" spans="1:31" ht="11.25" customHeight="1">
      <c r="E13" s="5390" t="s">
        <v>417</v>
      </c>
      <c r="F13" s="5391"/>
      <c r="G13" s="5391"/>
      <c r="H13" s="1566"/>
      <c r="I13" s="1566"/>
      <c r="J13" s="5180"/>
    </row>
    <row r="14" spans="1:31" ht="22.5" customHeight="1">
      <c r="E14" s="1567" t="s">
        <v>83</v>
      </c>
      <c r="F14" s="1570" t="s">
        <v>419</v>
      </c>
      <c r="G14" s="1570" t="s">
        <v>680</v>
      </c>
      <c r="H14" s="1570" t="s">
        <v>420</v>
      </c>
      <c r="I14" s="1570" t="s">
        <v>420</v>
      </c>
      <c r="J14" s="5180"/>
    </row>
    <row r="15" spans="1:31" ht="18.75" customHeight="1">
      <c r="D15" s="1549"/>
      <c r="E15" s="1541" t="s">
        <v>114</v>
      </c>
      <c r="F15" s="625" t="s">
        <v>804</v>
      </c>
      <c r="G15" s="1567" t="s">
        <v>666</v>
      </c>
      <c r="H15" s="481"/>
      <c r="I15" s="481"/>
      <c r="J15" s="207" t="s">
        <v>805</v>
      </c>
      <c r="K15" s="467" t="s">
        <v>733</v>
      </c>
    </row>
    <row r="16" spans="1:31" ht="22.5" customHeight="1">
      <c r="D16" s="1549"/>
      <c r="E16" s="1541" t="s">
        <v>98</v>
      </c>
      <c r="F16" s="1575" t="s">
        <v>806</v>
      </c>
      <c r="G16" s="1567" t="s">
        <v>666</v>
      </c>
      <c r="H16" s="482">
        <f>SUM(H17,H20:H27)</f>
        <v>0</v>
      </c>
      <c r="I16" s="482">
        <f>SUM(I17,I20:I27)</f>
        <v>0</v>
      </c>
      <c r="J16" s="207" t="s">
        <v>807</v>
      </c>
      <c r="K16" s="467" t="s">
        <v>733</v>
      </c>
    </row>
    <row r="17" spans="1:31" ht="33.75" customHeight="1">
      <c r="D17" s="1549"/>
      <c r="E17" s="1574" t="s">
        <v>736</v>
      </c>
      <c r="F17" s="1577" t="s">
        <v>808</v>
      </c>
      <c r="G17" s="1564" t="s">
        <v>666</v>
      </c>
      <c r="H17" s="481"/>
      <c r="I17" s="481"/>
      <c r="J17" s="207" t="s">
        <v>809</v>
      </c>
      <c r="K17" s="467"/>
    </row>
    <row r="18" spans="1:31" ht="18.75" customHeight="1">
      <c r="D18" s="1549"/>
      <c r="E18" s="1574" t="s">
        <v>739</v>
      </c>
      <c r="F18" s="1578" t="s">
        <v>810</v>
      </c>
      <c r="G18" s="1564" t="s">
        <v>666</v>
      </c>
      <c r="H18" s="481"/>
      <c r="I18" s="481"/>
      <c r="J18" s="207"/>
      <c r="K18" s="467"/>
    </row>
    <row r="19" spans="1:31" ht="22.5" customHeight="1">
      <c r="D19" s="1549"/>
      <c r="E19" s="1574" t="s">
        <v>742</v>
      </c>
      <c r="F19" s="1578" t="s">
        <v>811</v>
      </c>
      <c r="G19" s="1564" t="s">
        <v>666</v>
      </c>
      <c r="H19" s="481"/>
      <c r="I19" s="481"/>
      <c r="J19" s="207"/>
      <c r="K19" s="467"/>
    </row>
    <row r="20" spans="1:31" ht="33.75" customHeight="1">
      <c r="D20" s="1549"/>
      <c r="E20" s="1574" t="s">
        <v>424</v>
      </c>
      <c r="F20" s="1577" t="s">
        <v>812</v>
      </c>
      <c r="G20" s="1564" t="s">
        <v>666</v>
      </c>
      <c r="H20" s="481"/>
      <c r="I20" s="481"/>
      <c r="J20" s="207"/>
      <c r="K20" s="467"/>
    </row>
    <row r="21" spans="1:31" ht="33.75" customHeight="1">
      <c r="D21" s="1549"/>
      <c r="E21" s="1574" t="s">
        <v>427</v>
      </c>
      <c r="F21" s="1577" t="s">
        <v>813</v>
      </c>
      <c r="G21" s="1564" t="s">
        <v>666</v>
      </c>
      <c r="H21" s="481"/>
      <c r="I21" s="481"/>
      <c r="J21" s="207"/>
      <c r="K21" s="467"/>
    </row>
    <row r="22" spans="1:31" ht="56.25" customHeight="1">
      <c r="D22" s="1549"/>
      <c r="E22" s="1574" t="s">
        <v>756</v>
      </c>
      <c r="F22" s="1577" t="s">
        <v>814</v>
      </c>
      <c r="G22" s="1564" t="s">
        <v>666</v>
      </c>
      <c r="H22" s="481"/>
      <c r="I22" s="481"/>
      <c r="J22" s="207"/>
      <c r="K22" s="467"/>
    </row>
    <row r="23" spans="1:31" ht="33.75" customHeight="1">
      <c r="D23" s="1549"/>
      <c r="E23" s="1574" t="s">
        <v>763</v>
      </c>
      <c r="F23" s="1577" t="s">
        <v>815</v>
      </c>
      <c r="G23" s="1564" t="s">
        <v>666</v>
      </c>
      <c r="H23" s="481"/>
      <c r="I23" s="481"/>
      <c r="J23" s="207"/>
      <c r="K23" s="467"/>
    </row>
    <row r="24" spans="1:31" ht="33.75" customHeight="1">
      <c r="D24" s="1549"/>
      <c r="E24" s="1574" t="s">
        <v>765</v>
      </c>
      <c r="F24" s="1577" t="s">
        <v>816</v>
      </c>
      <c r="G24" s="1564" t="s">
        <v>666</v>
      </c>
      <c r="H24" s="481"/>
      <c r="I24" s="481"/>
      <c r="J24" s="207"/>
      <c r="K24" s="467"/>
    </row>
    <row r="25" spans="1:31" ht="22.5" customHeight="1">
      <c r="D25" s="1549"/>
      <c r="E25" s="1574" t="s">
        <v>767</v>
      </c>
      <c r="F25" s="1577" t="s">
        <v>817</v>
      </c>
      <c r="G25" s="1564" t="s">
        <v>666</v>
      </c>
      <c r="H25" s="481"/>
      <c r="I25" s="481"/>
      <c r="J25" s="207"/>
      <c r="K25" s="467"/>
    </row>
    <row r="26" spans="1:31" ht="67.5" customHeight="1">
      <c r="D26" s="1549"/>
      <c r="E26" s="1574" t="s">
        <v>769</v>
      </c>
      <c r="F26" s="1577" t="s">
        <v>818</v>
      </c>
      <c r="G26" s="1564" t="s">
        <v>666</v>
      </c>
      <c r="H26" s="481"/>
      <c r="I26" s="481"/>
      <c r="J26" s="207"/>
      <c r="K26" s="467"/>
    </row>
    <row r="27" spans="1:31" s="1832" customFormat="1" ht="22.5" customHeight="1">
      <c r="A27" s="894"/>
      <c r="C27" s="1547"/>
      <c r="D27" s="1549"/>
      <c r="E27" s="1540" t="s">
        <v>773</v>
      </c>
      <c r="F27" s="1539" t="s">
        <v>819</v>
      </c>
      <c r="G27" s="1565" t="s">
        <v>666</v>
      </c>
      <c r="H27" s="503">
        <f>SUM(H28:H29)</f>
        <v>0</v>
      </c>
      <c r="I27" s="503">
        <f>SUM(I28:I29)</f>
        <v>0</v>
      </c>
      <c r="J27" s="207" t="s">
        <v>771</v>
      </c>
      <c r="K27" s="467"/>
      <c r="L27" s="1547"/>
      <c r="M27" s="1547"/>
      <c r="R27" s="1547"/>
      <c r="U27" s="468"/>
      <c r="AA27" s="1543"/>
      <c r="AB27" s="1543"/>
      <c r="AC27" s="1543"/>
      <c r="AD27" s="1543"/>
      <c r="AE27" s="1543"/>
    </row>
    <row r="28" spans="1:31" s="1834" customFormat="1" ht="0.75" customHeight="1">
      <c r="A28" s="1066"/>
      <c r="D28" s="472"/>
      <c r="E28" s="718" t="str">
        <f>E27&amp;".0"</f>
        <v>2.9.0</v>
      </c>
      <c r="F28" s="898"/>
      <c r="G28" s="475"/>
      <c r="H28" s="899"/>
      <c r="I28" s="899"/>
      <c r="J28" s="900"/>
    </row>
    <row r="29" spans="1:31" s="1832" customFormat="1" ht="18.75" customHeight="1">
      <c r="A29" s="894"/>
      <c r="C29" s="1547"/>
      <c r="D29" s="1544"/>
      <c r="E29" s="494"/>
      <c r="F29" s="1576" t="s">
        <v>691</v>
      </c>
      <c r="G29" s="496"/>
      <c r="H29" s="497"/>
      <c r="I29" s="497"/>
      <c r="J29" s="219" t="s">
        <v>772</v>
      </c>
      <c r="K29" s="467"/>
      <c r="L29" s="1547"/>
      <c r="M29" s="1547"/>
      <c r="R29" s="1547"/>
      <c r="U29" s="468"/>
      <c r="AA29" s="1543"/>
      <c r="AB29" s="1543"/>
      <c r="AC29" s="1543"/>
      <c r="AD29" s="1543"/>
      <c r="AE29" s="1543"/>
    </row>
    <row r="30" spans="1:31" s="1832" customFormat="1" ht="22.5" customHeight="1">
      <c r="A30" s="894"/>
      <c r="C30" s="1547"/>
      <c r="D30" s="1549"/>
      <c r="E30" s="1574" t="s">
        <v>85</v>
      </c>
      <c r="F30" s="1571" t="s">
        <v>820</v>
      </c>
      <c r="G30" s="1564" t="s">
        <v>666</v>
      </c>
      <c r="H30" s="481"/>
      <c r="I30" s="481"/>
      <c r="J30" s="207"/>
      <c r="K30" s="467"/>
      <c r="L30" s="1547"/>
      <c r="M30" s="1547"/>
      <c r="R30" s="1547"/>
      <c r="U30" s="468"/>
      <c r="AA30" s="1543"/>
      <c r="AB30" s="1543"/>
      <c r="AC30" s="1543"/>
      <c r="AD30" s="1543"/>
      <c r="AE30" s="1543"/>
    </row>
    <row r="31" spans="1:31" s="1832" customFormat="1" ht="33.75" customHeight="1">
      <c r="A31" s="894"/>
      <c r="C31" s="1547"/>
      <c r="D31" s="499"/>
      <c r="E31" s="1574" t="s">
        <v>86</v>
      </c>
      <c r="F31" s="1571" t="s">
        <v>821</v>
      </c>
      <c r="G31" s="1564" t="s">
        <v>666</v>
      </c>
      <c r="H31" s="481"/>
      <c r="I31" s="481"/>
      <c r="J31" s="207" t="s">
        <v>822</v>
      </c>
      <c r="K31" s="467"/>
      <c r="L31" s="1547"/>
      <c r="M31" s="1547"/>
      <c r="R31" s="1547"/>
      <c r="U31" s="468"/>
      <c r="AA31" s="1543"/>
      <c r="AB31" s="1543"/>
      <c r="AC31" s="1543"/>
      <c r="AD31" s="1543"/>
      <c r="AE31" s="1543"/>
    </row>
    <row r="32" spans="1:31" s="1832" customFormat="1" ht="22.5" customHeight="1">
      <c r="A32" s="894"/>
      <c r="C32" s="1547"/>
      <c r="D32" s="1549"/>
      <c r="E32" s="1574" t="s">
        <v>781</v>
      </c>
      <c r="F32" s="609" t="s">
        <v>785</v>
      </c>
      <c r="G32" s="1564" t="s">
        <v>666</v>
      </c>
      <c r="H32" s="481"/>
      <c r="I32" s="481"/>
      <c r="J32" s="207" t="s">
        <v>823</v>
      </c>
      <c r="K32" s="467"/>
      <c r="L32" s="1547"/>
      <c r="M32" s="1547"/>
      <c r="R32" s="1547"/>
      <c r="U32" s="468"/>
      <c r="AA32" s="1543"/>
      <c r="AB32" s="1543"/>
      <c r="AC32" s="1543"/>
      <c r="AD32" s="1543"/>
      <c r="AE32" s="1543"/>
    </row>
    <row r="33" spans="1:31" s="1832" customFormat="1" ht="22.5" customHeight="1">
      <c r="A33" s="894"/>
      <c r="C33" s="1547"/>
      <c r="D33" s="1549"/>
      <c r="E33" s="1574" t="s">
        <v>824</v>
      </c>
      <c r="F33" s="609" t="s">
        <v>825</v>
      </c>
      <c r="G33" s="1564" t="s">
        <v>666</v>
      </c>
      <c r="H33" s="481"/>
      <c r="I33" s="481"/>
      <c r="J33" s="207" t="s">
        <v>826</v>
      </c>
      <c r="K33" s="467"/>
      <c r="L33" s="1547"/>
      <c r="M33" s="1547"/>
      <c r="R33" s="1547"/>
      <c r="U33" s="468"/>
      <c r="AA33" s="1543"/>
      <c r="AB33" s="1543"/>
      <c r="AC33" s="1543"/>
      <c r="AD33" s="1543"/>
      <c r="AE33" s="1543"/>
    </row>
    <row r="34" spans="1:31" s="1832" customFormat="1" ht="22.5" customHeight="1">
      <c r="A34" s="894"/>
      <c r="C34" s="1547"/>
      <c r="D34" s="1549"/>
      <c r="E34" s="1574" t="s">
        <v>827</v>
      </c>
      <c r="F34" s="609" t="s">
        <v>791</v>
      </c>
      <c r="G34" s="1564" t="s">
        <v>666</v>
      </c>
      <c r="H34" s="481"/>
      <c r="I34" s="481"/>
      <c r="J34" s="207" t="s">
        <v>828</v>
      </c>
      <c r="K34" s="467"/>
      <c r="L34" s="1547"/>
      <c r="M34" s="1547"/>
      <c r="R34" s="1547"/>
      <c r="U34" s="468"/>
      <c r="AA34" s="1543"/>
      <c r="AB34" s="1543"/>
      <c r="AC34" s="1543"/>
      <c r="AD34" s="1543"/>
      <c r="AE34" s="1543"/>
    </row>
    <row r="35" spans="1:31" s="1832" customFormat="1" ht="33.75" customHeight="1">
      <c r="A35" s="894"/>
      <c r="C35" s="1547" t="s">
        <v>702</v>
      </c>
      <c r="D35" s="1549"/>
      <c r="E35" s="1574" t="s">
        <v>115</v>
      </c>
      <c r="F35" s="1571" t="s">
        <v>793</v>
      </c>
      <c r="G35" s="1567" t="s">
        <v>423</v>
      </c>
      <c r="H35" s="334"/>
      <c r="I35" s="334"/>
      <c r="J35" s="207" t="s">
        <v>829</v>
      </c>
      <c r="K35" s="467"/>
      <c r="L35" s="1547"/>
      <c r="M35" s="1547"/>
      <c r="R35" s="1547"/>
      <c r="U35" s="468"/>
      <c r="AA35" s="1543"/>
      <c r="AB35" s="1543"/>
      <c r="AC35" s="1543"/>
      <c r="AD35" s="1543"/>
      <c r="AE35" s="1543"/>
    </row>
    <row r="36" spans="1:31" s="1832" customFormat="1" ht="22.5" customHeight="1">
      <c r="A36" s="894"/>
      <c r="C36" s="1547"/>
      <c r="D36" s="1549"/>
      <c r="E36" s="1574" t="s">
        <v>87</v>
      </c>
      <c r="F36" s="1571" t="s">
        <v>830</v>
      </c>
      <c r="G36" s="1564" t="s">
        <v>797</v>
      </c>
      <c r="H36" s="469"/>
      <c r="I36" s="469"/>
      <c r="J36" s="207" t="s">
        <v>798</v>
      </c>
      <c r="K36" s="467"/>
      <c r="L36" s="1547"/>
      <c r="M36" s="1547"/>
      <c r="R36" s="1547"/>
      <c r="U36" s="468"/>
      <c r="AA36" s="1543"/>
      <c r="AB36" s="1543"/>
      <c r="AC36" s="1543"/>
      <c r="AD36" s="1543"/>
      <c r="AE36" s="1543"/>
    </row>
    <row r="37" spans="1:31" s="1832" customFormat="1" ht="22.5" customHeight="1">
      <c r="A37" s="894"/>
      <c r="C37" s="1547"/>
      <c r="D37" s="1549"/>
      <c r="E37" s="1574" t="s">
        <v>88</v>
      </c>
      <c r="F37" s="1571" t="s">
        <v>831</v>
      </c>
      <c r="G37" s="1564" t="s">
        <v>800</v>
      </c>
      <c r="H37" s="469"/>
      <c r="I37" s="469"/>
      <c r="J37" s="207" t="s">
        <v>801</v>
      </c>
      <c r="K37" s="467"/>
      <c r="L37" s="1547"/>
      <c r="M37" s="1547"/>
      <c r="R37" s="1547"/>
      <c r="U37" s="468"/>
      <c r="AA37" s="1543"/>
      <c r="AB37" s="1543"/>
      <c r="AC37" s="1543"/>
      <c r="AD37" s="1543"/>
      <c r="AE37" s="1543"/>
    </row>
    <row r="38" spans="1:31" ht="11.25" customHeight="1">
      <c r="D38" s="1549"/>
    </row>
    <row r="39" spans="1:31" ht="26.25" customHeight="1">
      <c r="D39" s="1549"/>
      <c r="E39" s="1163" t="s">
        <v>832</v>
      </c>
      <c r="F39" s="5334" t="s">
        <v>833</v>
      </c>
      <c r="G39" s="5334"/>
      <c r="H39" s="5334"/>
      <c r="I39" s="5334"/>
      <c r="J39" s="5334"/>
    </row>
    <row r="40" spans="1:31" s="4592" customFormat="1" ht="37.5" customHeight="1">
      <c r="A40" s="894"/>
      <c r="B40" s="1547"/>
      <c r="C40" s="1547"/>
      <c r="D40" s="275"/>
      <c r="F40" s="5334" t="s">
        <v>834</v>
      </c>
      <c r="G40" s="5334"/>
      <c r="H40" s="5334"/>
      <c r="I40" s="5334"/>
      <c r="J40" s="5334"/>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4592"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4592"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4592"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4592"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4592"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4592"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4592"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4592"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4592"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4592"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4592"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4592"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4592"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4592"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4592"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4592"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4592"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4592"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4592"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4592"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4592"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4592"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4592"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4592"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4592"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4592"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4592"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4592"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4592"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4592"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4592"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4592"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4592"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4592"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4592"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4592"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4592"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4592"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4592"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4592"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4592"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4592"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4592"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4592"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4592"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4592"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4592"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4592"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4592"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4592"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4592"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4592"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4592"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4592"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4592"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4592"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4592"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4592"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4592"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4592"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4592"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4592"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4592"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4592"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4592"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4592"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4592"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4592"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4592"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4592"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4592"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4592"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4592"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4592"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4592"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4592"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4592"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4592"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4592"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4592"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4592"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4592"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4592"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4592"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4592"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4592"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4592"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4592"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4592"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4592"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4592"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4592"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4592"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4592"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4592"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4592"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4592"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4592"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4592"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4592"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4592"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4592"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4592"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4592"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4592"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4592"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4592"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4592"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4592"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4592"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4592"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4592"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4592"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4592"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4592"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4592"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4592"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4592"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4592"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4592"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4592"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4592"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4592"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4592"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4592"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4592"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4592"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4592"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4592"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4592"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4592"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4592"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4592"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4592"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4592"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4592"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4592"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4592"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4592"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4592"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4592"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4592"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4592"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4592"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4592"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4592"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4592"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4592"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4592"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4592"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4592"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4592"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4592"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4592"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4592"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4601" hidden="1" customWidth="1"/>
    <col min="2" max="2" width="3.5703125" style="1819" hidden="1" customWidth="1"/>
    <col min="3" max="3" width="3.7109375" style="2130" customWidth="1"/>
    <col min="4" max="4" width="7.7109375" style="2130" customWidth="1"/>
    <col min="5" max="5" width="69.85546875" style="2130" customWidth="1"/>
    <col min="6" max="6" width="11.140625" style="2130" customWidth="1"/>
    <col min="7" max="8" width="44" style="2130" hidden="1" customWidth="1"/>
    <col min="9" max="10" width="44" style="1822" customWidth="1"/>
    <col min="11" max="11" width="74" style="2130" customWidth="1"/>
    <col min="12" max="12" width="3.7109375" style="2130" customWidth="1"/>
    <col min="13" max="23" width="10.5703125" style="2130"/>
  </cols>
  <sheetData>
    <row r="1" spans="1:12" s="1823" customFormat="1" ht="11.25" hidden="1" customHeight="1">
      <c r="A1" s="460"/>
      <c r="B1" s="436"/>
      <c r="G1" s="350">
        <v>4</v>
      </c>
      <c r="I1" s="350">
        <v>4</v>
      </c>
      <c r="K1" s="350">
        <v>5</v>
      </c>
    </row>
    <row r="2" spans="1:12" ht="3" customHeight="1"/>
    <row r="3" spans="1:12" ht="75" customHeight="1">
      <c r="D3" s="51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5174"/>
      <c r="F3" s="5175"/>
    </row>
    <row r="4" spans="1:12" s="1822" customFormat="1" ht="20.25" customHeight="1">
      <c r="A4" s="859"/>
      <c r="B4" s="436"/>
      <c r="D4" s="5279" t="str">
        <f>IF(org=0,"Не определено",org)</f>
        <v>ПАО "ТГК-1" (филиал "Кольский")</v>
      </c>
      <c r="E4" s="5280"/>
      <c r="F4" s="5281"/>
    </row>
    <row r="5" spans="1:12" ht="11.25" customHeight="1">
      <c r="C5" s="434"/>
      <c r="D5" s="510"/>
      <c r="E5" s="510"/>
      <c r="F5" s="510"/>
      <c r="G5" s="510"/>
      <c r="H5" s="668"/>
      <c r="I5" s="510"/>
      <c r="J5" s="668"/>
      <c r="K5" s="510"/>
    </row>
    <row r="6" spans="1:12" ht="0.75" customHeight="1">
      <c r="C6" s="434"/>
      <c r="D6" s="434"/>
      <c r="E6" s="447"/>
      <c r="F6" s="534"/>
      <c r="G6" s="928"/>
      <c r="H6" s="928"/>
      <c r="I6" s="928" t="s">
        <v>121</v>
      </c>
      <c r="J6" s="928"/>
    </row>
    <row r="7" spans="1:12" ht="11.25" customHeight="1">
      <c r="D7" s="629"/>
      <c r="E7" s="5388" t="s">
        <v>110</v>
      </c>
      <c r="F7" s="5389"/>
      <c r="G7" s="5407" t="str">
        <f>IF(G6="","",INDEX(DIFFERENTIATION_UNMERGE_VD,MATCH(G6,DIFFERENTIATION_ID_DIFF,0)))</f>
        <v/>
      </c>
      <c r="H7" s="5408"/>
      <c r="I7" s="5407">
        <f>IF(I6="","",INDEX(DIFFERENTIATION_UNMERGE_VD,MATCH(I6,DIFFERENTIATION_ID_DIFF,0)))</f>
        <v>0</v>
      </c>
      <c r="J7" s="5408"/>
      <c r="K7" s="5244"/>
      <c r="L7" s="434"/>
    </row>
    <row r="8" spans="1:12" ht="11.25" customHeight="1">
      <c r="A8" s="622"/>
      <c r="D8" s="629"/>
      <c r="E8" s="5388" t="s">
        <v>678</v>
      </c>
      <c r="F8" s="5389"/>
      <c r="G8" s="5407" t="str">
        <f>IF(G6="","",INDEX(DIFFERENTIATION_UNMERGE_AREA,MATCH(G6,DIFFERENTIATION_ID_DIFF,0)))</f>
        <v/>
      </c>
      <c r="H8" s="5408"/>
      <c r="I8" s="5407" t="str">
        <f>IF(I6="","",INDEX(DIFFERENTIATION_UNMERGE_AREA,MATCH(I6,DIFFERENTIATION_ID_DIFF,0)))</f>
        <v/>
      </c>
      <c r="J8" s="5408"/>
      <c r="K8" s="5263"/>
      <c r="L8" s="434"/>
    </row>
    <row r="9" spans="1:12" ht="11.25" customHeight="1">
      <c r="A9" s="622"/>
      <c r="D9" s="629"/>
      <c r="E9" s="5388" t="s">
        <v>679</v>
      </c>
      <c r="F9" s="5389"/>
      <c r="G9" s="5407" t="str">
        <f>IF(G6="","",INDEX(DIFFERENTIATION_UNMERGE_SYSTEM,MATCH(G6,DIFFERENTIATION_ID_DIFF,0)))</f>
        <v/>
      </c>
      <c r="H9" s="5408"/>
      <c r="I9" s="5407" t="str">
        <f>IF(I6="","",INDEX(DIFFERENTIATION_UNMERGE_SYSTEM,MATCH(I6,DIFFERENTIATION_ID_DIFF,0)))</f>
        <v>без дифференциации</v>
      </c>
      <c r="J9" s="5408"/>
      <c r="K9" s="5263"/>
      <c r="L9" s="434"/>
    </row>
    <row r="10" spans="1:12" s="1822" customFormat="1" ht="11.25" customHeight="1">
      <c r="A10" s="927"/>
      <c r="B10" s="436"/>
      <c r="D10" s="5151" t="s">
        <v>417</v>
      </c>
      <c r="E10" s="5156"/>
      <c r="F10" s="5156"/>
      <c r="G10" s="5156"/>
      <c r="H10" s="5156"/>
      <c r="I10" s="5156"/>
      <c r="J10" s="5150"/>
      <c r="K10" s="5263"/>
      <c r="L10" s="434"/>
    </row>
    <row r="11" spans="1:12" s="1824" customFormat="1" ht="22.5" customHeight="1">
      <c r="A11" s="5334"/>
      <c r="B11" s="5334"/>
      <c r="C11" s="577"/>
      <c r="D11" s="621" t="s">
        <v>83</v>
      </c>
      <c r="E11" s="623" t="s">
        <v>835</v>
      </c>
      <c r="F11" s="623" t="s">
        <v>680</v>
      </c>
      <c r="G11" s="391" t="s">
        <v>420</v>
      </c>
      <c r="H11" s="391" t="s">
        <v>509</v>
      </c>
      <c r="I11" s="723" t="s">
        <v>420</v>
      </c>
      <c r="J11" s="724" t="s">
        <v>509</v>
      </c>
      <c r="K11" s="5293"/>
      <c r="L11" s="578"/>
    </row>
    <row r="12" spans="1:12" s="1819" customFormat="1" ht="10.5" customHeight="1">
      <c r="A12" s="860"/>
      <c r="D12" s="931" t="s">
        <v>114</v>
      </c>
      <c r="E12" s="931" t="s">
        <v>98</v>
      </c>
      <c r="F12" s="931" t="s">
        <v>85</v>
      </c>
      <c r="G12" s="932" t="str">
        <f>G1&amp;".1"</f>
        <v>4.1</v>
      </c>
      <c r="H12" s="932" t="str">
        <f>G1&amp;".2"</f>
        <v>4.2</v>
      </c>
      <c r="I12" s="932" t="str">
        <f>I1&amp;".1"</f>
        <v>4.1</v>
      </c>
      <c r="J12" s="932" t="str">
        <f>I1&amp;".2"</f>
        <v>4.2</v>
      </c>
      <c r="K12" s="932"/>
    </row>
    <row r="13" spans="1:12" ht="22.5" customHeight="1">
      <c r="A13" s="5406" t="s">
        <v>836</v>
      </c>
      <c r="D13" s="861" t="s">
        <v>114</v>
      </c>
      <c r="E13" s="198" t="s">
        <v>837</v>
      </c>
      <c r="F13" s="580" t="s">
        <v>838</v>
      </c>
      <c r="G13" s="481"/>
      <c r="H13" s="581"/>
      <c r="I13" s="481"/>
      <c r="J13" s="581"/>
      <c r="K13" s="207" t="s">
        <v>839</v>
      </c>
      <c r="L13" s="638"/>
    </row>
    <row r="14" spans="1:12" ht="22.5" customHeight="1">
      <c r="A14" s="5406"/>
      <c r="D14" s="463" t="s">
        <v>98</v>
      </c>
      <c r="E14" s="198" t="s">
        <v>840</v>
      </c>
      <c r="F14" s="580" t="s">
        <v>841</v>
      </c>
      <c r="G14" s="481"/>
      <c r="H14" s="582"/>
      <c r="I14" s="481"/>
      <c r="J14" s="582"/>
      <c r="K14" s="207" t="s">
        <v>842</v>
      </c>
      <c r="L14" s="638"/>
    </row>
    <row r="15" spans="1:12" s="1822" customFormat="1" ht="78.75" customHeight="1">
      <c r="A15" s="5406"/>
      <c r="B15" s="436"/>
      <c r="D15" s="861" t="s">
        <v>85</v>
      </c>
      <c r="E15" s="625" t="s">
        <v>843</v>
      </c>
      <c r="F15" s="858" t="s">
        <v>423</v>
      </c>
      <c r="G15" s="858" t="s">
        <v>423</v>
      </c>
      <c r="H15" s="37"/>
      <c r="I15" s="858" t="s">
        <v>423</v>
      </c>
      <c r="J15" s="37"/>
      <c r="K15" s="207" t="s">
        <v>844</v>
      </c>
      <c r="L15" s="638"/>
    </row>
    <row r="16" spans="1:12" s="1822" customFormat="1" ht="22.5" customHeight="1">
      <c r="A16" s="5406"/>
      <c r="B16" s="436"/>
      <c r="D16" s="861" t="s">
        <v>443</v>
      </c>
      <c r="E16" s="862" t="s">
        <v>845</v>
      </c>
      <c r="F16" s="858" t="s">
        <v>846</v>
      </c>
      <c r="G16" s="733"/>
      <c r="H16" s="37"/>
      <c r="I16" s="733"/>
      <c r="J16" s="37"/>
      <c r="K16" s="207"/>
      <c r="L16" s="638"/>
    </row>
    <row r="17" spans="1:23" s="1822" customFormat="1" ht="22.5" customHeight="1">
      <c r="A17" s="5406"/>
      <c r="B17" s="436"/>
      <c r="D17" s="861" t="s">
        <v>451</v>
      </c>
      <c r="E17" s="862" t="s">
        <v>847</v>
      </c>
      <c r="F17" s="858" t="s">
        <v>848</v>
      </c>
      <c r="G17" s="733"/>
      <c r="H17" s="37"/>
      <c r="I17" s="733"/>
      <c r="J17" s="37"/>
      <c r="K17" s="207"/>
      <c r="L17" s="638"/>
    </row>
    <row r="18" spans="1:23" s="1822" customFormat="1" ht="33.75" customHeight="1">
      <c r="A18" s="5406"/>
      <c r="B18" s="436"/>
      <c r="D18" s="861" t="s">
        <v>453</v>
      </c>
      <c r="E18" s="862" t="s">
        <v>849</v>
      </c>
      <c r="F18" s="858" t="s">
        <v>685</v>
      </c>
      <c r="G18" s="600"/>
      <c r="H18" s="37"/>
      <c r="I18" s="600"/>
      <c r="J18" s="37"/>
      <c r="K18" s="207"/>
      <c r="L18" s="638"/>
    </row>
    <row r="19" spans="1:23" ht="101.25" customHeight="1">
      <c r="A19" s="5406"/>
      <c r="D19" s="861" t="s">
        <v>86</v>
      </c>
      <c r="E19" s="198" t="s">
        <v>850</v>
      </c>
      <c r="F19" s="580" t="s">
        <v>660</v>
      </c>
      <c r="G19" s="583"/>
      <c r="H19" s="582"/>
      <c r="I19" s="863"/>
      <c r="J19" s="582"/>
      <c r="K19" s="207" t="s">
        <v>851</v>
      </c>
      <c r="L19" s="638"/>
    </row>
    <row r="20" spans="1:23" s="1822" customFormat="1" ht="18.75" customHeight="1">
      <c r="A20" s="5406"/>
      <c r="C20" s="864"/>
      <c r="D20" s="861" t="s">
        <v>781</v>
      </c>
      <c r="E20" s="862" t="s">
        <v>852</v>
      </c>
      <c r="F20" s="858" t="s">
        <v>423</v>
      </c>
      <c r="G20" s="858" t="s">
        <v>423</v>
      </c>
      <c r="H20" s="857" t="s">
        <v>423</v>
      </c>
      <c r="I20" s="858" t="s">
        <v>423</v>
      </c>
      <c r="J20" s="857" t="s">
        <v>423</v>
      </c>
      <c r="K20" s="856"/>
      <c r="L20" s="638"/>
      <c r="W20" s="595"/>
    </row>
    <row r="21" spans="1:23" s="1822" customFormat="1" ht="33.75" customHeight="1">
      <c r="A21" s="5406"/>
      <c r="C21" s="864"/>
      <c r="D21" s="861" t="s">
        <v>784</v>
      </c>
      <c r="E21" s="500" t="s">
        <v>853</v>
      </c>
      <c r="F21" s="858" t="s">
        <v>854</v>
      </c>
      <c r="G21" s="851"/>
      <c r="H21" s="37"/>
      <c r="I21" s="851"/>
      <c r="J21" s="37"/>
      <c r="K21" s="856"/>
      <c r="L21" s="638"/>
      <c r="W21" s="595"/>
    </row>
    <row r="22" spans="1:23" s="1822" customFormat="1" ht="33.75" customHeight="1">
      <c r="A22" s="5406"/>
      <c r="C22" s="864"/>
      <c r="D22" s="861" t="s">
        <v>787</v>
      </c>
      <c r="E22" s="500" t="s">
        <v>855</v>
      </c>
      <c r="F22" s="858" t="s">
        <v>856</v>
      </c>
      <c r="G22" s="851"/>
      <c r="H22" s="37"/>
      <c r="I22" s="851"/>
      <c r="J22" s="37"/>
      <c r="K22" s="856"/>
      <c r="L22" s="638"/>
      <c r="W22" s="595"/>
    </row>
    <row r="23" spans="1:23" s="1822" customFormat="1" ht="22.5" customHeight="1">
      <c r="A23" s="5406"/>
      <c r="C23" s="864"/>
      <c r="D23" s="861" t="s">
        <v>824</v>
      </c>
      <c r="E23" s="862" t="s">
        <v>857</v>
      </c>
      <c r="F23" s="858" t="s">
        <v>423</v>
      </c>
      <c r="G23" s="858" t="s">
        <v>423</v>
      </c>
      <c r="H23" s="857" t="s">
        <v>423</v>
      </c>
      <c r="I23" s="858" t="s">
        <v>423</v>
      </c>
      <c r="J23" s="857" t="s">
        <v>423</v>
      </c>
      <c r="K23" s="856"/>
      <c r="L23" s="638"/>
      <c r="W23" s="595"/>
    </row>
    <row r="24" spans="1:23" s="1822" customFormat="1" ht="22.5" customHeight="1">
      <c r="A24" s="5406"/>
      <c r="C24" s="864"/>
      <c r="D24" s="861" t="s">
        <v>858</v>
      </c>
      <c r="E24" s="500" t="s">
        <v>859</v>
      </c>
      <c r="F24" s="858" t="s">
        <v>860</v>
      </c>
      <c r="G24" s="851"/>
      <c r="H24" s="605"/>
      <c r="I24" s="851"/>
      <c r="J24" s="605"/>
      <c r="K24" s="856"/>
      <c r="L24" s="638"/>
      <c r="W24" s="595"/>
    </row>
    <row r="25" spans="1:23" s="1822" customFormat="1" ht="22.5" customHeight="1">
      <c r="A25" s="5406"/>
      <c r="C25" s="864"/>
      <c r="D25" s="861" t="s">
        <v>861</v>
      </c>
      <c r="E25" s="500" t="s">
        <v>862</v>
      </c>
      <c r="F25" s="858" t="s">
        <v>423</v>
      </c>
      <c r="G25" s="858" t="s">
        <v>423</v>
      </c>
      <c r="H25" s="857" t="s">
        <v>423</v>
      </c>
      <c r="I25" s="858" t="s">
        <v>423</v>
      </c>
      <c r="J25" s="857" t="s">
        <v>423</v>
      </c>
      <c r="K25" s="856"/>
      <c r="L25" s="638"/>
      <c r="W25" s="595"/>
    </row>
    <row r="26" spans="1:23" s="1822" customFormat="1" ht="18.75" customHeight="1">
      <c r="A26" s="5406"/>
      <c r="C26" s="864"/>
      <c r="D26" s="861" t="s">
        <v>863</v>
      </c>
      <c r="E26" s="477" t="s">
        <v>864</v>
      </c>
      <c r="F26" s="858" t="s">
        <v>865</v>
      </c>
      <c r="G26" s="600"/>
      <c r="H26" s="605"/>
      <c r="I26" s="600"/>
      <c r="J26" s="605"/>
      <c r="K26" s="856"/>
      <c r="L26" s="638"/>
      <c r="W26" s="595"/>
    </row>
    <row r="27" spans="1:23" s="1822" customFormat="1" ht="18.75" customHeight="1">
      <c r="A27" s="5406"/>
      <c r="C27" s="864"/>
      <c r="D27" s="861" t="s">
        <v>866</v>
      </c>
      <c r="E27" s="477" t="s">
        <v>867</v>
      </c>
      <c r="F27" s="858" t="s">
        <v>868</v>
      </c>
      <c r="G27" s="600"/>
      <c r="H27" s="605"/>
      <c r="I27" s="600"/>
      <c r="J27" s="605"/>
      <c r="K27" s="856"/>
      <c r="L27" s="638"/>
      <c r="W27" s="595"/>
    </row>
    <row r="28" spans="1:23" s="1822" customFormat="1" ht="18.75" customHeight="1">
      <c r="A28" s="5406"/>
      <c r="C28" s="864"/>
      <c r="D28" s="861" t="s">
        <v>869</v>
      </c>
      <c r="E28" s="500" t="s">
        <v>870</v>
      </c>
      <c r="F28" s="858" t="s">
        <v>423</v>
      </c>
      <c r="G28" s="858" t="s">
        <v>423</v>
      </c>
      <c r="H28" s="857" t="s">
        <v>423</v>
      </c>
      <c r="I28" s="858" t="s">
        <v>423</v>
      </c>
      <c r="J28" s="857" t="s">
        <v>423</v>
      </c>
      <c r="K28" s="856"/>
      <c r="L28" s="638"/>
      <c r="W28" s="595"/>
    </row>
    <row r="29" spans="1:23" s="1822" customFormat="1" ht="18.75" customHeight="1">
      <c r="A29" s="5406"/>
      <c r="C29" s="864"/>
      <c r="D29" s="861" t="s">
        <v>871</v>
      </c>
      <c r="E29" s="477" t="s">
        <v>864</v>
      </c>
      <c r="F29" s="858" t="s">
        <v>872</v>
      </c>
      <c r="G29" s="600"/>
      <c r="H29" s="605"/>
      <c r="I29" s="600"/>
      <c r="J29" s="605"/>
      <c r="K29" s="856"/>
      <c r="L29" s="638"/>
      <c r="W29" s="595"/>
    </row>
    <row r="30" spans="1:23" s="1822" customFormat="1" ht="18.75" customHeight="1">
      <c r="A30" s="5406"/>
      <c r="C30" s="864"/>
      <c r="D30" s="861" t="s">
        <v>873</v>
      </c>
      <c r="E30" s="477" t="s">
        <v>874</v>
      </c>
      <c r="F30" s="858" t="s">
        <v>875</v>
      </c>
      <c r="G30" s="600"/>
      <c r="H30" s="605"/>
      <c r="I30" s="600"/>
      <c r="J30" s="605"/>
      <c r="K30" s="856"/>
      <c r="L30" s="638"/>
      <c r="W30" s="595"/>
    </row>
    <row r="31" spans="1:23" ht="126.75" customHeight="1">
      <c r="A31" s="5406"/>
      <c r="D31" s="861" t="s">
        <v>115</v>
      </c>
      <c r="E31" s="198" t="s">
        <v>876</v>
      </c>
      <c r="F31" s="580" t="s">
        <v>672</v>
      </c>
      <c r="G31" s="481"/>
      <c r="H31" s="582"/>
      <c r="I31" s="481"/>
      <c r="J31" s="582"/>
      <c r="K31" s="207" t="s">
        <v>877</v>
      </c>
      <c r="L31" s="638"/>
    </row>
    <row r="32" spans="1:23" ht="56.25" customHeight="1">
      <c r="A32" s="5406"/>
      <c r="D32" s="861" t="s">
        <v>87</v>
      </c>
      <c r="E32" s="198" t="s">
        <v>878</v>
      </c>
      <c r="F32" s="463" t="s">
        <v>848</v>
      </c>
      <c r="G32" s="481"/>
      <c r="H32" s="582"/>
      <c r="I32" s="481"/>
      <c r="J32" s="582"/>
      <c r="K32" s="207" t="s">
        <v>879</v>
      </c>
      <c r="L32" s="638"/>
    </row>
    <row r="33" spans="1:11" ht="11.25" customHeight="1">
      <c r="A33" s="5406"/>
      <c r="E33" s="584"/>
      <c r="F33" s="102"/>
      <c r="G33" s="102"/>
      <c r="H33" s="102"/>
      <c r="I33" s="102"/>
      <c r="J33" s="102"/>
      <c r="K33" s="102"/>
    </row>
    <row r="34" spans="1:11" ht="12.75" customHeight="1">
      <c r="A34" s="5406"/>
      <c r="D34" s="2">
        <v>1</v>
      </c>
      <c r="E34" s="261" t="s">
        <v>880</v>
      </c>
    </row>
    <row r="35" spans="1:11" ht="11.25" customHeight="1">
      <c r="A35" s="5406"/>
      <c r="D35" s="296"/>
      <c r="E35" s="261" t="s">
        <v>881</v>
      </c>
    </row>
    <row r="36" spans="1:11" s="1824" customFormat="1" ht="11.25" customHeight="1">
      <c r="A36" s="939"/>
      <c r="B36" s="443"/>
      <c r="D36" s="940"/>
      <c r="E36" s="941"/>
    </row>
    <row r="37" spans="1:11" s="1822" customFormat="1" ht="22.5" hidden="1" customHeight="1">
      <c r="A37" s="5406" t="s">
        <v>882</v>
      </c>
      <c r="B37" s="436"/>
      <c r="D37" s="861">
        <v>1</v>
      </c>
      <c r="E37" s="625" t="s">
        <v>883</v>
      </c>
      <c r="F37" s="580" t="s">
        <v>838</v>
      </c>
      <c r="G37" s="481"/>
      <c r="H37" s="444"/>
      <c r="I37" s="481"/>
      <c r="J37" s="444"/>
      <c r="K37" s="207" t="s">
        <v>884</v>
      </c>
    </row>
    <row r="38" spans="1:11" s="1822" customFormat="1" ht="22.5" hidden="1" customHeight="1">
      <c r="A38" s="5406"/>
      <c r="B38" s="436"/>
      <c r="D38" s="589" t="s">
        <v>98</v>
      </c>
      <c r="E38" s="938" t="s">
        <v>885</v>
      </c>
      <c r="F38" s="942" t="s">
        <v>660</v>
      </c>
      <c r="G38" s="942" t="s">
        <v>660</v>
      </c>
      <c r="H38" s="936"/>
      <c r="I38" s="942" t="s">
        <v>660</v>
      </c>
      <c r="J38" s="936"/>
      <c r="K38" s="937"/>
    </row>
    <row r="39" spans="1:11" s="1822" customFormat="1" ht="33.75" hidden="1" customHeight="1">
      <c r="A39" s="5406"/>
      <c r="B39" s="436"/>
      <c r="D39" s="585" t="s">
        <v>739</v>
      </c>
      <c r="E39" s="641" t="s">
        <v>886</v>
      </c>
      <c r="F39" s="580" t="s">
        <v>887</v>
      </c>
      <c r="G39" s="588"/>
      <c r="H39" s="929"/>
      <c r="I39" s="588"/>
      <c r="J39" s="929"/>
      <c r="K39" s="207" t="s">
        <v>888</v>
      </c>
    </row>
    <row r="40" spans="1:11" s="1822" customFormat="1" ht="33.75" hidden="1" customHeight="1">
      <c r="A40" s="5406"/>
      <c r="B40" s="436"/>
      <c r="D40" s="585" t="s">
        <v>742</v>
      </c>
      <c r="E40" s="641" t="s">
        <v>889</v>
      </c>
      <c r="F40" s="933" t="s">
        <v>890</v>
      </c>
      <c r="G40" s="658"/>
      <c r="H40" s="929"/>
      <c r="I40" s="658"/>
      <c r="J40" s="929"/>
      <c r="K40" s="207" t="s">
        <v>891</v>
      </c>
    </row>
    <row r="41" spans="1:11" s="1822" customFormat="1" ht="22.5" hidden="1" customHeight="1">
      <c r="A41" s="5406"/>
      <c r="B41" s="436"/>
      <c r="D41" s="585" t="s">
        <v>85</v>
      </c>
      <c r="E41" s="640" t="s">
        <v>892</v>
      </c>
      <c r="F41" s="580" t="s">
        <v>660</v>
      </c>
      <c r="G41" s="580" t="s">
        <v>660</v>
      </c>
      <c r="H41" s="930"/>
      <c r="I41" s="580" t="s">
        <v>660</v>
      </c>
      <c r="J41" s="930"/>
      <c r="K41" s="220"/>
    </row>
    <row r="42" spans="1:11" s="1822" customFormat="1" ht="45" hidden="1" customHeight="1">
      <c r="A42" s="5406"/>
      <c r="B42" s="436"/>
      <c r="D42" s="585" t="s">
        <v>443</v>
      </c>
      <c r="E42" s="641" t="s">
        <v>893</v>
      </c>
      <c r="F42" s="580" t="s">
        <v>672</v>
      </c>
      <c r="G42" s="481"/>
      <c r="H42" s="930"/>
      <c r="I42" s="481"/>
      <c r="J42" s="930"/>
      <c r="K42" s="220" t="s">
        <v>894</v>
      </c>
    </row>
    <row r="43" spans="1:11" s="1822" customFormat="1" ht="45" hidden="1" customHeight="1">
      <c r="A43" s="5406"/>
      <c r="B43" s="436"/>
      <c r="D43" s="585" t="s">
        <v>451</v>
      </c>
      <c r="E43" s="587" t="s">
        <v>895</v>
      </c>
      <c r="F43" s="934" t="s">
        <v>672</v>
      </c>
      <c r="G43" s="659"/>
      <c r="H43" s="929"/>
      <c r="I43" s="659"/>
      <c r="J43" s="929"/>
      <c r="K43" s="220" t="s">
        <v>896</v>
      </c>
    </row>
    <row r="44" spans="1:11" s="1822" customFormat="1" ht="11.25" hidden="1" customHeight="1">
      <c r="A44" s="5406"/>
      <c r="B44" s="436"/>
      <c r="D44" s="585" t="s">
        <v>86</v>
      </c>
      <c r="E44" s="586" t="s">
        <v>897</v>
      </c>
      <c r="F44" s="580" t="s">
        <v>887</v>
      </c>
      <c r="G44" s="588"/>
      <c r="H44" s="929"/>
      <c r="I44" s="588"/>
      <c r="J44" s="929"/>
      <c r="K44" s="207"/>
    </row>
    <row r="45" spans="1:11" s="1822" customFormat="1" ht="11.25" hidden="1" customHeight="1">
      <c r="A45" s="5406"/>
      <c r="B45" s="436"/>
      <c r="D45" s="585" t="s">
        <v>781</v>
      </c>
      <c r="E45" s="587" t="s">
        <v>898</v>
      </c>
      <c r="F45" s="580" t="s">
        <v>887</v>
      </c>
      <c r="G45" s="588"/>
      <c r="H45" s="929"/>
      <c r="I45" s="588"/>
      <c r="J45" s="929"/>
      <c r="K45" s="207"/>
    </row>
    <row r="46" spans="1:11" s="1822" customFormat="1" ht="11.25" hidden="1" customHeight="1">
      <c r="A46" s="5406"/>
      <c r="B46" s="436"/>
      <c r="D46" s="585" t="s">
        <v>824</v>
      </c>
      <c r="E46" s="587" t="s">
        <v>899</v>
      </c>
      <c r="F46" s="580" t="s">
        <v>887</v>
      </c>
      <c r="G46" s="588"/>
      <c r="H46" s="929"/>
      <c r="I46" s="588"/>
      <c r="J46" s="929"/>
      <c r="K46" s="207"/>
    </row>
    <row r="47" spans="1:11" s="1822" customFormat="1" ht="11.25" hidden="1" customHeight="1">
      <c r="A47" s="5406"/>
      <c r="B47" s="436"/>
      <c r="D47" s="585" t="s">
        <v>827</v>
      </c>
      <c r="E47" s="587" t="s">
        <v>900</v>
      </c>
      <c r="F47" s="580" t="s">
        <v>887</v>
      </c>
      <c r="G47" s="588"/>
      <c r="H47" s="929"/>
      <c r="I47" s="588"/>
      <c r="J47" s="929"/>
      <c r="K47" s="207"/>
    </row>
    <row r="48" spans="1:11" s="1822" customFormat="1" ht="11.25" hidden="1" customHeight="1">
      <c r="A48" s="5406"/>
      <c r="B48" s="436"/>
      <c r="D48" s="585" t="s">
        <v>901</v>
      </c>
      <c r="E48" s="591" t="s">
        <v>902</v>
      </c>
      <c r="F48" s="580" t="s">
        <v>887</v>
      </c>
      <c r="G48" s="588"/>
      <c r="H48" s="929"/>
      <c r="I48" s="588"/>
      <c r="J48" s="929"/>
      <c r="K48" s="207"/>
    </row>
    <row r="49" spans="1:11" s="1822" customFormat="1" ht="11.25" hidden="1" customHeight="1">
      <c r="A49" s="5406"/>
      <c r="B49" s="436"/>
      <c r="D49" s="585" t="s">
        <v>903</v>
      </c>
      <c r="E49" s="591" t="s">
        <v>904</v>
      </c>
      <c r="F49" s="580" t="s">
        <v>887</v>
      </c>
      <c r="G49" s="588"/>
      <c r="H49" s="929"/>
      <c r="I49" s="588"/>
      <c r="J49" s="929"/>
      <c r="K49" s="207"/>
    </row>
    <row r="50" spans="1:11" s="1822" customFormat="1" ht="11.25" hidden="1" customHeight="1">
      <c r="A50" s="5406"/>
      <c r="B50" s="436"/>
      <c r="D50" s="585" t="s">
        <v>905</v>
      </c>
      <c r="E50" s="587" t="s">
        <v>906</v>
      </c>
      <c r="F50" s="580" t="s">
        <v>887</v>
      </c>
      <c r="G50" s="588"/>
      <c r="H50" s="929"/>
      <c r="I50" s="588"/>
      <c r="J50" s="929"/>
      <c r="K50" s="207"/>
    </row>
    <row r="51" spans="1:11" s="1822" customFormat="1" ht="11.25" hidden="1" customHeight="1">
      <c r="A51" s="5406"/>
      <c r="B51" s="436"/>
      <c r="D51" s="585" t="s">
        <v>907</v>
      </c>
      <c r="E51" s="587" t="s">
        <v>908</v>
      </c>
      <c r="F51" s="580" t="s">
        <v>887</v>
      </c>
      <c r="G51" s="588"/>
      <c r="H51" s="929"/>
      <c r="I51" s="588"/>
      <c r="J51" s="929"/>
      <c r="K51" s="207"/>
    </row>
    <row r="52" spans="1:11" s="1822" customFormat="1" ht="45" hidden="1" customHeight="1">
      <c r="A52" s="5406"/>
      <c r="B52" s="436"/>
      <c r="D52" s="585" t="s">
        <v>115</v>
      </c>
      <c r="E52" s="586" t="s">
        <v>909</v>
      </c>
      <c r="F52" s="580" t="s">
        <v>887</v>
      </c>
      <c r="G52" s="588"/>
      <c r="H52" s="929"/>
      <c r="I52" s="588"/>
      <c r="J52" s="929"/>
      <c r="K52" s="207"/>
    </row>
    <row r="53" spans="1:11" s="1822" customFormat="1" ht="11.25" hidden="1" customHeight="1">
      <c r="A53" s="5406"/>
      <c r="B53" s="436"/>
      <c r="D53" s="585" t="s">
        <v>432</v>
      </c>
      <c r="E53" s="587" t="s">
        <v>898</v>
      </c>
      <c r="F53" s="580" t="s">
        <v>887</v>
      </c>
      <c r="G53" s="588"/>
      <c r="H53" s="929"/>
      <c r="I53" s="588"/>
      <c r="J53" s="929"/>
      <c r="K53" s="207"/>
    </row>
    <row r="54" spans="1:11" s="1822" customFormat="1" ht="11.25" hidden="1" customHeight="1">
      <c r="A54" s="5406"/>
      <c r="B54" s="436"/>
      <c r="D54" s="585" t="s">
        <v>434</v>
      </c>
      <c r="E54" s="587" t="s">
        <v>899</v>
      </c>
      <c r="F54" s="580" t="s">
        <v>887</v>
      </c>
      <c r="G54" s="588"/>
      <c r="H54" s="929"/>
      <c r="I54" s="588"/>
      <c r="J54" s="929"/>
      <c r="K54" s="207"/>
    </row>
    <row r="55" spans="1:11" s="1822" customFormat="1" ht="11.25" hidden="1" customHeight="1">
      <c r="A55" s="5406"/>
      <c r="B55" s="436"/>
      <c r="D55" s="585" t="s">
        <v>437</v>
      </c>
      <c r="E55" s="587" t="s">
        <v>900</v>
      </c>
      <c r="F55" s="580" t="s">
        <v>887</v>
      </c>
      <c r="G55" s="588"/>
      <c r="H55" s="929"/>
      <c r="I55" s="588"/>
      <c r="J55" s="929"/>
      <c r="K55" s="207"/>
    </row>
    <row r="56" spans="1:11" s="1822" customFormat="1" ht="11.25" hidden="1" customHeight="1">
      <c r="A56" s="5406"/>
      <c r="B56" s="436"/>
      <c r="D56" s="585" t="s">
        <v>910</v>
      </c>
      <c r="E56" s="591" t="s">
        <v>902</v>
      </c>
      <c r="F56" s="580" t="s">
        <v>887</v>
      </c>
      <c r="G56" s="588"/>
      <c r="H56" s="929"/>
      <c r="I56" s="588"/>
      <c r="J56" s="929"/>
      <c r="K56" s="207"/>
    </row>
    <row r="57" spans="1:11" s="1822" customFormat="1" ht="11.25" hidden="1" customHeight="1">
      <c r="A57" s="5406"/>
      <c r="B57" s="436"/>
      <c r="D57" s="585" t="s">
        <v>911</v>
      </c>
      <c r="E57" s="591" t="s">
        <v>904</v>
      </c>
      <c r="F57" s="580" t="s">
        <v>887</v>
      </c>
      <c r="G57" s="588"/>
      <c r="H57" s="929"/>
      <c r="I57" s="588"/>
      <c r="J57" s="929"/>
      <c r="K57" s="207"/>
    </row>
    <row r="58" spans="1:11" s="1822" customFormat="1" ht="11.25" hidden="1" customHeight="1">
      <c r="A58" s="5406"/>
      <c r="B58" s="436"/>
      <c r="D58" s="585" t="s">
        <v>439</v>
      </c>
      <c r="E58" s="587" t="s">
        <v>906</v>
      </c>
      <c r="F58" s="580" t="s">
        <v>887</v>
      </c>
      <c r="G58" s="588"/>
      <c r="H58" s="929"/>
      <c r="I58" s="588"/>
      <c r="J58" s="929"/>
      <c r="K58" s="207"/>
    </row>
    <row r="59" spans="1:11" s="1822" customFormat="1" ht="11.25" hidden="1" customHeight="1">
      <c r="A59" s="5406"/>
      <c r="B59" s="436"/>
      <c r="D59" s="585" t="s">
        <v>912</v>
      </c>
      <c r="E59" s="587" t="s">
        <v>908</v>
      </c>
      <c r="F59" s="580" t="s">
        <v>887</v>
      </c>
      <c r="G59" s="588"/>
      <c r="H59" s="929"/>
      <c r="I59" s="588"/>
      <c r="J59" s="929"/>
      <c r="K59" s="207"/>
    </row>
    <row r="60" spans="1:11" s="1822" customFormat="1" ht="33.75" hidden="1" customHeight="1">
      <c r="A60" s="5406"/>
      <c r="B60" s="436"/>
      <c r="D60" s="585" t="s">
        <v>87</v>
      </c>
      <c r="E60" s="586" t="s">
        <v>913</v>
      </c>
      <c r="F60" s="639" t="s">
        <v>672</v>
      </c>
      <c r="G60" s="659"/>
      <c r="H60" s="929"/>
      <c r="I60" s="659"/>
      <c r="J60" s="929"/>
      <c r="K60" s="220" t="s">
        <v>914</v>
      </c>
    </row>
    <row r="61" spans="1:11" s="1822" customFormat="1" ht="33.75" hidden="1" customHeight="1">
      <c r="A61" s="5406"/>
      <c r="B61" s="436"/>
      <c r="D61" s="585" t="s">
        <v>88</v>
      </c>
      <c r="E61" s="586" t="s">
        <v>915</v>
      </c>
      <c r="F61" s="644" t="s">
        <v>848</v>
      </c>
      <c r="G61" s="588"/>
      <c r="H61" s="929"/>
      <c r="I61" s="588"/>
      <c r="J61" s="929"/>
      <c r="K61" s="207"/>
    </row>
    <row r="62" spans="1:11" s="1822" customFormat="1" ht="22.5" hidden="1" customHeight="1">
      <c r="A62" s="5406"/>
      <c r="B62" s="436" t="s">
        <v>702</v>
      </c>
      <c r="D62" s="585" t="s">
        <v>116</v>
      </c>
      <c r="E62" s="586" t="s">
        <v>916</v>
      </c>
      <c r="F62" s="644" t="s">
        <v>423</v>
      </c>
      <c r="G62" s="315"/>
      <c r="H62" s="929"/>
      <c r="I62" s="315"/>
      <c r="J62" s="929"/>
      <c r="K62" s="207" t="s">
        <v>917</v>
      </c>
    </row>
    <row r="63" spans="1:11" s="1822" customFormat="1" ht="45" hidden="1" customHeight="1">
      <c r="A63" s="5406"/>
      <c r="B63" s="436" t="s">
        <v>702</v>
      </c>
      <c r="D63" s="585" t="s">
        <v>918</v>
      </c>
      <c r="E63" s="587" t="s">
        <v>919</v>
      </c>
      <c r="F63" s="639" t="s">
        <v>423</v>
      </c>
      <c r="G63" s="315"/>
      <c r="H63" s="929"/>
      <c r="I63" s="315"/>
      <c r="J63" s="929"/>
      <c r="K63" s="207" t="s">
        <v>917</v>
      </c>
    </row>
    <row r="64" spans="1:11" s="1824" customFormat="1" ht="11.25" customHeight="1">
      <c r="A64" s="939"/>
      <c r="B64" s="443"/>
      <c r="D64" s="940"/>
      <c r="E64" s="941"/>
    </row>
    <row r="65" spans="1:11" s="1822" customFormat="1" ht="22.5" hidden="1" customHeight="1">
      <c r="A65" s="5406" t="s">
        <v>920</v>
      </c>
      <c r="B65" s="436"/>
      <c r="D65" s="585">
        <v>1</v>
      </c>
      <c r="E65" s="661" t="s">
        <v>921</v>
      </c>
      <c r="F65" s="657" t="s">
        <v>838</v>
      </c>
      <c r="G65" s="658"/>
      <c r="H65" s="935"/>
      <c r="I65" s="658"/>
      <c r="J65" s="935"/>
      <c r="K65" s="219" t="s">
        <v>922</v>
      </c>
    </row>
    <row r="66" spans="1:11" s="1822" customFormat="1" ht="56.25" hidden="1" customHeight="1">
      <c r="A66" s="5406"/>
      <c r="B66" s="436"/>
      <c r="D66" s="660" t="s">
        <v>98</v>
      </c>
      <c r="E66" s="625" t="s">
        <v>923</v>
      </c>
      <c r="F66" s="580" t="s">
        <v>660</v>
      </c>
      <c r="G66" s="580" t="s">
        <v>660</v>
      </c>
      <c r="H66" s="444"/>
      <c r="I66" s="580" t="s">
        <v>660</v>
      </c>
      <c r="J66" s="444"/>
      <c r="K66" s="207"/>
    </row>
    <row r="67" spans="1:11" s="1822" customFormat="1" ht="33.75" hidden="1" customHeight="1">
      <c r="A67" s="5406"/>
      <c r="B67" s="436"/>
      <c r="D67" s="660" t="s">
        <v>736</v>
      </c>
      <c r="E67" s="862" t="s">
        <v>924</v>
      </c>
      <c r="F67" s="580" t="s">
        <v>890</v>
      </c>
      <c r="G67" s="645"/>
      <c r="H67" s="444"/>
      <c r="I67" s="645"/>
      <c r="J67" s="444"/>
      <c r="K67" s="207"/>
    </row>
    <row r="68" spans="1:11" s="1822" customFormat="1" ht="22.5" hidden="1" customHeight="1">
      <c r="A68" s="5406"/>
      <c r="B68" s="436"/>
      <c r="D68" s="660" t="s">
        <v>424</v>
      </c>
      <c r="E68" s="862" t="s">
        <v>925</v>
      </c>
      <c r="F68" s="580" t="s">
        <v>890</v>
      </c>
      <c r="G68" s="645"/>
      <c r="H68" s="444"/>
      <c r="I68" s="645"/>
      <c r="J68" s="444"/>
      <c r="K68" s="207"/>
    </row>
    <row r="69" spans="1:11" s="1822" customFormat="1" ht="22.5" hidden="1" customHeight="1">
      <c r="A69" s="5406"/>
      <c r="B69" s="436"/>
      <c r="D69" s="660" t="s">
        <v>427</v>
      </c>
      <c r="E69" s="862" t="s">
        <v>926</v>
      </c>
      <c r="F69" s="639" t="s">
        <v>672</v>
      </c>
      <c r="G69" s="659"/>
      <c r="H69" s="444"/>
      <c r="I69" s="659"/>
      <c r="J69" s="444"/>
      <c r="K69" s="207"/>
    </row>
    <row r="70" spans="1:11" s="1822" customFormat="1" ht="22.5" hidden="1" customHeight="1">
      <c r="A70" s="5406"/>
      <c r="B70" s="436"/>
      <c r="D70" s="660" t="s">
        <v>756</v>
      </c>
      <c r="E70" s="862" t="s">
        <v>927</v>
      </c>
      <c r="F70" s="639" t="s">
        <v>672</v>
      </c>
      <c r="G70" s="659"/>
      <c r="H70" s="444"/>
      <c r="I70" s="659"/>
      <c r="J70" s="444"/>
      <c r="K70" s="207"/>
    </row>
    <row r="71" spans="1:11" s="1822" customFormat="1" ht="22.5" hidden="1" customHeight="1">
      <c r="A71" s="5406"/>
      <c r="B71" s="436"/>
      <c r="D71" s="585" t="s">
        <v>85</v>
      </c>
      <c r="E71" s="586" t="s">
        <v>928</v>
      </c>
      <c r="F71" s="580" t="s">
        <v>890</v>
      </c>
      <c r="G71" s="481"/>
      <c r="H71" s="936"/>
      <c r="I71" s="481"/>
      <c r="J71" s="936"/>
      <c r="K71" s="220"/>
    </row>
    <row r="72" spans="1:11" s="1822" customFormat="1" ht="56.25" hidden="1" customHeight="1">
      <c r="A72" s="5406"/>
      <c r="B72" s="436"/>
      <c r="D72" s="585" t="s">
        <v>86</v>
      </c>
      <c r="E72" s="586" t="s">
        <v>929</v>
      </c>
      <c r="F72" s="639" t="s">
        <v>672</v>
      </c>
      <c r="G72" s="659"/>
      <c r="H72" s="929"/>
      <c r="I72" s="659"/>
      <c r="J72" s="929"/>
      <c r="K72" s="220"/>
    </row>
    <row r="73" spans="1:11" s="1822" customFormat="1" ht="33.75" hidden="1" customHeight="1">
      <c r="A73" s="5406"/>
      <c r="B73" s="436"/>
      <c r="D73" s="585" t="s">
        <v>115</v>
      </c>
      <c r="E73" s="586" t="s">
        <v>930</v>
      </c>
      <c r="F73" s="644" t="s">
        <v>848</v>
      </c>
      <c r="G73" s="588"/>
      <c r="H73" s="929"/>
      <c r="I73" s="588"/>
      <c r="J73" s="929"/>
      <c r="K73" s="207"/>
    </row>
    <row r="74" spans="1:11" s="1822" customFormat="1" ht="22.5" hidden="1" customHeight="1">
      <c r="A74" s="5406"/>
      <c r="B74" s="436" t="s">
        <v>702</v>
      </c>
      <c r="D74" s="585" t="s">
        <v>87</v>
      </c>
      <c r="E74" s="586" t="s">
        <v>931</v>
      </c>
      <c r="F74" s="644" t="s">
        <v>423</v>
      </c>
      <c r="G74" s="315"/>
      <c r="H74" s="929"/>
      <c r="I74" s="315"/>
      <c r="J74" s="929"/>
      <c r="K74" s="207" t="s">
        <v>917</v>
      </c>
    </row>
    <row r="75" spans="1:11" s="1822" customFormat="1" ht="45" hidden="1" customHeight="1">
      <c r="A75" s="5406"/>
      <c r="B75" s="436" t="s">
        <v>702</v>
      </c>
      <c r="D75" s="585" t="s">
        <v>932</v>
      </c>
      <c r="E75" s="587" t="s">
        <v>933</v>
      </c>
      <c r="F75" s="639" t="s">
        <v>423</v>
      </c>
      <c r="G75" s="315"/>
      <c r="H75" s="929"/>
      <c r="I75" s="315"/>
      <c r="J75" s="929"/>
      <c r="K75" s="207" t="s">
        <v>917</v>
      </c>
    </row>
    <row r="76" spans="1:11" s="1824" customFormat="1" ht="11.25" customHeight="1">
      <c r="A76" s="939"/>
      <c r="B76" s="443"/>
      <c r="D76" s="940"/>
      <c r="E76" s="941"/>
    </row>
    <row r="77" spans="1:11" s="1822" customFormat="1" ht="11.25" hidden="1" customHeight="1">
      <c r="A77" s="5406" t="s">
        <v>934</v>
      </c>
      <c r="B77" s="436"/>
      <c r="D77" s="585">
        <v>1</v>
      </c>
      <c r="E77" s="586" t="s">
        <v>935</v>
      </c>
      <c r="F77" s="639" t="s">
        <v>838</v>
      </c>
      <c r="G77" s="642"/>
      <c r="H77" s="929"/>
      <c r="I77" s="642"/>
      <c r="J77" s="929"/>
      <c r="K77" s="207" t="s">
        <v>936</v>
      </c>
    </row>
    <row r="78" spans="1:11" s="1822" customFormat="1" ht="11.25" hidden="1" customHeight="1">
      <c r="A78" s="5406"/>
      <c r="B78" s="436"/>
      <c r="D78" s="585" t="s">
        <v>98</v>
      </c>
      <c r="E78" s="586" t="s">
        <v>937</v>
      </c>
      <c r="F78" s="639" t="s">
        <v>838</v>
      </c>
      <c r="G78" s="642"/>
      <c r="H78" s="929"/>
      <c r="I78" s="642"/>
      <c r="J78" s="929"/>
      <c r="K78" s="207" t="s">
        <v>938</v>
      </c>
    </row>
    <row r="79" spans="1:11" s="1822" customFormat="1" ht="22.5" hidden="1" customHeight="1">
      <c r="A79" s="5406"/>
      <c r="B79" s="436"/>
      <c r="D79" s="585" t="s">
        <v>85</v>
      </c>
      <c r="E79" s="640" t="s">
        <v>939</v>
      </c>
      <c r="F79" s="580" t="s">
        <v>887</v>
      </c>
      <c r="G79" s="642"/>
      <c r="H79" s="929"/>
      <c r="I79" s="642"/>
      <c r="J79" s="929"/>
      <c r="K79" s="207" t="s">
        <v>940</v>
      </c>
    </row>
    <row r="80" spans="1:11" s="1822" customFormat="1" ht="11.25" hidden="1" customHeight="1">
      <c r="A80" s="5406"/>
      <c r="B80" s="436"/>
      <c r="D80" s="585" t="s">
        <v>443</v>
      </c>
      <c r="E80" s="641" t="s">
        <v>941</v>
      </c>
      <c r="F80" s="580" t="s">
        <v>887</v>
      </c>
      <c r="G80" s="642"/>
      <c r="H80" s="929"/>
      <c r="I80" s="642"/>
      <c r="J80" s="929"/>
      <c r="K80" s="207"/>
    </row>
    <row r="81" spans="1:11" s="1822" customFormat="1" ht="11.25" hidden="1" customHeight="1">
      <c r="A81" s="5406"/>
      <c r="B81" s="436"/>
      <c r="D81" s="585" t="s">
        <v>451</v>
      </c>
      <c r="E81" s="641" t="s">
        <v>942</v>
      </c>
      <c r="F81" s="580" t="s">
        <v>887</v>
      </c>
      <c r="G81" s="642"/>
      <c r="H81" s="929"/>
      <c r="I81" s="642"/>
      <c r="J81" s="929"/>
      <c r="K81" s="207"/>
    </row>
    <row r="82" spans="1:11" s="1822" customFormat="1" ht="11.25" hidden="1" customHeight="1">
      <c r="A82" s="5406"/>
      <c r="B82" s="436"/>
      <c r="D82" s="585" t="s">
        <v>453</v>
      </c>
      <c r="E82" s="641" t="s">
        <v>943</v>
      </c>
      <c r="F82" s="580" t="s">
        <v>887</v>
      </c>
      <c r="G82" s="642"/>
      <c r="H82" s="929"/>
      <c r="I82" s="642"/>
      <c r="J82" s="929"/>
      <c r="K82" s="207"/>
    </row>
    <row r="83" spans="1:11" s="1822" customFormat="1" ht="11.25" hidden="1" customHeight="1">
      <c r="A83" s="5406"/>
      <c r="B83" s="436"/>
      <c r="D83" s="585" t="s">
        <v>455</v>
      </c>
      <c r="E83" s="641" t="s">
        <v>944</v>
      </c>
      <c r="F83" s="580" t="s">
        <v>887</v>
      </c>
      <c r="G83" s="642"/>
      <c r="H83" s="929"/>
      <c r="I83" s="642"/>
      <c r="J83" s="929"/>
      <c r="K83" s="207"/>
    </row>
    <row r="84" spans="1:11" s="1822" customFormat="1" ht="11.25" hidden="1" customHeight="1">
      <c r="A84" s="5406"/>
      <c r="B84" s="436"/>
      <c r="D84" s="585" t="s">
        <v>945</v>
      </c>
      <c r="E84" s="641" t="s">
        <v>946</v>
      </c>
      <c r="F84" s="580" t="s">
        <v>887</v>
      </c>
      <c r="G84" s="642"/>
      <c r="H84" s="929"/>
      <c r="I84" s="642"/>
      <c r="J84" s="929"/>
      <c r="K84" s="207"/>
    </row>
    <row r="85" spans="1:11" s="1822" customFormat="1" ht="11.25" hidden="1" customHeight="1">
      <c r="A85" s="5406"/>
      <c r="B85" s="436"/>
      <c r="D85" s="585" t="s">
        <v>947</v>
      </c>
      <c r="E85" s="641" t="s">
        <v>948</v>
      </c>
      <c r="F85" s="580" t="s">
        <v>887</v>
      </c>
      <c r="G85" s="642"/>
      <c r="H85" s="929"/>
      <c r="I85" s="642"/>
      <c r="J85" s="929"/>
      <c r="K85" s="207"/>
    </row>
    <row r="86" spans="1:11" s="1822" customFormat="1" ht="11.25" hidden="1" customHeight="1">
      <c r="A86" s="5406"/>
      <c r="B86" s="436"/>
      <c r="D86" s="585" t="s">
        <v>949</v>
      </c>
      <c r="E86" s="641" t="s">
        <v>950</v>
      </c>
      <c r="F86" s="580" t="s">
        <v>887</v>
      </c>
      <c r="G86" s="642"/>
      <c r="H86" s="929"/>
      <c r="I86" s="642"/>
      <c r="J86" s="929"/>
      <c r="K86" s="207"/>
    </row>
    <row r="87" spans="1:11" s="1822" customFormat="1" ht="45" hidden="1" customHeight="1">
      <c r="A87" s="5406"/>
      <c r="B87" s="436"/>
      <c r="D87" s="585" t="s">
        <v>86</v>
      </c>
      <c r="E87" s="586" t="s">
        <v>951</v>
      </c>
      <c r="F87" s="580" t="s">
        <v>887</v>
      </c>
      <c r="G87" s="642"/>
      <c r="H87" s="929"/>
      <c r="I87" s="642"/>
      <c r="J87" s="929"/>
      <c r="K87" s="207" t="s">
        <v>952</v>
      </c>
    </row>
    <row r="88" spans="1:11" s="1822" customFormat="1" ht="11.25" hidden="1" customHeight="1">
      <c r="A88" s="5406"/>
      <c r="B88" s="436"/>
      <c r="D88" s="585" t="s">
        <v>781</v>
      </c>
      <c r="E88" s="641" t="s">
        <v>941</v>
      </c>
      <c r="F88" s="580" t="s">
        <v>887</v>
      </c>
      <c r="G88" s="642"/>
      <c r="H88" s="929"/>
      <c r="I88" s="642"/>
      <c r="J88" s="929"/>
      <c r="K88" s="207"/>
    </row>
    <row r="89" spans="1:11" s="1822" customFormat="1" ht="11.25" hidden="1" customHeight="1">
      <c r="A89" s="5406"/>
      <c r="B89" s="436"/>
      <c r="D89" s="585" t="s">
        <v>824</v>
      </c>
      <c r="E89" s="641" t="s">
        <v>942</v>
      </c>
      <c r="F89" s="580" t="s">
        <v>887</v>
      </c>
      <c r="G89" s="642"/>
      <c r="H89" s="929"/>
      <c r="I89" s="642"/>
      <c r="J89" s="929"/>
      <c r="K89" s="207"/>
    </row>
    <row r="90" spans="1:11" s="1822" customFormat="1" ht="11.25" hidden="1" customHeight="1">
      <c r="A90" s="5406"/>
      <c r="B90" s="436"/>
      <c r="D90" s="585" t="s">
        <v>827</v>
      </c>
      <c r="E90" s="641" t="s">
        <v>943</v>
      </c>
      <c r="F90" s="580" t="s">
        <v>887</v>
      </c>
      <c r="G90" s="642"/>
      <c r="H90" s="929"/>
      <c r="I90" s="642"/>
      <c r="J90" s="929"/>
      <c r="K90" s="207"/>
    </row>
    <row r="91" spans="1:11" s="1822" customFormat="1" ht="11.25" hidden="1" customHeight="1">
      <c r="A91" s="5406"/>
      <c r="B91" s="436"/>
      <c r="D91" s="585" t="s">
        <v>905</v>
      </c>
      <c r="E91" s="641" t="s">
        <v>944</v>
      </c>
      <c r="F91" s="580" t="s">
        <v>887</v>
      </c>
      <c r="G91" s="642"/>
      <c r="H91" s="929"/>
      <c r="I91" s="642"/>
      <c r="J91" s="929"/>
      <c r="K91" s="207"/>
    </row>
    <row r="92" spans="1:11" s="1822" customFormat="1" ht="11.25" hidden="1" customHeight="1">
      <c r="A92" s="5406"/>
      <c r="B92" s="436"/>
      <c r="D92" s="585" t="s">
        <v>907</v>
      </c>
      <c r="E92" s="641" t="s">
        <v>946</v>
      </c>
      <c r="F92" s="580" t="s">
        <v>887</v>
      </c>
      <c r="G92" s="642"/>
      <c r="H92" s="929"/>
      <c r="I92" s="642"/>
      <c r="J92" s="929"/>
      <c r="K92" s="207"/>
    </row>
    <row r="93" spans="1:11" s="1822" customFormat="1" ht="11.25" hidden="1" customHeight="1">
      <c r="A93" s="5406"/>
      <c r="B93" s="436"/>
      <c r="D93" s="585" t="s">
        <v>953</v>
      </c>
      <c r="E93" s="641" t="s">
        <v>948</v>
      </c>
      <c r="F93" s="580" t="s">
        <v>887</v>
      </c>
      <c r="G93" s="642"/>
      <c r="H93" s="929"/>
      <c r="I93" s="642"/>
      <c r="J93" s="929"/>
      <c r="K93" s="207"/>
    </row>
    <row r="94" spans="1:11" s="1822" customFormat="1" ht="11.25" hidden="1" customHeight="1">
      <c r="A94" s="5406"/>
      <c r="B94" s="436"/>
      <c r="D94" s="585" t="s">
        <v>954</v>
      </c>
      <c r="E94" s="641" t="s">
        <v>950</v>
      </c>
      <c r="F94" s="580" t="s">
        <v>887</v>
      </c>
      <c r="G94" s="642"/>
      <c r="H94" s="929"/>
      <c r="I94" s="642"/>
      <c r="J94" s="929"/>
      <c r="K94" s="207"/>
    </row>
    <row r="95" spans="1:11" s="1822" customFormat="1" ht="24.75" hidden="1" customHeight="1">
      <c r="A95" s="5406"/>
      <c r="B95" s="436"/>
      <c r="D95" s="585" t="s">
        <v>115</v>
      </c>
      <c r="E95" s="586" t="s">
        <v>955</v>
      </c>
      <c r="F95" s="643" t="s">
        <v>672</v>
      </c>
      <c r="G95" s="645"/>
      <c r="H95" s="929"/>
      <c r="I95" s="645"/>
      <c r="J95" s="929"/>
      <c r="K95" s="207" t="s">
        <v>956</v>
      </c>
    </row>
    <row r="96" spans="1:11" s="1822" customFormat="1" ht="33.75" hidden="1" customHeight="1">
      <c r="A96" s="5406"/>
      <c r="B96" s="436"/>
      <c r="D96" s="585" t="s">
        <v>87</v>
      </c>
      <c r="E96" s="586" t="s">
        <v>957</v>
      </c>
      <c r="F96" s="644" t="s">
        <v>848</v>
      </c>
      <c r="G96" s="646"/>
      <c r="H96" s="929"/>
      <c r="I96" s="646"/>
      <c r="J96" s="929"/>
      <c r="K96" s="207"/>
    </row>
    <row r="97" spans="1:11" s="1822" customFormat="1" ht="22.5" hidden="1" customHeight="1">
      <c r="A97" s="5406"/>
      <c r="B97" s="436" t="s">
        <v>702</v>
      </c>
      <c r="D97" s="585" t="s">
        <v>88</v>
      </c>
      <c r="E97" s="586" t="s">
        <v>958</v>
      </c>
      <c r="F97" s="644" t="s">
        <v>423</v>
      </c>
      <c r="G97" s="318"/>
      <c r="H97" s="929"/>
      <c r="I97" s="318"/>
      <c r="J97" s="929"/>
      <c r="K97" s="207" t="s">
        <v>917</v>
      </c>
    </row>
    <row r="98" spans="1:11" s="1822" customFormat="1" ht="45" hidden="1" customHeight="1">
      <c r="A98" s="5406"/>
      <c r="B98" s="436" t="s">
        <v>702</v>
      </c>
      <c r="D98" s="585" t="s">
        <v>959</v>
      </c>
      <c r="E98" s="587" t="s">
        <v>960</v>
      </c>
      <c r="F98" s="639" t="s">
        <v>423</v>
      </c>
      <c r="G98" s="318"/>
      <c r="H98" s="929"/>
      <c r="I98" s="318"/>
      <c r="J98" s="929"/>
      <c r="K98" s="207" t="s">
        <v>917</v>
      </c>
    </row>
    <row r="99" spans="1:11" s="1822" customFormat="1" ht="95.25" hidden="1" customHeight="1">
      <c r="A99" s="5406"/>
      <c r="B99" s="436" t="s">
        <v>702</v>
      </c>
      <c r="D99" s="585" t="s">
        <v>116</v>
      </c>
      <c r="E99" s="586" t="s">
        <v>961</v>
      </c>
      <c r="F99" s="639" t="s">
        <v>423</v>
      </c>
      <c r="G99" s="318"/>
      <c r="H99" s="929"/>
      <c r="I99" s="318"/>
      <c r="J99" s="929"/>
      <c r="K99" s="207" t="s">
        <v>917</v>
      </c>
    </row>
    <row r="100" spans="1:11" s="1822" customFormat="1" ht="22.5" hidden="1" customHeight="1">
      <c r="A100" s="5406"/>
      <c r="B100" s="436" t="s">
        <v>702</v>
      </c>
      <c r="D100" s="585" t="s">
        <v>152</v>
      </c>
      <c r="E100" s="586" t="s">
        <v>962</v>
      </c>
      <c r="F100" s="639" t="s">
        <v>423</v>
      </c>
      <c r="G100" s="318"/>
      <c r="H100" s="929"/>
      <c r="I100" s="318"/>
      <c r="J100" s="929"/>
      <c r="K100" s="207" t="s">
        <v>917</v>
      </c>
    </row>
    <row r="101" spans="1:11" s="1824"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28" hidden="1" customWidth="1"/>
    <col min="2" max="2" width="9.140625" style="2130" hidden="1" customWidth="1"/>
    <col min="3" max="3" width="4.7109375" style="4603" customWidth="1"/>
    <col min="4" max="4" width="6.28515625" style="2130" customWidth="1"/>
    <col min="5" max="5" width="36.7109375" style="2130" customWidth="1"/>
    <col min="6" max="6" width="9.5703125" style="2130" customWidth="1"/>
    <col min="7" max="7" width="25.7109375" style="1822" hidden="1" customWidth="1"/>
    <col min="8" max="8" width="33.7109375" style="1822" hidden="1" customWidth="1"/>
    <col min="9" max="9" width="25.7109375" style="2130" customWidth="1"/>
    <col min="10" max="10" width="33.7109375" style="2130" customWidth="1"/>
    <col min="11" max="11" width="93.42578125" style="1823" customWidth="1"/>
    <col min="12" max="20" width="10.5703125" style="2130"/>
    <col min="21" max="21" width="10.5703125" style="4602"/>
  </cols>
  <sheetData>
    <row r="1" spans="1:21" s="1823" customFormat="1" ht="15" hidden="1" customHeight="1">
      <c r="C1" s="592"/>
      <c r="G1" s="350">
        <v>4</v>
      </c>
      <c r="I1" s="350">
        <v>4</v>
      </c>
      <c r="U1" s="352"/>
    </row>
    <row r="2" spans="1:21" s="1823" customFormat="1" ht="15" hidden="1" customHeight="1">
      <c r="C2" s="592"/>
      <c r="U2" s="352"/>
    </row>
    <row r="3" spans="1:21" ht="22.5" hidden="1" customHeight="1">
      <c r="A3" s="430"/>
      <c r="B3" s="5411"/>
      <c r="C3" s="5412"/>
      <c r="D3" s="608" t="str">
        <f>B3&amp;".1"</f>
        <v>.1</v>
      </c>
      <c r="E3" s="609" t="s">
        <v>963</v>
      </c>
      <c r="F3" s="610" t="s">
        <v>423</v>
      </c>
      <c r="G3" s="605"/>
      <c r="H3" s="334"/>
      <c r="I3" s="605"/>
      <c r="J3" s="334"/>
      <c r="K3" s="207" t="s">
        <v>964</v>
      </c>
    </row>
    <row r="4" spans="1:21" ht="15" hidden="1" customHeight="1">
      <c r="A4" s="430"/>
      <c r="B4" s="5411"/>
      <c r="C4" s="5412"/>
      <c r="D4" s="608" t="str">
        <f>B3&amp;".2"</f>
        <v>.2</v>
      </c>
      <c r="E4" s="609" t="s">
        <v>965</v>
      </c>
      <c r="F4" s="610" t="s">
        <v>423</v>
      </c>
      <c r="G4" s="1645" t="s">
        <v>24</v>
      </c>
      <c r="H4" s="334"/>
      <c r="I4" s="1645" t="s">
        <v>24</v>
      </c>
      <c r="J4" s="334"/>
      <c r="K4" s="207" t="s">
        <v>966</v>
      </c>
    </row>
    <row r="5" spans="1:21" s="1823" customFormat="1" ht="15" hidden="1" customHeight="1">
      <c r="C5" s="592"/>
      <c r="U5" s="352"/>
    </row>
    <row r="6" spans="1:21" ht="22.5" hidden="1" customHeight="1">
      <c r="A6" s="430"/>
      <c r="B6" s="5411"/>
      <c r="C6" s="5412"/>
      <c r="D6" s="608" t="str">
        <f>B6&amp;".1"</f>
        <v>.1</v>
      </c>
      <c r="E6" s="609" t="s">
        <v>967</v>
      </c>
      <c r="F6" s="610" t="s">
        <v>423</v>
      </c>
      <c r="G6" s="605"/>
      <c r="H6" s="334"/>
      <c r="I6" s="605"/>
      <c r="J6" s="334"/>
      <c r="K6" s="207" t="s">
        <v>968</v>
      </c>
    </row>
    <row r="7" spans="1:21" ht="15" hidden="1" customHeight="1">
      <c r="A7" s="430"/>
      <c r="B7" s="5411"/>
      <c r="C7" s="5412"/>
      <c r="D7" s="608" t="str">
        <f>B6&amp;".2"</f>
        <v>.2</v>
      </c>
      <c r="E7" s="609" t="s">
        <v>965</v>
      </c>
      <c r="F7" s="610" t="s">
        <v>423</v>
      </c>
      <c r="G7" s="1645" t="s">
        <v>24</v>
      </c>
      <c r="H7" s="334"/>
      <c r="I7" s="1645" t="s">
        <v>24</v>
      </c>
      <c r="J7" s="334"/>
      <c r="K7" s="207" t="s">
        <v>966</v>
      </c>
    </row>
    <row r="8" spans="1:21" s="1823" customFormat="1" ht="15" hidden="1" customHeight="1">
      <c r="C8" s="592"/>
      <c r="U8" s="352"/>
    </row>
    <row r="9" spans="1:21" ht="22.5" hidden="1" customHeight="1">
      <c r="A9" s="430"/>
      <c r="B9" s="5411"/>
      <c r="C9" s="5412"/>
      <c r="D9" s="608" t="str">
        <f>B9&amp;".1"</f>
        <v>.1</v>
      </c>
      <c r="E9" s="609" t="s">
        <v>969</v>
      </c>
      <c r="F9" s="610" t="s">
        <v>423</v>
      </c>
      <c r="G9" s="616" t="s">
        <v>24</v>
      </c>
      <c r="H9" s="334" t="s">
        <v>24</v>
      </c>
      <c r="I9" s="616" t="s">
        <v>24</v>
      </c>
      <c r="J9" s="334" t="s">
        <v>24</v>
      </c>
      <c r="K9" s="207"/>
    </row>
    <row r="10" spans="1:21" ht="15" hidden="1" customHeight="1">
      <c r="A10" s="430"/>
      <c r="B10" s="5411"/>
      <c r="C10" s="5412"/>
      <c r="D10" s="608" t="str">
        <f>B9&amp;".2"</f>
        <v>.2</v>
      </c>
      <c r="E10" s="609" t="s">
        <v>970</v>
      </c>
      <c r="F10" s="610" t="s">
        <v>423</v>
      </c>
      <c r="G10" s="1641" t="s">
        <v>24</v>
      </c>
      <c r="H10" s="334" t="s">
        <v>24</v>
      </c>
      <c r="I10" s="1641" t="s">
        <v>24</v>
      </c>
      <c r="J10" s="334" t="s">
        <v>24</v>
      </c>
      <c r="K10" s="207" t="s">
        <v>971</v>
      </c>
    </row>
    <row r="11" spans="1:21" ht="15" hidden="1" customHeight="1">
      <c r="A11" s="430"/>
      <c r="B11" s="5411"/>
      <c r="C11" s="5412"/>
      <c r="D11" s="608" t="str">
        <f>B9&amp;".3"</f>
        <v>.3</v>
      </c>
      <c r="E11" s="609" t="s">
        <v>972</v>
      </c>
      <c r="F11" s="610" t="s">
        <v>423</v>
      </c>
      <c r="G11" s="1641" t="s">
        <v>24</v>
      </c>
      <c r="H11" s="334" t="s">
        <v>24</v>
      </c>
      <c r="I11" s="1641" t="s">
        <v>24</v>
      </c>
      <c r="J11" s="334" t="s">
        <v>24</v>
      </c>
      <c r="K11" s="207" t="s">
        <v>973</v>
      </c>
    </row>
    <row r="12" spans="1:21" s="1823" customFormat="1" ht="15" hidden="1" customHeight="1">
      <c r="C12" s="592"/>
      <c r="U12" s="352"/>
    </row>
    <row r="13" spans="1:21" ht="33.75" hidden="1" customHeight="1">
      <c r="A13" s="430"/>
      <c r="B13" s="5411"/>
      <c r="C13" s="5412"/>
      <c r="D13" s="608" t="str">
        <f>B13&amp;".1"</f>
        <v>.1</v>
      </c>
      <c r="E13" s="609" t="s">
        <v>974</v>
      </c>
      <c r="F13" s="610" t="s">
        <v>423</v>
      </c>
      <c r="G13" s="616" t="s">
        <v>24</v>
      </c>
      <c r="H13" s="334" t="s">
        <v>24</v>
      </c>
      <c r="I13" s="616" t="s">
        <v>24</v>
      </c>
      <c r="J13" s="334" t="s">
        <v>24</v>
      </c>
      <c r="K13" s="207" t="s">
        <v>975</v>
      </c>
    </row>
    <row r="14" spans="1:21" ht="15" hidden="1" customHeight="1">
      <c r="B14" s="5411"/>
      <c r="C14" s="5412"/>
      <c r="D14" s="608" t="str">
        <f>B13&amp;".2"</f>
        <v>.2</v>
      </c>
      <c r="E14" s="609" t="s">
        <v>976</v>
      </c>
      <c r="F14" s="610" t="s">
        <v>423</v>
      </c>
      <c r="G14" s="1641" t="s">
        <v>24</v>
      </c>
      <c r="H14" s="334" t="s">
        <v>24</v>
      </c>
      <c r="I14" s="1641" t="s">
        <v>24</v>
      </c>
      <c r="J14" s="334" t="s">
        <v>24</v>
      </c>
      <c r="K14" s="207" t="s">
        <v>977</v>
      </c>
    </row>
    <row r="15" spans="1:21" s="1823" customFormat="1" ht="15" hidden="1" customHeight="1">
      <c r="C15" s="592"/>
      <c r="U15" s="352"/>
    </row>
    <row r="16" spans="1:21" s="1823" customFormat="1" ht="15" hidden="1" customHeight="1">
      <c r="C16" s="592"/>
      <c r="U16" s="352"/>
    </row>
    <row r="17" spans="1:21" s="1823" customFormat="1" ht="15" hidden="1" customHeight="1">
      <c r="C17" s="592"/>
      <c r="U17" s="352"/>
    </row>
    <row r="18" spans="1:21" s="1823" customFormat="1" ht="15" hidden="1" customHeight="1">
      <c r="C18" s="592"/>
      <c r="U18" s="352"/>
    </row>
    <row r="19" spans="1:21" s="1823" customFormat="1" ht="15" hidden="1" customHeight="1">
      <c r="C19" s="592"/>
      <c r="U19" s="352"/>
    </row>
    <row r="20" spans="1:21" s="1823" customFormat="1" ht="15" hidden="1" customHeight="1">
      <c r="C20" s="592"/>
      <c r="U20" s="352"/>
    </row>
    <row r="21" spans="1:21" ht="15" customHeight="1">
      <c r="C21" s="97"/>
      <c r="D21" s="434"/>
      <c r="E21" s="434"/>
      <c r="F21" s="434"/>
      <c r="G21" s="434"/>
      <c r="H21" s="434"/>
      <c r="I21" s="434"/>
      <c r="J21" s="434"/>
    </row>
    <row r="22" spans="1:21" ht="22.5" customHeight="1">
      <c r="C22" s="97"/>
      <c r="D22" s="52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5298"/>
      <c r="F22" s="5298"/>
      <c r="G22" s="5298"/>
      <c r="H22" s="5298"/>
      <c r="I22" s="5298"/>
      <c r="J22" s="596"/>
      <c r="K22" s="461"/>
    </row>
    <row r="23" spans="1:21" ht="15" customHeight="1">
      <c r="C23" s="97"/>
      <c r="D23" s="5245" t="str">
        <f>IF(org=0,"Не определено",org)</f>
        <v>ПАО "ТГК-1" (филиал "Кольский")</v>
      </c>
      <c r="E23" s="5245"/>
      <c r="F23" s="5245"/>
      <c r="G23" s="5245"/>
      <c r="H23" s="5245"/>
      <c r="I23" s="5245"/>
      <c r="J23" s="596"/>
      <c r="K23" s="461"/>
    </row>
    <row r="24" spans="1:21" ht="15" customHeight="1">
      <c r="C24" s="97"/>
      <c r="D24" s="434"/>
      <c r="E24" s="434"/>
      <c r="F24" s="434"/>
      <c r="G24" s="461">
        <v>22</v>
      </c>
      <c r="H24" s="668"/>
      <c r="I24" s="461">
        <v>22</v>
      </c>
      <c r="J24" s="668"/>
    </row>
    <row r="25" spans="1:21" s="1822" customFormat="1" ht="0.75" customHeight="1">
      <c r="A25" s="675"/>
      <c r="C25" s="97"/>
      <c r="D25" s="434"/>
      <c r="E25" s="434"/>
      <c r="F25" s="434"/>
      <c r="G25" s="461"/>
      <c r="H25" s="668"/>
      <c r="I25" s="461" t="s">
        <v>121</v>
      </c>
      <c r="J25" s="668"/>
      <c r="K25" s="350"/>
      <c r="U25" s="595"/>
    </row>
    <row r="26" spans="1:21" ht="15" customHeight="1">
      <c r="C26" s="97"/>
      <c r="D26" s="629"/>
      <c r="E26" s="5388" t="s">
        <v>110</v>
      </c>
      <c r="F26" s="5389"/>
      <c r="G26" s="5409" t="str">
        <f>IF(G25="","",INDEX(DIFFERENTIATION_UNMERGE_VD,MATCH(G25,DIFFERENTIATION_ID_DIFF,0)))</f>
        <v/>
      </c>
      <c r="H26" s="5410"/>
      <c r="I26" s="5409">
        <f>IF(I25="","",INDEX(DIFFERENTIATION_UNMERGE_VD,MATCH(I25,DIFFERENTIATION_ID_DIFF,0)))</f>
        <v>0</v>
      </c>
      <c r="J26" s="5410"/>
      <c r="K26" s="5244" t="s">
        <v>418</v>
      </c>
    </row>
    <row r="27" spans="1:21" s="1822" customFormat="1" ht="15" customHeight="1">
      <c r="A27" s="675"/>
      <c r="C27" s="97"/>
      <c r="D27" s="629"/>
      <c r="E27" s="5388" t="s">
        <v>678</v>
      </c>
      <c r="F27" s="5389"/>
      <c r="G27" s="5409" t="str">
        <f>IF(G25="","",INDEX(DIFFERENTIATION_UNMERGE_AREA,MATCH(G25,DIFFERENTIATION_ID_DIFF,0)))</f>
        <v/>
      </c>
      <c r="H27" s="5410"/>
      <c r="I27" s="5409" t="str">
        <f>IF(I25="","",INDEX(DIFFERENTIATION_UNMERGE_AREA,MATCH(I25,DIFFERENTIATION_ID_DIFF,0)))</f>
        <v/>
      </c>
      <c r="J27" s="5410"/>
      <c r="K27" s="5262"/>
      <c r="U27" s="595"/>
    </row>
    <row r="28" spans="1:21" s="1822" customFormat="1" ht="15" customHeight="1">
      <c r="A28" s="675"/>
      <c r="C28" s="97"/>
      <c r="D28" s="629"/>
      <c r="E28" s="5388" t="s">
        <v>679</v>
      </c>
      <c r="F28" s="5389"/>
      <c r="G28" s="5409" t="str">
        <f>IF(G25="","",INDEX(DIFFERENTIATION_UNMERGE_SYSTEM,MATCH(G25,DIFFERENTIATION_ID_DIFF,0)))</f>
        <v/>
      </c>
      <c r="H28" s="5410"/>
      <c r="I28" s="5409" t="str">
        <f>IF(I25="","",INDEX(DIFFERENTIATION_UNMERGE_SYSTEM,MATCH(I25,DIFFERENTIATION_ID_DIFF,0)))</f>
        <v>без дифференциации</v>
      </c>
      <c r="J28" s="5410"/>
      <c r="K28" s="5262"/>
      <c r="U28" s="595"/>
    </row>
    <row r="29" spans="1:21" s="1822" customFormat="1" ht="15" customHeight="1">
      <c r="A29" s="675"/>
      <c r="C29" s="97"/>
      <c r="D29" s="5390" t="s">
        <v>417</v>
      </c>
      <c r="E29" s="5391"/>
      <c r="F29" s="5391"/>
      <c r="G29" s="799"/>
      <c r="H29" s="799"/>
      <c r="I29" s="799"/>
      <c r="J29" s="800"/>
      <c r="K29" s="5262"/>
      <c r="U29" s="595"/>
    </row>
    <row r="30" spans="1:21" ht="33.75" customHeight="1">
      <c r="C30" s="97"/>
      <c r="D30" s="677" t="s">
        <v>83</v>
      </c>
      <c r="E30" s="676" t="s">
        <v>419</v>
      </c>
      <c r="F30" s="676" t="s">
        <v>680</v>
      </c>
      <c r="G30" s="724" t="s">
        <v>420</v>
      </c>
      <c r="H30" s="723" t="s">
        <v>509</v>
      </c>
      <c r="I30" s="603" t="s">
        <v>420</v>
      </c>
      <c r="J30" s="391" t="s">
        <v>509</v>
      </c>
      <c r="K30" s="5265"/>
    </row>
    <row r="31" spans="1:21" ht="15" hidden="1" customHeight="1">
      <c r="C31" s="97"/>
      <c r="D31" s="515"/>
      <c r="E31" s="515"/>
      <c r="F31" s="515"/>
      <c r="G31" s="579"/>
      <c r="H31" s="579"/>
      <c r="I31" s="579"/>
      <c r="J31" s="579"/>
      <c r="K31" s="207"/>
    </row>
    <row r="32" spans="1:21" ht="22.5" customHeight="1">
      <c r="A32" s="430"/>
      <c r="B32" s="430" t="s">
        <v>978</v>
      </c>
      <c r="C32" s="451"/>
      <c r="D32" s="611">
        <v>1</v>
      </c>
      <c r="E32" s="612" t="s">
        <v>979</v>
      </c>
      <c r="F32" s="610" t="s">
        <v>423</v>
      </c>
      <c r="G32" s="729" t="s">
        <v>423</v>
      </c>
      <c r="H32" s="729" t="s">
        <v>423</v>
      </c>
      <c r="I32" s="610" t="s">
        <v>423</v>
      </c>
      <c r="J32" s="610" t="s">
        <v>423</v>
      </c>
      <c r="K32" s="207"/>
    </row>
    <row r="33" spans="1:21" ht="11.25" customHeight="1">
      <c r="A33" s="430"/>
      <c r="C33" s="430"/>
      <c r="D33" s="272"/>
      <c r="E33" s="504" t="s">
        <v>700</v>
      </c>
      <c r="F33" s="496"/>
      <c r="G33" s="496"/>
      <c r="H33" s="496"/>
      <c r="I33" s="496"/>
      <c r="J33" s="496"/>
      <c r="K33" s="497"/>
      <c r="U33" s="430"/>
    </row>
    <row r="34" spans="1:21" ht="22.5" customHeight="1">
      <c r="A34" s="430"/>
      <c r="B34" s="505" t="s">
        <v>980</v>
      </c>
      <c r="C34" s="451"/>
      <c r="D34" s="611">
        <v>2</v>
      </c>
      <c r="E34" s="612" t="s">
        <v>981</v>
      </c>
      <c r="F34" s="736" t="s">
        <v>423</v>
      </c>
      <c r="G34" s="736" t="s">
        <v>423</v>
      </c>
      <c r="H34" s="736" t="s">
        <v>423</v>
      </c>
      <c r="I34" s="610"/>
      <c r="J34" s="610"/>
      <c r="K34" s="207"/>
    </row>
    <row r="35" spans="1:21" ht="11.25" customHeight="1">
      <c r="A35" s="430"/>
      <c r="C35" s="430"/>
      <c r="D35" s="272"/>
      <c r="E35" s="504" t="s">
        <v>982</v>
      </c>
      <c r="F35" s="496"/>
      <c r="G35" s="613"/>
      <c r="H35" s="496"/>
      <c r="I35" s="613"/>
      <c r="J35" s="496"/>
      <c r="K35" s="497"/>
      <c r="U35" s="430"/>
    </row>
    <row r="36" spans="1:21" ht="67.5" customHeight="1">
      <c r="A36" s="430"/>
      <c r="B36" s="430" t="s">
        <v>983</v>
      </c>
      <c r="C36" s="451"/>
      <c r="D36" s="611">
        <v>3</v>
      </c>
      <c r="E36" s="612" t="s">
        <v>984</v>
      </c>
      <c r="F36" s="614" t="s">
        <v>423</v>
      </c>
      <c r="G36" s="730" t="s">
        <v>985</v>
      </c>
      <c r="H36" s="729" t="s">
        <v>423</v>
      </c>
      <c r="I36" s="449" t="s">
        <v>985</v>
      </c>
      <c r="J36" s="610" t="s">
        <v>423</v>
      </c>
      <c r="K36" s="207" t="s">
        <v>986</v>
      </c>
    </row>
    <row r="37" spans="1:21" ht="11.25" customHeight="1">
      <c r="A37" s="430"/>
      <c r="C37" s="430"/>
      <c r="D37" s="272"/>
      <c r="E37" s="504" t="s">
        <v>987</v>
      </c>
      <c r="F37" s="496"/>
      <c r="G37" s="613"/>
      <c r="H37" s="613"/>
      <c r="I37" s="613"/>
      <c r="J37" s="613"/>
      <c r="K37" s="497"/>
      <c r="U37" s="430"/>
    </row>
    <row r="38" spans="1:21" ht="67.5" customHeight="1">
      <c r="A38" s="430"/>
      <c r="B38" s="430" t="s">
        <v>988</v>
      </c>
      <c r="C38" s="451"/>
      <c r="D38" s="611">
        <v>4</v>
      </c>
      <c r="E38" s="612" t="s">
        <v>989</v>
      </c>
      <c r="F38" s="614" t="s">
        <v>423</v>
      </c>
      <c r="G38" s="730" t="s">
        <v>985</v>
      </c>
      <c r="H38" s="731" t="s">
        <v>423</v>
      </c>
      <c r="I38" s="449" t="s">
        <v>985</v>
      </c>
      <c r="J38" s="446" t="s">
        <v>423</v>
      </c>
      <c r="K38" s="599" t="s">
        <v>990</v>
      </c>
    </row>
    <row r="39" spans="1:21" ht="11.25" customHeight="1">
      <c r="A39" s="430"/>
      <c r="C39" s="430"/>
      <c r="D39" s="272"/>
      <c r="E39" s="504" t="s">
        <v>991</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4604" hidden="1" customWidth="1"/>
    <col min="4" max="4" width="6.7109375" style="1823" hidden="1" customWidth="1"/>
    <col min="5" max="5" width="3.7109375" style="1824" customWidth="1"/>
    <col min="6" max="6" width="6.28515625" style="1822" customWidth="1"/>
    <col min="7" max="7" width="37.7109375" style="1822" customWidth="1"/>
    <col min="8" max="8" width="16.5703125" style="2112"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7"/>
      <c r="B1" s="807"/>
      <c r="C1" s="807"/>
      <c r="E1" s="461"/>
      <c r="H1" s="1059"/>
    </row>
    <row r="2" spans="1:30" ht="10.5" hidden="1" customHeight="1"/>
    <row r="3" spans="1:30" s="2124" customFormat="1" ht="10.5" hidden="1" customHeight="1">
      <c r="A3" s="807"/>
      <c r="B3" s="807"/>
      <c r="C3" s="807"/>
      <c r="D3" s="350"/>
      <c r="E3" s="288"/>
      <c r="H3" s="1055"/>
    </row>
    <row r="4" spans="1:30" ht="3" customHeight="1"/>
    <row r="5" spans="1:30" ht="25.5" customHeight="1">
      <c r="F5" s="5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298"/>
      <c r="H5" s="5298"/>
      <c r="I5" s="5298"/>
      <c r="J5" s="5298"/>
      <c r="K5" s="5298"/>
      <c r="M5" s="506"/>
      <c r="AB5" s="818"/>
    </row>
    <row r="6" spans="1:30" s="2115" customFormat="1" ht="15.75" customHeight="1">
      <c r="A6" s="1065"/>
      <c r="B6" s="1065"/>
      <c r="C6" s="1065"/>
      <c r="D6" s="1059"/>
      <c r="E6" s="1546"/>
      <c r="F6" s="5245" t="str">
        <f>IF(org=0,"Не определено",org)</f>
        <v>ПАО "ТГК-1" (филиал "Кольский")</v>
      </c>
      <c r="G6" s="5245"/>
      <c r="H6" s="5245"/>
      <c r="I6" s="5245"/>
      <c r="J6" s="5245"/>
      <c r="K6" s="5245"/>
      <c r="M6" s="506"/>
      <c r="AB6" s="1047"/>
    </row>
    <row r="8" spans="1:30" ht="10.5" customHeight="1">
      <c r="A8" s="957"/>
      <c r="B8" s="957"/>
      <c r="C8" s="957"/>
      <c r="F8" s="5151" t="s">
        <v>417</v>
      </c>
      <c r="G8" s="5156"/>
      <c r="H8" s="5156"/>
      <c r="I8" s="5156"/>
      <c r="J8" s="5156"/>
      <c r="K8" s="5156"/>
      <c r="L8" s="5156"/>
      <c r="M8" s="5156"/>
      <c r="N8" s="5156"/>
      <c r="O8" s="5156"/>
      <c r="P8" s="5156"/>
      <c r="Q8" s="5156"/>
      <c r="R8" s="5156"/>
      <c r="S8" s="5156"/>
      <c r="T8" s="5156"/>
      <c r="U8" s="5156"/>
      <c r="V8" s="5156"/>
      <c r="W8" s="5156"/>
      <c r="X8" s="5156"/>
      <c r="Y8" s="5156"/>
      <c r="Z8" s="5156"/>
      <c r="AA8" s="5156"/>
      <c r="AB8" s="5150"/>
    </row>
    <row r="9" spans="1:30" ht="41.25" customHeight="1">
      <c r="A9" s="817"/>
      <c r="B9" s="817"/>
      <c r="C9" s="817"/>
      <c r="F9" s="5180" t="s">
        <v>83</v>
      </c>
      <c r="G9" s="5180" t="s">
        <v>992</v>
      </c>
      <c r="H9" s="5244" t="s">
        <v>993</v>
      </c>
      <c r="I9" s="5180" t="s">
        <v>994</v>
      </c>
      <c r="J9" s="5180" t="s">
        <v>995</v>
      </c>
      <c r="K9" s="5180" t="s">
        <v>996</v>
      </c>
      <c r="L9" s="5180" t="s">
        <v>997</v>
      </c>
      <c r="M9" s="5180" t="s">
        <v>998</v>
      </c>
      <c r="N9" s="5274" t="s">
        <v>999</v>
      </c>
      <c r="O9" s="5274"/>
      <c r="P9" s="5274"/>
      <c r="Q9" s="5323" t="s">
        <v>1000</v>
      </c>
      <c r="R9" s="5324"/>
      <c r="S9" s="5324"/>
      <c r="T9" s="5325"/>
      <c r="U9" s="5323" t="s">
        <v>1001</v>
      </c>
      <c r="V9" s="5324"/>
      <c r="W9" s="5324"/>
      <c r="X9" s="5325"/>
      <c r="Y9" s="5151" t="s">
        <v>1002</v>
      </c>
      <c r="Z9" s="5156"/>
      <c r="AA9" s="5156"/>
      <c r="AB9" s="5150"/>
    </row>
    <row r="10" spans="1:30" ht="41.25" customHeight="1">
      <c r="A10" s="817"/>
      <c r="B10" s="817"/>
      <c r="C10" s="817"/>
      <c r="F10" s="5244"/>
      <c r="G10" s="5244"/>
      <c r="H10" s="5293"/>
      <c r="I10" s="5244"/>
      <c r="J10" s="5244"/>
      <c r="K10" s="5244"/>
      <c r="L10" s="5244"/>
      <c r="M10" s="5244"/>
      <c r="N10" s="815" t="s">
        <v>1003</v>
      </c>
      <c r="O10" s="815" t="s">
        <v>1004</v>
      </c>
      <c r="P10" s="816" t="s">
        <v>1005</v>
      </c>
      <c r="Q10" s="827" t="s">
        <v>84</v>
      </c>
      <c r="R10" s="827" t="s">
        <v>1006</v>
      </c>
      <c r="S10" s="827" t="s">
        <v>1007</v>
      </c>
      <c r="T10" s="828" t="s">
        <v>1008</v>
      </c>
      <c r="U10" s="827" t="s">
        <v>84</v>
      </c>
      <c r="V10" s="827" t="s">
        <v>1009</v>
      </c>
      <c r="W10" s="827" t="s">
        <v>1007</v>
      </c>
      <c r="X10" s="828" t="s">
        <v>1008</v>
      </c>
      <c r="Y10" s="219" t="s">
        <v>1010</v>
      </c>
      <c r="Z10" s="5151" t="s">
        <v>83</v>
      </c>
      <c r="AA10" s="5150"/>
      <c r="AB10" s="955" t="s">
        <v>1011</v>
      </c>
    </row>
    <row r="11" spans="1:30" s="1819" customFormat="1" ht="5.25" hidden="1" customHeight="1">
      <c r="A11" s="958"/>
      <c r="B11" s="958"/>
      <c r="C11" s="958"/>
      <c r="E11" s="956"/>
      <c r="F11" s="5417" t="s">
        <v>495</v>
      </c>
      <c r="G11" s="5414"/>
      <c r="H11" s="5413"/>
      <c r="I11" s="5413"/>
      <c r="J11" s="5413"/>
      <c r="K11" s="5415"/>
      <c r="L11" s="5415"/>
      <c r="M11" s="5415"/>
      <c r="N11" s="5413"/>
      <c r="O11" s="5413"/>
      <c r="P11" s="5180"/>
      <c r="Q11" s="5248"/>
      <c r="R11" s="5248"/>
      <c r="S11" s="5248"/>
      <c r="T11" s="5413"/>
      <c r="U11" s="5248"/>
      <c r="V11" s="5248"/>
      <c r="W11" s="5248"/>
      <c r="X11" s="5413"/>
      <c r="Y11" s="5162"/>
      <c r="Z11" s="5162"/>
      <c r="AA11" s="5162"/>
      <c r="AB11" s="5162"/>
      <c r="AD11" s="436" t="s">
        <v>1012</v>
      </c>
    </row>
    <row r="12" spans="1:30" s="1819" customFormat="1" ht="5.25" hidden="1" customHeight="1">
      <c r="A12" s="808"/>
      <c r="B12" s="808"/>
      <c r="C12" s="808"/>
      <c r="E12" s="443"/>
      <c r="F12" s="5417"/>
      <c r="G12" s="5414"/>
      <c r="H12" s="5413"/>
      <c r="I12" s="5413"/>
      <c r="J12" s="5413"/>
      <c r="K12" s="5415"/>
      <c r="L12" s="5415"/>
      <c r="M12" s="5415"/>
      <c r="N12" s="5413"/>
      <c r="O12" s="5413"/>
      <c r="P12" s="5180"/>
      <c r="Q12" s="5248"/>
      <c r="R12" s="5248"/>
      <c r="S12" s="5248"/>
      <c r="T12" s="5413"/>
      <c r="U12" s="5248"/>
      <c r="V12" s="5248"/>
      <c r="W12" s="5248"/>
      <c r="X12" s="5413"/>
      <c r="Y12" s="5416"/>
      <c r="Z12" s="5416"/>
      <c r="AA12" s="5416"/>
      <c r="AB12" s="5416"/>
    </row>
    <row r="13" spans="1:30" ht="10.5" customHeight="1">
      <c r="F13" s="814"/>
      <c r="G13" s="570" t="s">
        <v>1013</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19"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4604" hidden="1" customWidth="1"/>
    <col min="4" max="4" width="4.140625" style="1823" hidden="1" customWidth="1"/>
    <col min="5" max="5" width="3.7109375" style="1824" customWidth="1"/>
    <col min="6" max="6" width="14.42578125" style="1822" customWidth="1"/>
    <col min="7" max="7" width="3.7109375" style="1822" customWidth="1"/>
    <col min="8" max="8" width="7.7109375" style="2112" customWidth="1"/>
    <col min="9" max="10" width="16.7109375" style="1822" customWidth="1"/>
    <col min="11" max="11" width="25.7109375" style="1822" customWidth="1"/>
    <col min="12" max="12" width="8" style="4606" customWidth="1"/>
    <col min="13" max="13" width="15.5703125" style="4606"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4606" customWidth="1"/>
    <col min="31" max="31" width="15.7109375" style="1822" customWidth="1"/>
    <col min="32" max="33" width="16.7109375" style="1822" customWidth="1"/>
    <col min="34" max="34" width="16.7109375" style="4607" customWidth="1"/>
    <col min="35" max="35" width="16.7109375" style="4608" customWidth="1"/>
    <col min="36" max="37" width="16.7109375" style="1822" customWidth="1"/>
    <col min="38" max="58" width="9.140625" style="1822"/>
  </cols>
  <sheetData>
    <row r="1" spans="1:58" s="1823" customFormat="1" ht="10.5" hidden="1" customHeight="1">
      <c r="A1" s="807"/>
      <c r="B1" s="807"/>
      <c r="C1" s="807"/>
      <c r="E1" s="461"/>
      <c r="H1" s="1059"/>
      <c r="L1" s="1029"/>
      <c r="M1" s="1029"/>
      <c r="AD1" s="1029"/>
      <c r="AH1" s="1046"/>
      <c r="AI1" s="1040"/>
    </row>
    <row r="2" spans="1:58" ht="10.5" hidden="1" customHeight="1"/>
    <row r="3" spans="1:58" s="2124" customFormat="1" ht="10.5" hidden="1" customHeight="1">
      <c r="A3" s="807"/>
      <c r="B3" s="807"/>
      <c r="C3" s="807"/>
      <c r="D3" s="350"/>
      <c r="E3" s="288"/>
      <c r="H3" s="1055"/>
      <c r="L3" s="1027"/>
      <c r="M3" s="1027"/>
      <c r="AD3" s="1027"/>
      <c r="AH3" s="1044"/>
      <c r="AI3" s="1038"/>
    </row>
    <row r="4" spans="1:58" ht="3" customHeight="1"/>
    <row r="5" spans="1:58" ht="25.5" customHeight="1">
      <c r="F5" s="5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298"/>
      <c r="H5" s="5298"/>
      <c r="I5" s="5298"/>
      <c r="J5" s="5298"/>
      <c r="K5" s="5298"/>
      <c r="L5" s="1036"/>
      <c r="M5" s="1036"/>
      <c r="AG5" s="818"/>
      <c r="AH5" s="1047"/>
    </row>
    <row r="6" spans="1:58" ht="10.5" customHeight="1">
      <c r="F6" s="5245" t="str">
        <f>IF(org=0,"Не определено",org)</f>
        <v>ПАО "ТГК-1" (филиал "Кольский")</v>
      </c>
      <c r="G6" s="5245"/>
      <c r="H6" s="5245"/>
      <c r="I6" s="5245"/>
      <c r="J6" s="5245"/>
      <c r="K6" s="5245"/>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5421" t="s">
        <v>417</v>
      </c>
      <c r="G8" s="5422"/>
      <c r="H8" s="5422"/>
      <c r="I8" s="5422"/>
      <c r="J8" s="5422"/>
      <c r="K8" s="5422"/>
      <c r="L8" s="5422"/>
      <c r="M8" s="5422"/>
      <c r="N8" s="5422"/>
      <c r="O8" s="5422"/>
      <c r="P8" s="5422"/>
      <c r="Q8" s="5422"/>
      <c r="R8" s="5422"/>
      <c r="S8" s="5422"/>
      <c r="T8" s="5422"/>
      <c r="U8" s="5422"/>
      <c r="V8" s="5422"/>
      <c r="W8" s="5422"/>
      <c r="X8" s="5422"/>
      <c r="Y8" s="5422"/>
      <c r="Z8" s="5422"/>
      <c r="AA8" s="5422"/>
      <c r="AB8" s="5422"/>
      <c r="AC8" s="5422"/>
      <c r="AD8" s="5422"/>
      <c r="AE8" s="5422"/>
      <c r="AF8" s="5422"/>
      <c r="AG8" s="5422"/>
      <c r="AH8" s="5422"/>
      <c r="AI8" s="5422"/>
      <c r="AJ8" s="5422"/>
      <c r="AK8" s="5423"/>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5274" t="s">
        <v>1014</v>
      </c>
      <c r="G9" s="5360" t="s">
        <v>1015</v>
      </c>
      <c r="H9" s="5419"/>
      <c r="I9" s="5180" t="s">
        <v>1016</v>
      </c>
      <c r="J9" s="5180"/>
      <c r="K9" s="5180" t="s">
        <v>1017</v>
      </c>
      <c r="L9" s="5180"/>
      <c r="M9" s="5180"/>
      <c r="N9" s="5180"/>
      <c r="O9" s="5180"/>
      <c r="P9" s="5180"/>
      <c r="Q9" s="5180"/>
      <c r="R9" s="5180"/>
      <c r="S9" s="5180"/>
      <c r="T9" s="5180"/>
      <c r="U9" s="5180"/>
      <c r="V9" s="5180"/>
      <c r="W9" s="5180"/>
      <c r="X9" s="5180"/>
      <c r="Y9" s="5180"/>
      <c r="Z9" s="5259" t="s">
        <v>1018</v>
      </c>
      <c r="AA9" s="5260"/>
      <c r="AB9" s="5180" t="s">
        <v>1019</v>
      </c>
      <c r="AC9" s="5180"/>
      <c r="AD9" s="5180"/>
      <c r="AE9" s="5180"/>
      <c r="AF9" s="5244" t="s">
        <v>1020</v>
      </c>
      <c r="AG9" s="5180" t="s">
        <v>1021</v>
      </c>
      <c r="AH9" s="5180"/>
      <c r="AI9" s="5244" t="s">
        <v>1022</v>
      </c>
      <c r="AJ9" s="5180" t="s">
        <v>1023</v>
      </c>
      <c r="AK9" s="5180"/>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5274"/>
      <c r="G10" s="5361"/>
      <c r="H10" s="5275"/>
      <c r="I10" s="5180"/>
      <c r="J10" s="5180"/>
      <c r="K10" s="5180" t="s">
        <v>1024</v>
      </c>
      <c r="L10" s="5151" t="s">
        <v>1025</v>
      </c>
      <c r="M10" s="5150"/>
      <c r="N10" s="5180" t="s">
        <v>1026</v>
      </c>
      <c r="O10" s="5180"/>
      <c r="P10" s="5180"/>
      <c r="Q10" s="5180"/>
      <c r="R10" s="5180"/>
      <c r="S10" s="5180"/>
      <c r="T10" s="5180"/>
      <c r="U10" s="5180"/>
      <c r="V10" s="5180"/>
      <c r="W10" s="5180"/>
      <c r="X10" s="5180"/>
      <c r="Y10" s="5180"/>
      <c r="Z10" s="5261"/>
      <c r="AA10" s="5262"/>
      <c r="AB10" s="5180"/>
      <c r="AC10" s="5180"/>
      <c r="AD10" s="5180"/>
      <c r="AE10" s="5180"/>
      <c r="AF10" s="5263"/>
      <c r="AG10" s="5180"/>
      <c r="AH10" s="5180"/>
      <c r="AI10" s="5263"/>
      <c r="AJ10" s="5180"/>
      <c r="AK10" s="5180"/>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4606" customFormat="1" ht="23.25" customHeight="1">
      <c r="A11" s="1030"/>
      <c r="B11" s="1030"/>
      <c r="C11" s="1030"/>
      <c r="D11" s="1029"/>
      <c r="E11" s="1031"/>
      <c r="F11" s="5274"/>
      <c r="G11" s="5361"/>
      <c r="H11" s="5275"/>
      <c r="I11" s="5180"/>
      <c r="J11" s="5180"/>
      <c r="K11" s="5180"/>
      <c r="L11" s="5244" t="s">
        <v>1027</v>
      </c>
      <c r="M11" s="5244" t="s">
        <v>1028</v>
      </c>
      <c r="N11" s="5180" t="s">
        <v>1029</v>
      </c>
      <c r="O11" s="5180"/>
      <c r="P11" s="5208" t="s">
        <v>1010</v>
      </c>
      <c r="Q11" s="5208" t="s">
        <v>1030</v>
      </c>
      <c r="R11" s="5208" t="s">
        <v>1031</v>
      </c>
      <c r="S11" s="5208" t="s">
        <v>1032</v>
      </c>
      <c r="T11" s="5208"/>
      <c r="U11" s="5208"/>
      <c r="V11" s="5208"/>
      <c r="W11" s="5208"/>
      <c r="X11" s="5208"/>
      <c r="Y11" s="5208"/>
      <c r="Z11" s="5261"/>
      <c r="AA11" s="5262"/>
      <c r="AB11" s="5180" t="s">
        <v>1033</v>
      </c>
      <c r="AC11" s="5180"/>
      <c r="AD11" s="5151" t="s">
        <v>1034</v>
      </c>
      <c r="AE11" s="5150"/>
      <c r="AF11" s="5263"/>
      <c r="AG11" s="5180"/>
      <c r="AH11" s="5180"/>
      <c r="AI11" s="5263"/>
      <c r="AJ11" s="5180"/>
      <c r="AK11" s="5180"/>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5274"/>
      <c r="G12" s="5362"/>
      <c r="H12" s="5420"/>
      <c r="I12" s="1052" t="s">
        <v>84</v>
      </c>
      <c r="J12" s="1052" t="s">
        <v>1035</v>
      </c>
      <c r="K12" s="5180"/>
      <c r="L12" s="5293"/>
      <c r="M12" s="5293"/>
      <c r="N12" s="5180"/>
      <c r="O12" s="5180"/>
      <c r="P12" s="5208"/>
      <c r="Q12" s="5208"/>
      <c r="R12" s="5208"/>
      <c r="S12" s="1035" t="s">
        <v>81</v>
      </c>
      <c r="T12" s="1035" t="s">
        <v>82</v>
      </c>
      <c r="U12" s="1035" t="s">
        <v>80</v>
      </c>
      <c r="V12" s="1035" t="s">
        <v>1036</v>
      </c>
      <c r="W12" s="1035" t="s">
        <v>80</v>
      </c>
      <c r="X12" s="1035" t="s">
        <v>1037</v>
      </c>
      <c r="Y12" s="1035" t="s">
        <v>1038</v>
      </c>
      <c r="Z12" s="5264"/>
      <c r="AA12" s="5265"/>
      <c r="AB12" s="1041" t="s">
        <v>1039</v>
      </c>
      <c r="AC12" s="1041" t="s">
        <v>1040</v>
      </c>
      <c r="AD12" s="1041" t="s">
        <v>1039</v>
      </c>
      <c r="AE12" s="1041" t="s">
        <v>1040</v>
      </c>
      <c r="AF12" s="5293"/>
      <c r="AG12" s="1053" t="s">
        <v>1041</v>
      </c>
      <c r="AH12" s="1053" t="s">
        <v>1042</v>
      </c>
      <c r="AI12" s="5293"/>
      <c r="AJ12" s="1053" t="s">
        <v>1041</v>
      </c>
      <c r="AK12" s="1053" t="s">
        <v>1042</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1043</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5418"/>
      <c r="G17" s="5418"/>
      <c r="H17" s="5418"/>
      <c r="I17" s="5418"/>
      <c r="J17" s="5418"/>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5418"/>
      <c r="G18" s="5418"/>
      <c r="H18" s="5418"/>
      <c r="I18" s="5418"/>
      <c r="J18" s="5418"/>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5418"/>
      <c r="G19" s="5418"/>
      <c r="H19" s="5418"/>
      <c r="I19" s="5418"/>
      <c r="J19" s="5418"/>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4605" hidden="1" customWidth="1"/>
    <col min="4" max="4" width="4.140625" style="1832" hidden="1" customWidth="1"/>
    <col min="5" max="5" width="3.7109375" style="1824" customWidth="1"/>
    <col min="6" max="6" width="6.28515625" style="2112" customWidth="1"/>
    <col min="7" max="7" width="60.140625" style="2112" customWidth="1"/>
    <col min="8" max="9" width="21.7109375" style="2112" hidden="1" customWidth="1"/>
    <col min="10" max="10" width="0.140625" style="2112" customWidth="1"/>
    <col min="11" max="11" width="1.7109375" style="2112" customWidth="1"/>
    <col min="12" max="22" width="9.140625" style="2112"/>
  </cols>
  <sheetData>
    <row r="1" spans="1:22" s="1832" customFormat="1" ht="10.5" hidden="1" customHeight="1">
      <c r="A1" s="1065"/>
      <c r="B1" s="1065"/>
      <c r="C1" s="1065"/>
      <c r="E1" s="461"/>
    </row>
    <row r="2" spans="1:22" ht="10.5" hidden="1" customHeight="1"/>
    <row r="3" spans="1:22" s="2111" customFormat="1" ht="10.5" hidden="1" customHeight="1">
      <c r="A3" s="1065"/>
      <c r="B3" s="1065"/>
      <c r="C3" s="1065"/>
      <c r="D3" s="1059"/>
      <c r="E3" s="288"/>
    </row>
    <row r="4" spans="1:22" ht="3" customHeight="1"/>
    <row r="5" spans="1:22" ht="25.5" customHeight="1">
      <c r="F5" s="52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5298"/>
      <c r="H5" s="5298"/>
      <c r="I5" s="5298"/>
      <c r="J5" s="5298"/>
    </row>
    <row r="6" spans="1:22" ht="10.5" customHeight="1">
      <c r="F6" s="5245" t="str">
        <f>IF(org=0,"Не определено",org)</f>
        <v>ПАО "ТГК-1" (филиал "Кольский")</v>
      </c>
      <c r="G6" s="5245"/>
      <c r="H6" s="5245"/>
      <c r="I6" s="5245"/>
      <c r="J6" s="5245"/>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19"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5424" t="s">
        <v>417</v>
      </c>
      <c r="G9" s="5425"/>
      <c r="H9" s="5425"/>
      <c r="I9" s="5425"/>
      <c r="J9" s="5425"/>
      <c r="K9" s="1148"/>
      <c r="L9" s="1056"/>
      <c r="M9" s="1056"/>
      <c r="N9" s="1056"/>
      <c r="O9" s="1056"/>
      <c r="P9" s="1056"/>
      <c r="Q9" s="1056"/>
      <c r="R9" s="1056"/>
      <c r="S9" s="1056"/>
      <c r="T9" s="1056"/>
      <c r="U9" s="1056"/>
      <c r="V9" s="1056"/>
    </row>
    <row r="10" spans="1:22" ht="24" customHeight="1">
      <c r="E10" s="1056"/>
      <c r="F10" s="5428" t="s">
        <v>83</v>
      </c>
      <c r="G10" s="5432" t="s">
        <v>1044</v>
      </c>
      <c r="H10" s="5413" t="s">
        <v>1045</v>
      </c>
      <c r="I10" s="5413"/>
      <c r="J10" s="5413"/>
      <c r="K10" s="1141"/>
      <c r="L10" s="1056"/>
      <c r="M10" s="1056"/>
      <c r="N10" s="1056"/>
      <c r="O10" s="1056"/>
      <c r="P10" s="1056"/>
      <c r="Q10" s="1056"/>
      <c r="R10" s="1056"/>
      <c r="S10" s="1056"/>
      <c r="T10" s="1056"/>
      <c r="U10" s="1056"/>
      <c r="V10" s="1056"/>
    </row>
    <row r="11" spans="1:22" ht="24" customHeight="1">
      <c r="E11" s="1056"/>
      <c r="F11" s="5429"/>
      <c r="G11" s="5432"/>
      <c r="H11" s="5431" t="e">
        <f>INDEX(IP_MAIN_LIST_NAME_IP,MATCH(H8,IP_MAIN_LIST_IP_ID,0))&amp;" ("&amp;INDEX(IP_MAIN_START_DATE,MATCH(H8,IP_MAIN_LIST_IP_ID,0))&amp;"-"&amp;INDEX(IP_MAIN_END_DATE,MATCH(H8,IP_MAIN_LIST_IP_ID,0))&amp;")"</f>
        <v>#N/A</v>
      </c>
      <c r="I11" s="5431"/>
      <c r="J11" s="5431"/>
      <c r="K11" s="1141"/>
      <c r="L11" s="1056"/>
      <c r="M11" s="1056"/>
      <c r="N11" s="1056"/>
      <c r="O11" s="1056"/>
      <c r="P11" s="1056"/>
      <c r="Q11" s="1056"/>
      <c r="R11" s="1056"/>
      <c r="S11" s="1056"/>
      <c r="T11" s="1056"/>
      <c r="U11" s="1056"/>
      <c r="V11" s="1056"/>
    </row>
    <row r="12" spans="1:22" ht="10.5" customHeight="1">
      <c r="F12" s="5430"/>
      <c r="G12" s="5432"/>
      <c r="H12" s="1134" t="s">
        <v>1046</v>
      </c>
      <c r="I12" s="1140"/>
      <c r="J12" s="1134"/>
      <c r="K12" s="1142"/>
    </row>
    <row r="13" spans="1:22" ht="10.5" hidden="1" customHeight="1">
      <c r="F13" s="1134">
        <v>1</v>
      </c>
      <c r="G13" s="1134">
        <v>2</v>
      </c>
      <c r="H13" s="1134">
        <v>3</v>
      </c>
      <c r="I13" s="1134">
        <v>4</v>
      </c>
      <c r="J13" s="1134">
        <v>5</v>
      </c>
      <c r="K13" s="1142"/>
    </row>
    <row r="14" spans="1:22" ht="11.25" customHeight="1">
      <c r="F14" s="1133" t="s">
        <v>1047</v>
      </c>
      <c r="G14" s="5426" t="s">
        <v>1048</v>
      </c>
      <c r="H14" s="5426"/>
      <c r="I14" s="5426"/>
      <c r="J14" s="5426"/>
      <c r="K14" s="1142"/>
    </row>
    <row r="15" spans="1:22" ht="11.25" customHeight="1">
      <c r="F15" s="1138">
        <v>1</v>
      </c>
      <c r="G15" s="609" t="s">
        <v>1049</v>
      </c>
      <c r="H15" s="1144">
        <f t="shared" ref="H15:H36" si="0">SUM(I15:J15)</f>
        <v>0</v>
      </c>
      <c r="I15" s="1144">
        <f>SUM(I16:I27)</f>
        <v>0</v>
      </c>
      <c r="J15" s="1133"/>
      <c r="K15" s="1142"/>
    </row>
    <row r="16" spans="1:22" ht="22.5" customHeight="1">
      <c r="F16" s="1138" t="s">
        <v>1050</v>
      </c>
      <c r="G16" s="1145" t="s">
        <v>1051</v>
      </c>
      <c r="H16" s="1144">
        <f t="shared" si="0"/>
        <v>0</v>
      </c>
      <c r="I16" s="1143"/>
      <c r="J16" s="1133"/>
      <c r="K16" s="1142"/>
    </row>
    <row r="17" spans="6:11" ht="22.5" customHeight="1">
      <c r="F17" s="1138" t="s">
        <v>1052</v>
      </c>
      <c r="G17" s="1145" t="s">
        <v>1053</v>
      </c>
      <c r="H17" s="1144">
        <f t="shared" si="0"/>
        <v>0</v>
      </c>
      <c r="I17" s="1143"/>
      <c r="J17" s="1133"/>
      <c r="K17" s="1142"/>
    </row>
    <row r="18" spans="6:11" ht="33.75" customHeight="1">
      <c r="F18" s="1138" t="s">
        <v>1054</v>
      </c>
      <c r="G18" s="1145" t="s">
        <v>1055</v>
      </c>
      <c r="H18" s="1144">
        <f t="shared" si="0"/>
        <v>0</v>
      </c>
      <c r="I18" s="1143"/>
      <c r="J18" s="1133"/>
      <c r="K18" s="1142"/>
    </row>
    <row r="19" spans="6:11" ht="33.75" customHeight="1">
      <c r="F19" s="1138" t="s">
        <v>1056</v>
      </c>
      <c r="G19" s="1145" t="s">
        <v>1057</v>
      </c>
      <c r="H19" s="1144">
        <f t="shared" si="0"/>
        <v>0</v>
      </c>
      <c r="I19" s="1143"/>
      <c r="J19" s="1133"/>
      <c r="K19" s="1142"/>
    </row>
    <row r="20" spans="6:11" ht="45" customHeight="1">
      <c r="F20" s="1138" t="s">
        <v>1058</v>
      </c>
      <c r="G20" s="1145" t="s">
        <v>1059</v>
      </c>
      <c r="H20" s="1144">
        <f t="shared" si="0"/>
        <v>0</v>
      </c>
      <c r="I20" s="1143"/>
      <c r="J20" s="1133"/>
      <c r="K20" s="1142"/>
    </row>
    <row r="21" spans="6:11" ht="33.75" customHeight="1">
      <c r="F21" s="1138" t="s">
        <v>1060</v>
      </c>
      <c r="G21" s="1145" t="s">
        <v>1061</v>
      </c>
      <c r="H21" s="1144">
        <f t="shared" si="0"/>
        <v>0</v>
      </c>
      <c r="I21" s="1143"/>
      <c r="J21" s="1133"/>
      <c r="K21" s="1142"/>
    </row>
    <row r="22" spans="6:11" ht="33.75" customHeight="1">
      <c r="F22" s="1138" t="s">
        <v>1062</v>
      </c>
      <c r="G22" s="1145" t="s">
        <v>1063</v>
      </c>
      <c r="H22" s="1144">
        <f t="shared" si="0"/>
        <v>0</v>
      </c>
      <c r="I22" s="1143"/>
      <c r="J22" s="1133"/>
      <c r="K22" s="1142"/>
    </row>
    <row r="23" spans="6:11" ht="22.5" customHeight="1">
      <c r="F23" s="1138" t="s">
        <v>1064</v>
      </c>
      <c r="G23" s="1145" t="s">
        <v>1065</v>
      </c>
      <c r="H23" s="1144">
        <f t="shared" si="0"/>
        <v>0</v>
      </c>
      <c r="I23" s="1143"/>
      <c r="J23" s="1133"/>
      <c r="K23" s="1142"/>
    </row>
    <row r="24" spans="6:11" ht="22.5" customHeight="1">
      <c r="F24" s="1138" t="s">
        <v>1066</v>
      </c>
      <c r="G24" s="1145" t="s">
        <v>1067</v>
      </c>
      <c r="H24" s="1144">
        <f t="shared" si="0"/>
        <v>0</v>
      </c>
      <c r="I24" s="1143"/>
      <c r="J24" s="1133"/>
      <c r="K24" s="1142"/>
    </row>
    <row r="25" spans="6:11" ht="33.75" customHeight="1">
      <c r="F25" s="1138" t="s">
        <v>1068</v>
      </c>
      <c r="G25" s="1145" t="s">
        <v>1069</v>
      </c>
      <c r="H25" s="1144">
        <f t="shared" si="0"/>
        <v>0</v>
      </c>
      <c r="I25" s="1143"/>
      <c r="J25" s="1133"/>
      <c r="K25" s="1142"/>
    </row>
    <row r="26" spans="6:11" ht="33.75" customHeight="1">
      <c r="F26" s="1138" t="s">
        <v>1070</v>
      </c>
      <c r="G26" s="1145" t="s">
        <v>1071</v>
      </c>
      <c r="H26" s="1144">
        <f t="shared" si="0"/>
        <v>0</v>
      </c>
      <c r="I26" s="1143"/>
      <c r="J26" s="1133"/>
      <c r="K26" s="1142"/>
    </row>
    <row r="27" spans="6:11" ht="11.25" customHeight="1">
      <c r="F27" s="1138" t="s">
        <v>1072</v>
      </c>
      <c r="G27" s="1145" t="s">
        <v>1073</v>
      </c>
      <c r="H27" s="1144">
        <f t="shared" si="0"/>
        <v>0</v>
      </c>
      <c r="I27" s="1143"/>
      <c r="J27" s="1133"/>
      <c r="K27" s="1142"/>
    </row>
    <row r="28" spans="6:11" ht="11.25" customHeight="1">
      <c r="F28" s="1138">
        <v>2</v>
      </c>
      <c r="G28" s="609" t="s">
        <v>1074</v>
      </c>
      <c r="H28" s="1144">
        <f t="shared" si="0"/>
        <v>0</v>
      </c>
      <c r="I28" s="1144">
        <f>SUM(I29:I31)</f>
        <v>0</v>
      </c>
      <c r="J28" s="1133"/>
      <c r="K28" s="1142"/>
    </row>
    <row r="29" spans="6:11" ht="11.25" customHeight="1">
      <c r="F29" s="1138" t="s">
        <v>736</v>
      </c>
      <c r="G29" s="1145" t="s">
        <v>1075</v>
      </c>
      <c r="H29" s="1144">
        <f t="shared" si="0"/>
        <v>0</v>
      </c>
      <c r="I29" s="1143"/>
      <c r="J29" s="1133"/>
      <c r="K29" s="1142"/>
    </row>
    <row r="30" spans="6:11" ht="11.25" customHeight="1">
      <c r="F30" s="1138" t="s">
        <v>424</v>
      </c>
      <c r="G30" s="1145" t="s">
        <v>1076</v>
      </c>
      <c r="H30" s="1144">
        <f t="shared" si="0"/>
        <v>0</v>
      </c>
      <c r="I30" s="1143"/>
      <c r="J30" s="1133"/>
      <c r="K30" s="1142"/>
    </row>
    <row r="31" spans="6:11" ht="11.25" customHeight="1">
      <c r="F31" s="1138" t="s">
        <v>427</v>
      </c>
      <c r="G31" s="1145" t="s">
        <v>1077</v>
      </c>
      <c r="H31" s="1144">
        <f t="shared" si="0"/>
        <v>0</v>
      </c>
      <c r="I31" s="1143"/>
      <c r="J31" s="1133"/>
      <c r="K31" s="1142"/>
    </row>
    <row r="32" spans="6:11" ht="11.25" customHeight="1">
      <c r="F32" s="1138">
        <v>3</v>
      </c>
      <c r="G32" s="609" t="s">
        <v>1078</v>
      </c>
      <c r="H32" s="1144">
        <f t="shared" si="0"/>
        <v>0</v>
      </c>
      <c r="I32" s="1144">
        <f>SUM(I33:I34)</f>
        <v>0</v>
      </c>
      <c r="J32" s="1133"/>
      <c r="K32" s="1142"/>
    </row>
    <row r="33" spans="6:11" ht="33.75" customHeight="1">
      <c r="F33" s="1138" t="s">
        <v>443</v>
      </c>
      <c r="G33" s="1145" t="s">
        <v>1079</v>
      </c>
      <c r="H33" s="1144">
        <f t="shared" si="0"/>
        <v>0</v>
      </c>
      <c r="I33" s="1143"/>
      <c r="J33" s="1133"/>
      <c r="K33" s="1142"/>
    </row>
    <row r="34" spans="6:11" ht="11.25" customHeight="1">
      <c r="F34" s="1138" t="s">
        <v>451</v>
      </c>
      <c r="G34" s="1145" t="s">
        <v>1080</v>
      </c>
      <c r="H34" s="1144">
        <f t="shared" si="0"/>
        <v>0</v>
      </c>
      <c r="I34" s="1143"/>
      <c r="J34" s="1133"/>
      <c r="K34" s="1142"/>
    </row>
    <row r="35" spans="6:11" ht="11.25" customHeight="1">
      <c r="F35" s="1138">
        <v>4</v>
      </c>
      <c r="G35" s="609" t="s">
        <v>1081</v>
      </c>
      <c r="H35" s="1144">
        <f t="shared" si="0"/>
        <v>0</v>
      </c>
      <c r="I35" s="1143"/>
      <c r="J35" s="1133"/>
      <c r="K35" s="1142"/>
    </row>
    <row r="36" spans="6:11" ht="11.25" customHeight="1">
      <c r="F36" s="1138"/>
      <c r="G36" s="612" t="s">
        <v>1082</v>
      </c>
      <c r="H36" s="1144">
        <f t="shared" si="0"/>
        <v>0</v>
      </c>
      <c r="I36" s="1144">
        <f>SUM(I15,I28,I32,I35)</f>
        <v>0</v>
      </c>
      <c r="J36" s="1133"/>
      <c r="K36" s="1142"/>
    </row>
    <row r="37" spans="6:11" ht="27.75" customHeight="1">
      <c r="F37" s="1139" t="s">
        <v>1083</v>
      </c>
      <c r="G37" s="5427" t="s">
        <v>1084</v>
      </c>
      <c r="H37" s="5427"/>
      <c r="I37" s="5427"/>
      <c r="J37" s="5427"/>
      <c r="K37" s="1142"/>
    </row>
    <row r="38" spans="6:11" ht="22.5" customHeight="1">
      <c r="F38" s="1138" t="s">
        <v>114</v>
      </c>
      <c r="G38" s="609" t="s">
        <v>1085</v>
      </c>
      <c r="H38" s="1144">
        <f t="shared" ref="H38:H58" si="1">SUM(I38:J38)</f>
        <v>0</v>
      </c>
      <c r="I38" s="1144">
        <f>SUM(I39,I44,I47)</f>
        <v>0</v>
      </c>
      <c r="J38" s="1133"/>
      <c r="K38" s="1142"/>
    </row>
    <row r="39" spans="6:11" ht="11.25" customHeight="1">
      <c r="F39" s="1138" t="s">
        <v>1050</v>
      </c>
      <c r="G39" s="1145" t="s">
        <v>1049</v>
      </c>
      <c r="H39" s="1144">
        <f t="shared" si="1"/>
        <v>0</v>
      </c>
      <c r="I39" s="1144">
        <f>SUM(I40:I43)</f>
        <v>0</v>
      </c>
      <c r="J39" s="1133"/>
      <c r="K39" s="1142"/>
    </row>
    <row r="40" spans="6:11" ht="22.5" customHeight="1">
      <c r="F40" s="1138" t="s">
        <v>1086</v>
      </c>
      <c r="G40" s="1146" t="s">
        <v>1087</v>
      </c>
      <c r="H40" s="1144">
        <f t="shared" si="1"/>
        <v>0</v>
      </c>
      <c r="I40" s="1143"/>
      <c r="J40" s="1133"/>
      <c r="K40" s="1142"/>
    </row>
    <row r="41" spans="6:11" ht="11.25" customHeight="1">
      <c r="F41" s="1138" t="s">
        <v>1088</v>
      </c>
      <c r="G41" s="1146" t="s">
        <v>1089</v>
      </c>
      <c r="H41" s="1144">
        <f t="shared" si="1"/>
        <v>0</v>
      </c>
      <c r="I41" s="1143"/>
      <c r="J41" s="1133"/>
      <c r="K41" s="1142"/>
    </row>
    <row r="42" spans="6:11" ht="11.25" customHeight="1">
      <c r="F42" s="1138" t="s">
        <v>1090</v>
      </c>
      <c r="G42" s="1146" t="s">
        <v>1091</v>
      </c>
      <c r="H42" s="1144">
        <f t="shared" si="1"/>
        <v>0</v>
      </c>
      <c r="I42" s="1143"/>
      <c r="J42" s="1133"/>
      <c r="K42" s="1142"/>
    </row>
    <row r="43" spans="6:11" ht="33.75" customHeight="1">
      <c r="F43" s="1138" t="s">
        <v>1092</v>
      </c>
      <c r="G43" s="1146" t="s">
        <v>1093</v>
      </c>
      <c r="H43" s="1144">
        <f t="shared" si="1"/>
        <v>0</v>
      </c>
      <c r="I43" s="1143"/>
      <c r="J43" s="1133"/>
      <c r="K43" s="1142"/>
    </row>
    <row r="44" spans="6:11" ht="11.25" customHeight="1">
      <c r="F44" s="1138" t="s">
        <v>1052</v>
      </c>
      <c r="G44" s="1145" t="s">
        <v>1078</v>
      </c>
      <c r="H44" s="1144">
        <f t="shared" si="1"/>
        <v>0</v>
      </c>
      <c r="I44" s="1144">
        <f>SUM(I45:I46)</f>
        <v>0</v>
      </c>
      <c r="J44" s="1133"/>
      <c r="K44" s="1142"/>
    </row>
    <row r="45" spans="6:11" ht="45" customHeight="1">
      <c r="F45" s="1138" t="s">
        <v>1094</v>
      </c>
      <c r="G45" s="1146" t="s">
        <v>1079</v>
      </c>
      <c r="H45" s="1144">
        <f t="shared" si="1"/>
        <v>0</v>
      </c>
      <c r="I45" s="1143"/>
      <c r="J45" s="1133"/>
      <c r="K45" s="1142"/>
    </row>
    <row r="46" spans="6:11" ht="11.25" customHeight="1">
      <c r="F46" s="1138" t="s">
        <v>1095</v>
      </c>
      <c r="G46" s="1146" t="s">
        <v>1080</v>
      </c>
      <c r="H46" s="1144">
        <f t="shared" si="1"/>
        <v>0</v>
      </c>
      <c r="I46" s="1143"/>
      <c r="J46" s="1133"/>
      <c r="K46" s="1142"/>
    </row>
    <row r="47" spans="6:11" ht="11.25" customHeight="1">
      <c r="F47" s="1138" t="s">
        <v>1054</v>
      </c>
      <c r="G47" s="1145" t="s">
        <v>1096</v>
      </c>
      <c r="H47" s="1144">
        <f t="shared" si="1"/>
        <v>0</v>
      </c>
      <c r="I47" s="1143"/>
      <c r="J47" s="1133"/>
      <c r="K47" s="1142"/>
    </row>
    <row r="48" spans="6:11" ht="22.5" customHeight="1">
      <c r="F48" s="1138" t="s">
        <v>98</v>
      </c>
      <c r="G48" s="609" t="s">
        <v>1097</v>
      </c>
      <c r="H48" s="1144">
        <f t="shared" si="1"/>
        <v>0</v>
      </c>
      <c r="I48" s="1144">
        <f>SUM(I49,I54,I57)</f>
        <v>0</v>
      </c>
      <c r="J48" s="1133"/>
      <c r="K48" s="1142"/>
    </row>
    <row r="49" spans="6:11" ht="11.25" customHeight="1">
      <c r="F49" s="1138" t="s">
        <v>736</v>
      </c>
      <c r="G49" s="1145" t="s">
        <v>1049</v>
      </c>
      <c r="H49" s="1144">
        <f t="shared" si="1"/>
        <v>0</v>
      </c>
      <c r="I49" s="1144">
        <f>SUM(I50:I53)</f>
        <v>0</v>
      </c>
      <c r="J49" s="1133"/>
      <c r="K49" s="1142"/>
    </row>
    <row r="50" spans="6:11" ht="22.5" customHeight="1">
      <c r="F50" s="1138" t="s">
        <v>739</v>
      </c>
      <c r="G50" s="1146" t="s">
        <v>1087</v>
      </c>
      <c r="H50" s="1144">
        <f t="shared" si="1"/>
        <v>0</v>
      </c>
      <c r="I50" s="1143"/>
      <c r="J50" s="1133"/>
      <c r="K50" s="1142"/>
    </row>
    <row r="51" spans="6:11" ht="11.25" customHeight="1">
      <c r="F51" s="1138" t="s">
        <v>742</v>
      </c>
      <c r="G51" s="1146" t="s">
        <v>1089</v>
      </c>
      <c r="H51" s="1144">
        <f t="shared" si="1"/>
        <v>0</v>
      </c>
      <c r="I51" s="1143"/>
      <c r="J51" s="1133"/>
      <c r="K51" s="1142"/>
    </row>
    <row r="52" spans="6:11" ht="11.25" customHeight="1">
      <c r="F52" s="1138" t="s">
        <v>1098</v>
      </c>
      <c r="G52" s="1146" t="s">
        <v>1091</v>
      </c>
      <c r="H52" s="1144">
        <f t="shared" si="1"/>
        <v>0</v>
      </c>
      <c r="I52" s="1143"/>
      <c r="J52" s="1133"/>
      <c r="K52" s="1142"/>
    </row>
    <row r="53" spans="6:11" ht="33.75" customHeight="1">
      <c r="F53" s="1138" t="s">
        <v>1099</v>
      </c>
      <c r="G53" s="1146" t="s">
        <v>1093</v>
      </c>
      <c r="H53" s="1144">
        <f t="shared" si="1"/>
        <v>0</v>
      </c>
      <c r="I53" s="1143"/>
      <c r="J53" s="1133"/>
      <c r="K53" s="1142"/>
    </row>
    <row r="54" spans="6:11" ht="11.25" customHeight="1">
      <c r="F54" s="1138" t="s">
        <v>424</v>
      </c>
      <c r="G54" s="1145" t="s">
        <v>1078</v>
      </c>
      <c r="H54" s="1144">
        <f t="shared" si="1"/>
        <v>0</v>
      </c>
      <c r="I54" s="1144">
        <f>SUM(I55:I56)</f>
        <v>0</v>
      </c>
      <c r="J54" s="1133"/>
      <c r="K54" s="1142"/>
    </row>
    <row r="55" spans="6:11" ht="45" customHeight="1">
      <c r="F55" s="1138" t="s">
        <v>746</v>
      </c>
      <c r="G55" s="1146" t="s">
        <v>1079</v>
      </c>
      <c r="H55" s="1144">
        <f t="shared" si="1"/>
        <v>0</v>
      </c>
      <c r="I55" s="1143"/>
      <c r="J55" s="1133"/>
      <c r="K55" s="1142"/>
    </row>
    <row r="56" spans="6:11" ht="11.25" customHeight="1">
      <c r="F56" s="1138" t="s">
        <v>748</v>
      </c>
      <c r="G56" s="1146" t="s">
        <v>1080</v>
      </c>
      <c r="H56" s="1144">
        <f t="shared" si="1"/>
        <v>0</v>
      </c>
      <c r="I56" s="1143"/>
      <c r="J56" s="1133"/>
      <c r="K56" s="1142"/>
    </row>
    <row r="57" spans="6:11" ht="11.25" customHeight="1">
      <c r="F57" s="1138" t="s">
        <v>427</v>
      </c>
      <c r="G57" s="1145" t="s">
        <v>1096</v>
      </c>
      <c r="H57" s="1144">
        <f t="shared" si="1"/>
        <v>0</v>
      </c>
      <c r="I57" s="1143"/>
      <c r="J57" s="1133"/>
      <c r="K57" s="1142"/>
    </row>
    <row r="58" spans="6:11" ht="11.25" customHeight="1">
      <c r="F58" s="1138"/>
      <c r="G58" s="1147" t="s">
        <v>1082</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4616" hidden="1" customWidth="1"/>
    <col min="2" max="2" width="4.7109375" style="4617" hidden="1" customWidth="1"/>
    <col min="3" max="4" width="4.7109375" style="4616" hidden="1" customWidth="1"/>
    <col min="5" max="5" width="3.5703125" style="4616" customWidth="1"/>
    <col min="6" max="6" width="6.7109375" style="4616" customWidth="1"/>
    <col min="7" max="7" width="18.7109375" style="4616" customWidth="1"/>
    <col min="8" max="8" width="27.28515625" style="4616" customWidth="1"/>
    <col min="9" max="9" width="18.7109375" style="4616" customWidth="1"/>
    <col min="10" max="14" width="0.85546875" style="4616" hidden="1" customWidth="1"/>
    <col min="15" max="28" width="21.7109375" style="4616" customWidth="1"/>
    <col min="29" max="71" width="0.85546875" style="4616" customWidth="1"/>
    <col min="72" max="79" width="21.7109375" style="4616" hidden="1" customWidth="1"/>
    <col min="80" max="81" width="29.140625" style="4616" hidden="1" customWidth="1"/>
    <col min="82" max="89" width="21.7109375" style="4616" hidden="1" customWidth="1"/>
    <col min="90" max="102" width="0.7109375" style="4616" hidden="1" customWidth="1"/>
    <col min="103" max="114" width="21.7109375" style="4616" hidden="1" customWidth="1"/>
    <col min="115" max="178" width="0.7109375" style="4616" hidden="1" customWidth="1"/>
    <col min="179" max="179" width="0.140625" style="4616" customWidth="1"/>
    <col min="180" max="184" width="9.140625" style="4616"/>
  </cols>
  <sheetData>
    <row r="1" spans="2:180" s="4609" customFormat="1" ht="12" hidden="1" customHeight="1">
      <c r="B1" s="834"/>
      <c r="C1" s="835"/>
      <c r="D1" s="835"/>
    </row>
    <row r="2" spans="2:180" s="4609"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4609"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4611" customFormat="1" ht="25.5" customHeight="1">
      <c r="B5" s="1780"/>
      <c r="E5" s="1781"/>
      <c r="F5" s="543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5225"/>
      <c r="H5" s="5225"/>
      <c r="I5" s="5225"/>
      <c r="J5" s="5225"/>
      <c r="K5" s="5225"/>
      <c r="L5" s="5225"/>
      <c r="M5" s="5225"/>
      <c r="N5" s="5225"/>
      <c r="O5" s="5225"/>
      <c r="P5" s="5225"/>
      <c r="Q5" s="5225"/>
      <c r="R5" s="5225"/>
      <c r="S5" s="5225"/>
      <c r="T5" s="5225"/>
      <c r="U5" s="5225"/>
      <c r="V5" s="5225"/>
      <c r="W5" s="5225"/>
      <c r="X5" s="5225"/>
      <c r="Y5" s="5225"/>
      <c r="Z5" s="5225"/>
      <c r="AA5" s="5225"/>
      <c r="AB5" s="5225"/>
      <c r="AC5" s="5225"/>
      <c r="AD5" s="5225"/>
      <c r="AE5" s="5225"/>
      <c r="AF5" s="5225"/>
      <c r="AG5" s="5225"/>
      <c r="AH5" s="5225"/>
      <c r="AI5" s="5225"/>
      <c r="AJ5" s="5225"/>
      <c r="AK5" s="5225"/>
      <c r="AL5" s="5225"/>
      <c r="AM5" s="5225"/>
      <c r="AN5" s="5225"/>
      <c r="AO5" s="5225"/>
      <c r="AP5" s="5225"/>
      <c r="AQ5" s="5225"/>
      <c r="AR5" s="5225"/>
      <c r="AS5" s="5225"/>
      <c r="AT5" s="5225"/>
      <c r="AU5" s="5225"/>
      <c r="AV5" s="5225"/>
      <c r="AW5" s="5225"/>
      <c r="AX5" s="5225"/>
      <c r="AY5" s="5225"/>
      <c r="AZ5" s="5225"/>
      <c r="BA5" s="5225"/>
      <c r="BB5" s="5225"/>
      <c r="BC5" s="5225"/>
      <c r="BD5" s="5225"/>
      <c r="BE5" s="5225"/>
      <c r="BF5" s="5225"/>
      <c r="BG5" s="5225"/>
      <c r="BH5" s="5225"/>
      <c r="BI5" s="5225"/>
      <c r="BJ5" s="5225"/>
      <c r="BK5" s="5225"/>
      <c r="BL5" s="5225"/>
      <c r="BM5" s="5225"/>
      <c r="BN5" s="5225"/>
      <c r="BO5" s="5225"/>
      <c r="BP5" s="5225"/>
      <c r="BQ5" s="5225"/>
      <c r="BR5" s="5225"/>
      <c r="BS5" s="5225"/>
    </row>
    <row r="6" spans="2:180" s="4612" customFormat="1" ht="18" customHeight="1">
      <c r="B6" s="852"/>
      <c r="E6" s="853"/>
      <c r="F6" s="5279" t="str">
        <f>IF(org=0,"Не определено",org)</f>
        <v>ПАО "ТГК-1" (филиал "Кольский")</v>
      </c>
      <c r="G6" s="5280"/>
      <c r="H6" s="5280"/>
      <c r="I6" s="5280"/>
      <c r="J6" s="5280"/>
      <c r="K6" s="5280"/>
      <c r="L6" s="5280"/>
      <c r="M6" s="5280"/>
      <c r="N6" s="5280"/>
      <c r="O6" s="5280"/>
      <c r="P6" s="5280"/>
      <c r="Q6" s="5280"/>
      <c r="R6" s="5280"/>
      <c r="S6" s="5280"/>
      <c r="T6" s="5280"/>
      <c r="U6" s="5280"/>
      <c r="V6" s="5280"/>
      <c r="W6" s="5280"/>
      <c r="X6" s="5280"/>
      <c r="Y6" s="5280"/>
      <c r="Z6" s="5280"/>
      <c r="AA6" s="5280"/>
      <c r="AB6" s="5280"/>
      <c r="AC6" s="5280"/>
      <c r="AD6" s="5280"/>
      <c r="AE6" s="5280"/>
      <c r="AF6" s="5280"/>
      <c r="AG6" s="5280"/>
      <c r="AH6" s="5280"/>
      <c r="AI6" s="5280"/>
      <c r="AJ6" s="5280"/>
      <c r="AK6" s="5280"/>
      <c r="AL6" s="5280"/>
      <c r="AM6" s="5280"/>
      <c r="AN6" s="5280"/>
      <c r="AO6" s="5280"/>
      <c r="AP6" s="5280"/>
      <c r="AQ6" s="5280"/>
      <c r="AR6" s="5280"/>
      <c r="AS6" s="5280"/>
      <c r="AT6" s="5280"/>
      <c r="AU6" s="5280"/>
      <c r="AV6" s="5280"/>
      <c r="AW6" s="5280"/>
      <c r="AX6" s="5280"/>
      <c r="AY6" s="5280"/>
      <c r="AZ6" s="5280"/>
      <c r="BA6" s="5280"/>
      <c r="BB6" s="5280"/>
      <c r="BC6" s="5280"/>
      <c r="BD6" s="5280"/>
      <c r="BE6" s="5280"/>
      <c r="BF6" s="5280"/>
      <c r="BG6" s="5280"/>
      <c r="BH6" s="5280"/>
      <c r="BI6" s="5280"/>
      <c r="BJ6" s="5280"/>
      <c r="BK6" s="5280"/>
      <c r="BL6" s="5280"/>
      <c r="BM6" s="5280"/>
      <c r="BN6" s="5280"/>
      <c r="BO6" s="5280"/>
      <c r="BP6" s="5280"/>
      <c r="BQ6" s="5280"/>
      <c r="BR6" s="5280"/>
      <c r="BS6" s="5280"/>
    </row>
    <row r="7" spans="2:180" s="4613"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4614" customFormat="1" ht="11.25" hidden="1" customHeight="1">
      <c r="B8" s="843"/>
      <c r="F8" s="962"/>
      <c r="G8" s="679"/>
      <c r="H8" s="284"/>
      <c r="I8" s="284"/>
      <c r="J8" s="284"/>
      <c r="K8" s="284"/>
      <c r="L8" s="284"/>
      <c r="M8" s="962"/>
      <c r="N8" s="962"/>
      <c r="O8" s="5453" t="s">
        <v>1100</v>
      </c>
      <c r="P8" s="5454"/>
      <c r="Q8" s="5454"/>
      <c r="R8" s="5454"/>
      <c r="S8" s="5454"/>
      <c r="T8" s="5454"/>
      <c r="U8" s="5454"/>
      <c r="V8" s="5454"/>
      <c r="W8" s="5454"/>
      <c r="X8" s="5454"/>
      <c r="Y8" s="5454"/>
      <c r="Z8" s="5454"/>
      <c r="AA8" s="5454"/>
      <c r="AB8" s="5454"/>
      <c r="AC8" s="5454"/>
      <c r="AD8" s="5454"/>
      <c r="AE8" s="5454"/>
      <c r="AF8" s="5454"/>
      <c r="AG8" s="5454"/>
      <c r="AH8" s="5454"/>
      <c r="AI8" s="5454"/>
      <c r="AJ8" s="5454"/>
      <c r="AK8" s="5454"/>
      <c r="AL8" s="5454"/>
      <c r="AM8" s="5454"/>
      <c r="AN8" s="5454"/>
      <c r="AO8" s="5454"/>
      <c r="AP8" s="5454"/>
      <c r="AQ8" s="5454"/>
      <c r="AR8" s="5454"/>
      <c r="AS8" s="5454"/>
      <c r="AT8" s="5454"/>
      <c r="AU8" s="5454"/>
      <c r="AV8" s="5454"/>
      <c r="AW8" s="5454"/>
      <c r="AX8" s="5454"/>
      <c r="AY8" s="5454"/>
      <c r="AZ8" s="5454"/>
      <c r="BA8" s="5454"/>
      <c r="BB8" s="5454"/>
      <c r="BC8" s="5454"/>
      <c r="BD8" s="5454"/>
      <c r="BE8" s="5454"/>
      <c r="BF8" s="5454"/>
      <c r="BG8" s="5454"/>
      <c r="BH8" s="5454"/>
      <c r="BI8" s="5454"/>
      <c r="BJ8" s="5454"/>
      <c r="BK8" s="5454"/>
      <c r="BL8" s="5454"/>
      <c r="BM8" s="5454"/>
      <c r="BN8" s="5454"/>
      <c r="BO8" s="5454"/>
      <c r="BP8" s="5454"/>
      <c r="BQ8" s="5454"/>
      <c r="BR8" s="5454"/>
      <c r="BS8" s="5455"/>
      <c r="BT8" s="5442"/>
      <c r="BU8" s="5443"/>
      <c r="BV8" s="5443"/>
      <c r="BW8" s="5443"/>
      <c r="BX8" s="5443"/>
      <c r="BY8" s="5443"/>
      <c r="BZ8" s="5443"/>
      <c r="CA8" s="5443"/>
      <c r="CB8" s="5443"/>
      <c r="CC8" s="5443"/>
      <c r="CD8" s="5443"/>
      <c r="CE8" s="5443"/>
      <c r="CF8" s="5443"/>
      <c r="CG8" s="5443"/>
      <c r="CH8" s="5443"/>
      <c r="CI8" s="5443"/>
      <c r="CJ8" s="5443"/>
      <c r="CK8" s="5443"/>
      <c r="CL8" s="5443"/>
      <c r="CM8" s="5443"/>
      <c r="CN8" s="5443"/>
      <c r="CO8" s="5443"/>
      <c r="CP8" s="5443"/>
      <c r="CQ8" s="5443"/>
      <c r="CR8" s="5443"/>
      <c r="CS8" s="5443"/>
      <c r="CT8" s="5443"/>
      <c r="CU8" s="5443"/>
      <c r="CV8" s="5443"/>
      <c r="CW8" s="5443"/>
      <c r="CX8" s="5444"/>
      <c r="CY8" s="5445"/>
      <c r="CZ8" s="5446"/>
      <c r="DA8" s="5446"/>
      <c r="DB8" s="5446"/>
      <c r="DC8" s="5446"/>
      <c r="DD8" s="5446"/>
      <c r="DE8" s="5446"/>
      <c r="DF8" s="5446"/>
      <c r="DG8" s="5446"/>
      <c r="DH8" s="5446"/>
      <c r="DI8" s="5446"/>
      <c r="DJ8" s="5446"/>
      <c r="DK8" s="5446"/>
      <c r="DL8" s="5446"/>
      <c r="DM8" s="5446"/>
      <c r="DN8" s="5446"/>
      <c r="DO8" s="5446"/>
      <c r="DP8" s="5446"/>
      <c r="DQ8" s="5446"/>
      <c r="DR8" s="5446"/>
      <c r="DS8" s="5446"/>
      <c r="DT8" s="5446"/>
      <c r="DU8" s="5446"/>
      <c r="DV8" s="5446"/>
      <c r="DW8" s="5446"/>
      <c r="DX8" s="5447"/>
      <c r="DY8" s="5448" t="s">
        <v>1101</v>
      </c>
      <c r="DZ8" s="5449"/>
      <c r="EA8" s="5449"/>
      <c r="EB8" s="5449"/>
      <c r="EC8" s="5449"/>
      <c r="ED8" s="5449"/>
      <c r="EE8" s="5449"/>
      <c r="EF8" s="5449"/>
      <c r="EG8" s="5449"/>
      <c r="EH8" s="5449"/>
      <c r="EI8" s="5449"/>
      <c r="EJ8" s="5449"/>
      <c r="EK8" s="5449"/>
      <c r="EL8" s="5449"/>
      <c r="EM8" s="5449"/>
      <c r="EN8" s="5449"/>
      <c r="EO8" s="5449"/>
      <c r="EP8" s="5449"/>
      <c r="EQ8" s="5449"/>
      <c r="ER8" s="5449"/>
      <c r="ES8" s="5449"/>
      <c r="ET8" s="5449"/>
      <c r="EU8" s="5449"/>
      <c r="EV8" s="5449"/>
      <c r="EW8" s="5449"/>
      <c r="EX8" s="5449"/>
      <c r="EY8" s="5449"/>
      <c r="EZ8" s="5449"/>
      <c r="FA8" s="5449"/>
      <c r="FB8" s="5449"/>
      <c r="FC8" s="5449"/>
      <c r="FD8" s="5449"/>
      <c r="FE8" s="5449"/>
      <c r="FF8" s="5449"/>
      <c r="FG8" s="5449"/>
      <c r="FH8" s="5449"/>
      <c r="FI8" s="5449"/>
      <c r="FJ8" s="5449"/>
      <c r="FK8" s="5449"/>
      <c r="FL8" s="5449"/>
      <c r="FM8" s="5449"/>
      <c r="FN8" s="5449"/>
      <c r="FO8" s="5449"/>
      <c r="FP8" s="5449"/>
      <c r="FQ8" s="5449"/>
      <c r="FR8" s="5449"/>
      <c r="FS8" s="5449"/>
      <c r="FT8" s="5449"/>
      <c r="FU8" s="5449"/>
      <c r="FV8" s="5449"/>
      <c r="FW8" s="5450"/>
      <c r="FX8" s="962"/>
    </row>
    <row r="9" spans="2:180" s="4614"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5451"/>
      <c r="FX9" s="962"/>
    </row>
    <row r="10" spans="2:180" s="4614" customFormat="1" ht="11.25" customHeight="1">
      <c r="B10" s="843"/>
      <c r="F10" s="5416" t="s">
        <v>417</v>
      </c>
      <c r="G10" s="5433"/>
      <c r="H10" s="5433"/>
      <c r="I10" s="5433"/>
      <c r="J10" s="5433"/>
      <c r="K10" s="5433"/>
      <c r="L10" s="5433"/>
      <c r="M10" s="5433"/>
      <c r="N10" s="5433"/>
      <c r="O10" s="5433"/>
      <c r="P10" s="5433"/>
      <c r="Q10" s="5433"/>
      <c r="R10" s="5433"/>
      <c r="S10" s="5433"/>
      <c r="T10" s="5433"/>
      <c r="U10" s="5433"/>
      <c r="V10" s="5433"/>
      <c r="W10" s="5433"/>
      <c r="X10" s="5433"/>
      <c r="Y10" s="5433"/>
      <c r="Z10" s="5433"/>
      <c r="AA10" s="5433"/>
      <c r="AB10" s="5433"/>
      <c r="AC10" s="5433"/>
      <c r="AD10" s="5433"/>
      <c r="AE10" s="5433"/>
      <c r="AF10" s="5433"/>
      <c r="AG10" s="5433"/>
      <c r="AH10" s="5433"/>
      <c r="AI10" s="5433"/>
      <c r="AJ10" s="5433"/>
      <c r="AK10" s="5433"/>
      <c r="AL10" s="5433"/>
      <c r="AM10" s="5433"/>
      <c r="AN10" s="5433"/>
      <c r="AO10" s="5433"/>
      <c r="AP10" s="5433"/>
      <c r="AQ10" s="5433"/>
      <c r="AR10" s="5433"/>
      <c r="AS10" s="5433"/>
      <c r="AT10" s="5433"/>
      <c r="AU10" s="5433"/>
      <c r="AV10" s="5433"/>
      <c r="AW10" s="5433"/>
      <c r="AX10" s="5433"/>
      <c r="AY10" s="5433"/>
      <c r="AZ10" s="5433"/>
      <c r="BA10" s="5433"/>
      <c r="BB10" s="5433"/>
      <c r="BC10" s="5433"/>
      <c r="BD10" s="5433"/>
      <c r="BE10" s="5433"/>
      <c r="BF10" s="5433"/>
      <c r="BG10" s="5433"/>
      <c r="BH10" s="5433"/>
      <c r="BI10" s="5433"/>
      <c r="BJ10" s="5433"/>
      <c r="BK10" s="5433"/>
      <c r="BL10" s="5433"/>
      <c r="BM10" s="5433"/>
      <c r="BN10" s="5433"/>
      <c r="BO10" s="5433"/>
      <c r="BP10" s="5433"/>
      <c r="BQ10" s="5433"/>
      <c r="BR10" s="5433"/>
      <c r="BS10" s="5433"/>
      <c r="BT10" s="5433"/>
      <c r="BU10" s="5433"/>
      <c r="BV10" s="5433"/>
      <c r="BW10" s="5433"/>
      <c r="BX10" s="5433"/>
      <c r="BY10" s="5433"/>
      <c r="BZ10" s="5433"/>
      <c r="CA10" s="5433"/>
      <c r="CB10" s="5433"/>
      <c r="CC10" s="5433"/>
      <c r="CD10" s="5433"/>
      <c r="CE10" s="5433"/>
      <c r="CF10" s="5433"/>
      <c r="CG10" s="5433"/>
      <c r="CH10" s="5433"/>
      <c r="CI10" s="5433"/>
      <c r="CJ10" s="5433"/>
      <c r="CK10" s="5433"/>
      <c r="CL10" s="5433"/>
      <c r="CM10" s="5433"/>
      <c r="CN10" s="5433"/>
      <c r="CO10" s="5433"/>
      <c r="CP10" s="5433"/>
      <c r="CQ10" s="5433"/>
      <c r="CR10" s="5433"/>
      <c r="CS10" s="5433"/>
      <c r="CT10" s="5433"/>
      <c r="CU10" s="5433"/>
      <c r="CV10" s="5433"/>
      <c r="CW10" s="5433"/>
      <c r="CX10" s="5433"/>
      <c r="CY10" s="5433"/>
      <c r="CZ10" s="5433"/>
      <c r="DA10" s="5433"/>
      <c r="DB10" s="5433"/>
      <c r="DC10" s="5433"/>
      <c r="DD10" s="5433"/>
      <c r="DE10" s="5433"/>
      <c r="DF10" s="5433"/>
      <c r="DG10" s="5433"/>
      <c r="DH10" s="5433"/>
      <c r="DI10" s="5433"/>
      <c r="DJ10" s="5433"/>
      <c r="DK10" s="5433"/>
      <c r="DL10" s="5433"/>
      <c r="DM10" s="5433"/>
      <c r="DN10" s="5433"/>
      <c r="DO10" s="5433"/>
      <c r="DP10" s="5433"/>
      <c r="DQ10" s="5433"/>
      <c r="DR10" s="5433"/>
      <c r="DS10" s="5433"/>
      <c r="DT10" s="5433"/>
      <c r="DU10" s="5433"/>
      <c r="DV10" s="5433"/>
      <c r="DW10" s="5433"/>
      <c r="DX10" s="5433"/>
      <c r="DY10" s="5433"/>
      <c r="DZ10" s="5433"/>
      <c r="EA10" s="5433"/>
      <c r="EB10" s="5433"/>
      <c r="EC10" s="5433"/>
      <c r="ED10" s="5433"/>
      <c r="EE10" s="5433"/>
      <c r="EF10" s="5433"/>
      <c r="EG10" s="5433"/>
      <c r="EH10" s="5433"/>
      <c r="EI10" s="5433"/>
      <c r="EJ10" s="5433"/>
      <c r="EK10" s="5433"/>
      <c r="EL10" s="5433"/>
      <c r="EM10" s="5433"/>
      <c r="EN10" s="5433"/>
      <c r="EO10" s="5433"/>
      <c r="EP10" s="5433"/>
      <c r="EQ10" s="5433"/>
      <c r="ER10" s="5433"/>
      <c r="ES10" s="5433"/>
      <c r="ET10" s="5433"/>
      <c r="EU10" s="5433"/>
      <c r="EV10" s="5433"/>
      <c r="EW10" s="5433"/>
      <c r="EX10" s="5433"/>
      <c r="EY10" s="5433"/>
      <c r="EZ10" s="5433"/>
      <c r="FA10" s="5433"/>
      <c r="FB10" s="5433"/>
      <c r="FC10" s="5433"/>
      <c r="FD10" s="5433"/>
      <c r="FE10" s="5433"/>
      <c r="FF10" s="5433"/>
      <c r="FG10" s="5433"/>
      <c r="FH10" s="5433"/>
      <c r="FI10" s="5433"/>
      <c r="FJ10" s="5433"/>
      <c r="FK10" s="5433"/>
      <c r="FL10" s="5433"/>
      <c r="FM10" s="5433"/>
      <c r="FN10" s="5433"/>
      <c r="FO10" s="5433"/>
      <c r="FP10" s="5433"/>
      <c r="FQ10" s="5433"/>
      <c r="FR10" s="5433"/>
      <c r="FS10" s="5433"/>
      <c r="FT10" s="5433"/>
      <c r="FU10" s="5433"/>
      <c r="FV10" s="5434"/>
      <c r="FW10" s="5451"/>
      <c r="FX10" s="962"/>
    </row>
    <row r="11" spans="2:180" ht="12" customHeight="1">
      <c r="E11" s="845"/>
      <c r="F11" s="5269" t="s">
        <v>83</v>
      </c>
      <c r="G11" s="5269" t="s">
        <v>1102</v>
      </c>
      <c r="H11" s="5269" t="s">
        <v>1103</v>
      </c>
      <c r="I11" s="5269" t="s">
        <v>1104</v>
      </c>
      <c r="J11" s="5441"/>
      <c r="K11" s="5441"/>
      <c r="L11" s="5441"/>
      <c r="M11" s="5441"/>
      <c r="N11" s="5441"/>
      <c r="O11" s="5274" t="s">
        <v>1105</v>
      </c>
      <c r="P11" s="5274"/>
      <c r="Q11" s="5274"/>
      <c r="R11" s="5274"/>
      <c r="S11" s="5274"/>
      <c r="T11" s="5274"/>
      <c r="U11" s="5274"/>
      <c r="V11" s="5274"/>
      <c r="W11" s="5274"/>
      <c r="X11" s="5274"/>
      <c r="Y11" s="5274"/>
      <c r="Z11" s="5274"/>
      <c r="AA11" s="5274"/>
      <c r="AB11" s="5274"/>
      <c r="AC11" s="5439"/>
      <c r="AD11" s="5439"/>
      <c r="AE11" s="5439"/>
      <c r="AF11" s="5439"/>
      <c r="AG11" s="5439"/>
      <c r="AH11" s="5439"/>
      <c r="AI11" s="5439"/>
      <c r="AJ11" s="5439"/>
      <c r="AK11" s="5439"/>
      <c r="AL11" s="5439"/>
      <c r="AM11" s="5439"/>
      <c r="AN11" s="5439"/>
      <c r="AO11" s="5439"/>
      <c r="AP11" s="5439"/>
      <c r="AQ11" s="5439"/>
      <c r="AR11" s="5439"/>
      <c r="AS11" s="5439"/>
      <c r="AT11" s="5439"/>
      <c r="AU11" s="5439"/>
      <c r="AV11" s="5439"/>
      <c r="AW11" s="5439"/>
      <c r="AX11" s="5439"/>
      <c r="AY11" s="5439"/>
      <c r="AZ11" s="5439"/>
      <c r="BA11" s="5439"/>
      <c r="BB11" s="5439"/>
      <c r="BC11" s="5439"/>
      <c r="BD11" s="5439"/>
      <c r="BE11" s="5439"/>
      <c r="BF11" s="5439"/>
      <c r="BG11" s="5439"/>
      <c r="BH11" s="5439"/>
      <c r="BI11" s="5439"/>
      <c r="BJ11" s="5439"/>
      <c r="BK11" s="5439"/>
      <c r="BL11" s="5439"/>
      <c r="BM11" s="5439"/>
      <c r="BN11" s="5439"/>
      <c r="BO11" s="5439"/>
      <c r="BP11" s="5439"/>
      <c r="BQ11" s="5439"/>
      <c r="BR11" s="5439"/>
      <c r="BS11" s="5456"/>
      <c r="BT11" s="5436" t="s">
        <v>1105</v>
      </c>
      <c r="BU11" s="5437"/>
      <c r="BV11" s="5437"/>
      <c r="BW11" s="5437"/>
      <c r="BX11" s="5437"/>
      <c r="BY11" s="5437"/>
      <c r="BZ11" s="5437"/>
      <c r="CA11" s="5437"/>
      <c r="CB11" s="5437"/>
      <c r="CC11" s="5437"/>
      <c r="CD11" s="5437"/>
      <c r="CE11" s="5437"/>
      <c r="CF11" s="5437"/>
      <c r="CG11" s="5437"/>
      <c r="CH11" s="5437"/>
      <c r="CI11" s="5437"/>
      <c r="CJ11" s="5437"/>
      <c r="CK11" s="5438"/>
      <c r="CL11" s="5440"/>
      <c r="CM11" s="5439"/>
      <c r="CN11" s="5439"/>
      <c r="CO11" s="5439"/>
      <c r="CP11" s="5439"/>
      <c r="CQ11" s="5439"/>
      <c r="CR11" s="5439"/>
      <c r="CS11" s="5439"/>
      <c r="CT11" s="5439"/>
      <c r="CU11" s="5439"/>
      <c r="CV11" s="5439"/>
      <c r="CW11" s="5439"/>
      <c r="CX11" s="5456"/>
      <c r="CY11" s="5436" t="s">
        <v>1105</v>
      </c>
      <c r="CZ11" s="5437"/>
      <c r="DA11" s="5437"/>
      <c r="DB11" s="5437"/>
      <c r="DC11" s="5437"/>
      <c r="DD11" s="5437"/>
      <c r="DE11" s="5437"/>
      <c r="DF11" s="5437"/>
      <c r="DG11" s="5437"/>
      <c r="DH11" s="5437"/>
      <c r="DI11" s="5437"/>
      <c r="DJ11" s="5438"/>
      <c r="DK11" s="5440"/>
      <c r="DL11" s="5439"/>
      <c r="DM11" s="5439"/>
      <c r="DN11" s="5439"/>
      <c r="DO11" s="5439"/>
      <c r="DP11" s="5439"/>
      <c r="DQ11" s="5439"/>
      <c r="DR11" s="5439"/>
      <c r="DS11" s="5439"/>
      <c r="DT11" s="5439"/>
      <c r="DU11" s="5439"/>
      <c r="DV11" s="5439"/>
      <c r="DW11" s="5439"/>
      <c r="DX11" s="5439"/>
      <c r="DY11" s="5439"/>
      <c r="DZ11" s="5439"/>
      <c r="EA11" s="5439"/>
      <c r="EB11" s="5439"/>
      <c r="EC11" s="5439"/>
      <c r="ED11" s="5439"/>
      <c r="EE11" s="5439"/>
      <c r="EF11" s="5439"/>
      <c r="EG11" s="5439"/>
      <c r="EH11" s="5439"/>
      <c r="EI11" s="5439"/>
      <c r="EJ11" s="5439"/>
      <c r="EK11" s="5439"/>
      <c r="EL11" s="5439"/>
      <c r="EM11" s="5439"/>
      <c r="EN11" s="5439"/>
      <c r="EO11" s="5439"/>
      <c r="EP11" s="5439"/>
      <c r="EQ11" s="5439"/>
      <c r="ER11" s="5439"/>
      <c r="ES11" s="5439"/>
      <c r="ET11" s="5439"/>
      <c r="EU11" s="5439"/>
      <c r="EV11" s="5439"/>
      <c r="EW11" s="5439"/>
      <c r="EX11" s="5439"/>
      <c r="EY11" s="5439"/>
      <c r="EZ11" s="5439"/>
      <c r="FA11" s="5439"/>
      <c r="FB11" s="5439"/>
      <c r="FC11" s="5439"/>
      <c r="FD11" s="5439"/>
      <c r="FE11" s="5439"/>
      <c r="FF11" s="5439"/>
      <c r="FG11" s="5439"/>
      <c r="FH11" s="5439"/>
      <c r="FI11" s="5439"/>
      <c r="FJ11" s="5439"/>
      <c r="FK11" s="5439"/>
      <c r="FL11" s="5439"/>
      <c r="FM11" s="5439"/>
      <c r="FN11" s="5439"/>
      <c r="FO11" s="5439"/>
      <c r="FP11" s="5439"/>
      <c r="FQ11" s="5439"/>
      <c r="FR11" s="5439"/>
      <c r="FS11" s="5439"/>
      <c r="FT11" s="5439"/>
      <c r="FU11" s="5439"/>
      <c r="FV11" s="5439"/>
      <c r="FW11" s="5451"/>
      <c r="FX11" s="678"/>
    </row>
    <row r="12" spans="2:180" ht="12" customHeight="1">
      <c r="D12" s="846"/>
      <c r="E12" s="845"/>
      <c r="F12" s="5269"/>
      <c r="G12" s="5269"/>
      <c r="H12" s="5269"/>
      <c r="I12" s="5269"/>
      <c r="J12" s="5441"/>
      <c r="K12" s="5441"/>
      <c r="L12" s="5441"/>
      <c r="M12" s="5441"/>
      <c r="N12" s="5441"/>
      <c r="O12" s="5274" t="s">
        <v>1106</v>
      </c>
      <c r="P12" s="5274"/>
      <c r="Q12" s="5274"/>
      <c r="R12" s="5274"/>
      <c r="S12" s="5274" t="s">
        <v>1107</v>
      </c>
      <c r="T12" s="5274"/>
      <c r="U12" s="5274"/>
      <c r="V12" s="5274"/>
      <c r="W12" s="5274"/>
      <c r="X12" s="5274"/>
      <c r="Y12" s="5274"/>
      <c r="Z12" s="5274"/>
      <c r="AA12" s="5274"/>
      <c r="AB12" s="5274"/>
      <c r="AC12" s="5439"/>
      <c r="AD12" s="5439"/>
      <c r="AE12" s="5439"/>
      <c r="AF12" s="5439"/>
      <c r="AG12" s="5439"/>
      <c r="AH12" s="5439"/>
      <c r="AI12" s="5439"/>
      <c r="AJ12" s="5439"/>
      <c r="AK12" s="5439"/>
      <c r="AL12" s="5439"/>
      <c r="AM12" s="5439"/>
      <c r="AN12" s="5439"/>
      <c r="AO12" s="5439"/>
      <c r="AP12" s="5439"/>
      <c r="AQ12" s="5439"/>
      <c r="AR12" s="5439"/>
      <c r="AS12" s="5439"/>
      <c r="AT12" s="5439"/>
      <c r="AU12" s="5439"/>
      <c r="AV12" s="5439"/>
      <c r="AW12" s="5439"/>
      <c r="AX12" s="5439"/>
      <c r="AY12" s="5439"/>
      <c r="AZ12" s="5439"/>
      <c r="BA12" s="5439"/>
      <c r="BB12" s="5439"/>
      <c r="BC12" s="5439"/>
      <c r="BD12" s="5439"/>
      <c r="BE12" s="5439"/>
      <c r="BF12" s="5439"/>
      <c r="BG12" s="5439"/>
      <c r="BH12" s="5439"/>
      <c r="BI12" s="5439"/>
      <c r="BJ12" s="5439"/>
      <c r="BK12" s="5439"/>
      <c r="BL12" s="5439"/>
      <c r="BM12" s="5439"/>
      <c r="BN12" s="5439"/>
      <c r="BO12" s="5439"/>
      <c r="BP12" s="5439"/>
      <c r="BQ12" s="5439"/>
      <c r="BR12" s="5439"/>
      <c r="BS12" s="5456"/>
      <c r="BT12" s="5436" t="s">
        <v>1108</v>
      </c>
      <c r="BU12" s="5437"/>
      <c r="BV12" s="5437"/>
      <c r="BW12" s="5438"/>
      <c r="BX12" s="5436" t="s">
        <v>1109</v>
      </c>
      <c r="BY12" s="5437"/>
      <c r="BZ12" s="5437"/>
      <c r="CA12" s="5438"/>
      <c r="CB12" s="5436" t="s">
        <v>1110</v>
      </c>
      <c r="CC12" s="5438"/>
      <c r="CD12" s="5436" t="s">
        <v>1111</v>
      </c>
      <c r="CE12" s="5437"/>
      <c r="CF12" s="5437"/>
      <c r="CG12" s="5437"/>
      <c r="CH12" s="5437"/>
      <c r="CI12" s="5437"/>
      <c r="CJ12" s="5437"/>
      <c r="CK12" s="5438"/>
      <c r="CL12" s="5440"/>
      <c r="CM12" s="5439"/>
      <c r="CN12" s="5439"/>
      <c r="CO12" s="5439"/>
      <c r="CP12" s="5439"/>
      <c r="CQ12" s="5439"/>
      <c r="CR12" s="5439"/>
      <c r="CS12" s="5439"/>
      <c r="CT12" s="5439"/>
      <c r="CU12" s="5439"/>
      <c r="CV12" s="5439"/>
      <c r="CW12" s="5439"/>
      <c r="CX12" s="5456"/>
      <c r="CY12" s="5436" t="s">
        <v>1112</v>
      </c>
      <c r="CZ12" s="5437"/>
      <c r="DA12" s="5437"/>
      <c r="DB12" s="5437"/>
      <c r="DC12" s="5437"/>
      <c r="DD12" s="5438"/>
      <c r="DE12" s="5436" t="s">
        <v>1113</v>
      </c>
      <c r="DF12" s="5438"/>
      <c r="DG12" s="5436" t="s">
        <v>1111</v>
      </c>
      <c r="DH12" s="5437"/>
      <c r="DI12" s="5437"/>
      <c r="DJ12" s="5438"/>
      <c r="DK12" s="5440"/>
      <c r="DL12" s="5439"/>
      <c r="DM12" s="5439"/>
      <c r="DN12" s="5439"/>
      <c r="DO12" s="5439"/>
      <c r="DP12" s="5439"/>
      <c r="DQ12" s="5439"/>
      <c r="DR12" s="5439"/>
      <c r="DS12" s="5439"/>
      <c r="DT12" s="5439"/>
      <c r="DU12" s="5439"/>
      <c r="DV12" s="5439"/>
      <c r="DW12" s="5439"/>
      <c r="DX12" s="5439"/>
      <c r="DY12" s="5439"/>
      <c r="DZ12" s="5439"/>
      <c r="EA12" s="5439"/>
      <c r="EB12" s="5439"/>
      <c r="EC12" s="5439"/>
      <c r="ED12" s="5439"/>
      <c r="EE12" s="5439"/>
      <c r="EF12" s="5439"/>
      <c r="EG12" s="5439"/>
      <c r="EH12" s="5439"/>
      <c r="EI12" s="5439"/>
      <c r="EJ12" s="5439"/>
      <c r="EK12" s="5439"/>
      <c r="EL12" s="5439"/>
      <c r="EM12" s="5439"/>
      <c r="EN12" s="5439"/>
      <c r="EO12" s="5439"/>
      <c r="EP12" s="5439"/>
      <c r="EQ12" s="5439"/>
      <c r="ER12" s="5439"/>
      <c r="ES12" s="5439"/>
      <c r="ET12" s="5439"/>
      <c r="EU12" s="5439"/>
      <c r="EV12" s="5439"/>
      <c r="EW12" s="5439"/>
      <c r="EX12" s="5439"/>
      <c r="EY12" s="5439"/>
      <c r="EZ12" s="5439"/>
      <c r="FA12" s="5439"/>
      <c r="FB12" s="5439"/>
      <c r="FC12" s="5439"/>
      <c r="FD12" s="5439"/>
      <c r="FE12" s="5439"/>
      <c r="FF12" s="5439"/>
      <c r="FG12" s="5439"/>
      <c r="FH12" s="5439"/>
      <c r="FI12" s="5439"/>
      <c r="FJ12" s="5439"/>
      <c r="FK12" s="5439"/>
      <c r="FL12" s="5439"/>
      <c r="FM12" s="5439"/>
      <c r="FN12" s="5439"/>
      <c r="FO12" s="5439"/>
      <c r="FP12" s="5439"/>
      <c r="FQ12" s="5439"/>
      <c r="FR12" s="5439"/>
      <c r="FS12" s="5439"/>
      <c r="FT12" s="5439"/>
      <c r="FU12" s="5439"/>
      <c r="FV12" s="5439"/>
      <c r="FW12" s="5451"/>
      <c r="FX12" s="678"/>
    </row>
    <row r="13" spans="2:180" ht="36" customHeight="1">
      <c r="D13" s="846"/>
      <c r="E13" s="845"/>
      <c r="F13" s="5269"/>
      <c r="G13" s="5269"/>
      <c r="H13" s="5269"/>
      <c r="I13" s="5269"/>
      <c r="J13" s="5441"/>
      <c r="K13" s="5441"/>
      <c r="L13" s="5441"/>
      <c r="M13" s="5441"/>
      <c r="N13" s="5441"/>
      <c r="O13" s="5274" t="s">
        <v>1114</v>
      </c>
      <c r="P13" s="5274"/>
      <c r="Q13" s="5274"/>
      <c r="R13" s="5274"/>
      <c r="S13" s="5360" t="s">
        <v>1115</v>
      </c>
      <c r="T13" s="5419"/>
      <c r="U13" s="5180" t="s">
        <v>1116</v>
      </c>
      <c r="V13" s="5180"/>
      <c r="W13" s="5180"/>
      <c r="X13" s="5180"/>
      <c r="Y13" s="5180" t="s">
        <v>1117</v>
      </c>
      <c r="Z13" s="5180"/>
      <c r="AA13" s="5180"/>
      <c r="AB13" s="5180"/>
      <c r="AC13" s="5439"/>
      <c r="AD13" s="5439"/>
      <c r="AE13" s="5439"/>
      <c r="AF13" s="5439"/>
      <c r="AG13" s="5439"/>
      <c r="AH13" s="5439"/>
      <c r="AI13" s="5439"/>
      <c r="AJ13" s="5439"/>
      <c r="AK13" s="5439"/>
      <c r="AL13" s="5439"/>
      <c r="AM13" s="5439"/>
      <c r="AN13" s="5439"/>
      <c r="AO13" s="5439"/>
      <c r="AP13" s="5439"/>
      <c r="AQ13" s="5439"/>
      <c r="AR13" s="5439"/>
      <c r="AS13" s="5439"/>
      <c r="AT13" s="5439"/>
      <c r="AU13" s="5439"/>
      <c r="AV13" s="5439"/>
      <c r="AW13" s="5439"/>
      <c r="AX13" s="5439"/>
      <c r="AY13" s="5439"/>
      <c r="AZ13" s="5439"/>
      <c r="BA13" s="5439"/>
      <c r="BB13" s="5439"/>
      <c r="BC13" s="5439"/>
      <c r="BD13" s="5439"/>
      <c r="BE13" s="5439"/>
      <c r="BF13" s="5439"/>
      <c r="BG13" s="5439"/>
      <c r="BH13" s="5439"/>
      <c r="BI13" s="5439"/>
      <c r="BJ13" s="5439"/>
      <c r="BK13" s="5439"/>
      <c r="BL13" s="5439"/>
      <c r="BM13" s="5439"/>
      <c r="BN13" s="5439"/>
      <c r="BO13" s="5439"/>
      <c r="BP13" s="5439"/>
      <c r="BQ13" s="5439"/>
      <c r="BR13" s="5439"/>
      <c r="BS13" s="5456"/>
      <c r="BT13" s="5360" t="s">
        <v>1118</v>
      </c>
      <c r="BU13" s="5419"/>
      <c r="BV13" s="5360" t="s">
        <v>1119</v>
      </c>
      <c r="BW13" s="5419"/>
      <c r="BX13" s="5360" t="s">
        <v>1120</v>
      </c>
      <c r="BY13" s="5419"/>
      <c r="BZ13" s="5360" t="s">
        <v>1121</v>
      </c>
      <c r="CA13" s="5419"/>
      <c r="CB13" s="5360" t="s">
        <v>1122</v>
      </c>
      <c r="CC13" s="5419"/>
      <c r="CD13" s="5360" t="s">
        <v>1123</v>
      </c>
      <c r="CE13" s="5419"/>
      <c r="CF13" s="5360" t="s">
        <v>1124</v>
      </c>
      <c r="CG13" s="5419"/>
      <c r="CH13" s="5436" t="s">
        <v>1125</v>
      </c>
      <c r="CI13" s="5437"/>
      <c r="CJ13" s="5437"/>
      <c r="CK13" s="5438"/>
      <c r="CL13" s="5440"/>
      <c r="CM13" s="5439"/>
      <c r="CN13" s="5439"/>
      <c r="CO13" s="5439"/>
      <c r="CP13" s="5439"/>
      <c r="CQ13" s="5439"/>
      <c r="CR13" s="5439"/>
      <c r="CS13" s="5439"/>
      <c r="CT13" s="5439"/>
      <c r="CU13" s="5439"/>
      <c r="CV13" s="5439"/>
      <c r="CW13" s="5439"/>
      <c r="CX13" s="5456"/>
      <c r="CY13" s="5360" t="s">
        <v>1126</v>
      </c>
      <c r="CZ13" s="5419"/>
      <c r="DA13" s="5360" t="s">
        <v>1127</v>
      </c>
      <c r="DB13" s="5419"/>
      <c r="DC13" s="5360" t="s">
        <v>1128</v>
      </c>
      <c r="DD13" s="5419"/>
      <c r="DE13" s="5360" t="s">
        <v>1129</v>
      </c>
      <c r="DF13" s="5419"/>
      <c r="DG13" s="5436" t="s">
        <v>1130</v>
      </c>
      <c r="DH13" s="5437"/>
      <c r="DI13" s="5437"/>
      <c r="DJ13" s="5438"/>
      <c r="DK13" s="5440"/>
      <c r="DL13" s="5439"/>
      <c r="DM13" s="5439"/>
      <c r="DN13" s="5439"/>
      <c r="DO13" s="5439"/>
      <c r="DP13" s="5439"/>
      <c r="DQ13" s="5439"/>
      <c r="DR13" s="5439"/>
      <c r="DS13" s="5439"/>
      <c r="DT13" s="5439"/>
      <c r="DU13" s="5439"/>
      <c r="DV13" s="5439"/>
      <c r="DW13" s="5439"/>
      <c r="DX13" s="5439"/>
      <c r="DY13" s="5439"/>
      <c r="DZ13" s="5439"/>
      <c r="EA13" s="5439"/>
      <c r="EB13" s="5439"/>
      <c r="EC13" s="5439"/>
      <c r="ED13" s="5439"/>
      <c r="EE13" s="5439"/>
      <c r="EF13" s="5439"/>
      <c r="EG13" s="5439"/>
      <c r="EH13" s="5439"/>
      <c r="EI13" s="5439"/>
      <c r="EJ13" s="5439"/>
      <c r="EK13" s="5439"/>
      <c r="EL13" s="5439"/>
      <c r="EM13" s="5439"/>
      <c r="EN13" s="5439"/>
      <c r="EO13" s="5439"/>
      <c r="EP13" s="5439"/>
      <c r="EQ13" s="5439"/>
      <c r="ER13" s="5439"/>
      <c r="ES13" s="5439"/>
      <c r="ET13" s="5439"/>
      <c r="EU13" s="5439"/>
      <c r="EV13" s="5439"/>
      <c r="EW13" s="5439"/>
      <c r="EX13" s="5439"/>
      <c r="EY13" s="5439"/>
      <c r="EZ13" s="5439"/>
      <c r="FA13" s="5439"/>
      <c r="FB13" s="5439"/>
      <c r="FC13" s="5439"/>
      <c r="FD13" s="5439"/>
      <c r="FE13" s="5439"/>
      <c r="FF13" s="5439"/>
      <c r="FG13" s="5439"/>
      <c r="FH13" s="5439"/>
      <c r="FI13" s="5439"/>
      <c r="FJ13" s="5439"/>
      <c r="FK13" s="5439"/>
      <c r="FL13" s="5439"/>
      <c r="FM13" s="5439"/>
      <c r="FN13" s="5439"/>
      <c r="FO13" s="5439"/>
      <c r="FP13" s="5439"/>
      <c r="FQ13" s="5439"/>
      <c r="FR13" s="5439"/>
      <c r="FS13" s="5439"/>
      <c r="FT13" s="5439"/>
      <c r="FU13" s="5439"/>
      <c r="FV13" s="5439"/>
      <c r="FW13" s="5451"/>
      <c r="FX13" s="678"/>
    </row>
    <row r="14" spans="2:180" ht="36" customHeight="1">
      <c r="D14" s="846"/>
      <c r="E14" s="845"/>
      <c r="F14" s="5269"/>
      <c r="G14" s="5269"/>
      <c r="H14" s="5269"/>
      <c r="I14" s="5269"/>
      <c r="J14" s="5441"/>
      <c r="K14" s="5441"/>
      <c r="L14" s="5441"/>
      <c r="M14" s="5441"/>
      <c r="N14" s="5441"/>
      <c r="O14" s="5360" t="s">
        <v>1131</v>
      </c>
      <c r="P14" s="5419"/>
      <c r="Q14" s="5360" t="s">
        <v>1132</v>
      </c>
      <c r="R14" s="5419"/>
      <c r="S14" s="5361"/>
      <c r="T14" s="5275"/>
      <c r="U14" s="5360" t="s">
        <v>864</v>
      </c>
      <c r="V14" s="5419"/>
      <c r="W14" s="5360" t="s">
        <v>867</v>
      </c>
      <c r="X14" s="5419"/>
      <c r="Y14" s="5360" t="s">
        <v>864</v>
      </c>
      <c r="Z14" s="5419"/>
      <c r="AA14" s="5360" t="s">
        <v>874</v>
      </c>
      <c r="AB14" s="5419"/>
      <c r="AC14" s="5439"/>
      <c r="AD14" s="5439"/>
      <c r="AE14" s="5439"/>
      <c r="AF14" s="5439"/>
      <c r="AG14" s="5439"/>
      <c r="AH14" s="5439"/>
      <c r="AI14" s="5439"/>
      <c r="AJ14" s="5439"/>
      <c r="AK14" s="5439"/>
      <c r="AL14" s="5439"/>
      <c r="AM14" s="5439"/>
      <c r="AN14" s="5439"/>
      <c r="AO14" s="5439"/>
      <c r="AP14" s="5439"/>
      <c r="AQ14" s="5439"/>
      <c r="AR14" s="5439"/>
      <c r="AS14" s="5439"/>
      <c r="AT14" s="5439"/>
      <c r="AU14" s="5439"/>
      <c r="AV14" s="5439"/>
      <c r="AW14" s="5439"/>
      <c r="AX14" s="5439"/>
      <c r="AY14" s="5439"/>
      <c r="AZ14" s="5439"/>
      <c r="BA14" s="5439"/>
      <c r="BB14" s="5439"/>
      <c r="BC14" s="5439"/>
      <c r="BD14" s="5439"/>
      <c r="BE14" s="5439"/>
      <c r="BF14" s="5439"/>
      <c r="BG14" s="5439"/>
      <c r="BH14" s="5439"/>
      <c r="BI14" s="5439"/>
      <c r="BJ14" s="5439"/>
      <c r="BK14" s="5439"/>
      <c r="BL14" s="5439"/>
      <c r="BM14" s="5439"/>
      <c r="BN14" s="5439"/>
      <c r="BO14" s="5439"/>
      <c r="BP14" s="5439"/>
      <c r="BQ14" s="5439"/>
      <c r="BR14" s="5439"/>
      <c r="BS14" s="5456"/>
      <c r="BT14" s="5361"/>
      <c r="BU14" s="5275"/>
      <c r="BV14" s="5361"/>
      <c r="BW14" s="5275"/>
      <c r="BX14" s="5361"/>
      <c r="BY14" s="5275"/>
      <c r="BZ14" s="5361"/>
      <c r="CA14" s="5275"/>
      <c r="CB14" s="5361"/>
      <c r="CC14" s="5275"/>
      <c r="CD14" s="5361"/>
      <c r="CE14" s="5275"/>
      <c r="CF14" s="5361"/>
      <c r="CG14" s="5275"/>
      <c r="CH14" s="5360" t="s">
        <v>1133</v>
      </c>
      <c r="CI14" s="5419"/>
      <c r="CJ14" s="5360" t="s">
        <v>1134</v>
      </c>
      <c r="CK14" s="5419"/>
      <c r="CL14" s="5440"/>
      <c r="CM14" s="5439"/>
      <c r="CN14" s="5439"/>
      <c r="CO14" s="5439"/>
      <c r="CP14" s="5439"/>
      <c r="CQ14" s="5439"/>
      <c r="CR14" s="5439"/>
      <c r="CS14" s="5439"/>
      <c r="CT14" s="5439"/>
      <c r="CU14" s="5439"/>
      <c r="CV14" s="5439"/>
      <c r="CW14" s="5439"/>
      <c r="CX14" s="5456"/>
      <c r="CY14" s="5361"/>
      <c r="CZ14" s="5275"/>
      <c r="DA14" s="5361"/>
      <c r="DB14" s="5275"/>
      <c r="DC14" s="5361"/>
      <c r="DD14" s="5275"/>
      <c r="DE14" s="5361"/>
      <c r="DF14" s="5275"/>
      <c r="DG14" s="5360" t="s">
        <v>1135</v>
      </c>
      <c r="DH14" s="5419"/>
      <c r="DI14" s="5360" t="s">
        <v>1136</v>
      </c>
      <c r="DJ14" s="5419"/>
      <c r="DK14" s="5440"/>
      <c r="DL14" s="5439"/>
      <c r="DM14" s="5439"/>
      <c r="DN14" s="5439"/>
      <c r="DO14" s="5439"/>
      <c r="DP14" s="5439"/>
      <c r="DQ14" s="5439"/>
      <c r="DR14" s="5439"/>
      <c r="DS14" s="5439"/>
      <c r="DT14" s="5439"/>
      <c r="DU14" s="5439"/>
      <c r="DV14" s="5439"/>
      <c r="DW14" s="5439"/>
      <c r="DX14" s="5439"/>
      <c r="DY14" s="5439"/>
      <c r="DZ14" s="5439"/>
      <c r="EA14" s="5439"/>
      <c r="EB14" s="5439"/>
      <c r="EC14" s="5439"/>
      <c r="ED14" s="5439"/>
      <c r="EE14" s="5439"/>
      <c r="EF14" s="5439"/>
      <c r="EG14" s="5439"/>
      <c r="EH14" s="5439"/>
      <c r="EI14" s="5439"/>
      <c r="EJ14" s="5439"/>
      <c r="EK14" s="5439"/>
      <c r="EL14" s="5439"/>
      <c r="EM14" s="5439"/>
      <c r="EN14" s="5439"/>
      <c r="EO14" s="5439"/>
      <c r="EP14" s="5439"/>
      <c r="EQ14" s="5439"/>
      <c r="ER14" s="5439"/>
      <c r="ES14" s="5439"/>
      <c r="ET14" s="5439"/>
      <c r="EU14" s="5439"/>
      <c r="EV14" s="5439"/>
      <c r="EW14" s="5439"/>
      <c r="EX14" s="5439"/>
      <c r="EY14" s="5439"/>
      <c r="EZ14" s="5439"/>
      <c r="FA14" s="5439"/>
      <c r="FB14" s="5439"/>
      <c r="FC14" s="5439"/>
      <c r="FD14" s="5439"/>
      <c r="FE14" s="5439"/>
      <c r="FF14" s="5439"/>
      <c r="FG14" s="5439"/>
      <c r="FH14" s="5439"/>
      <c r="FI14" s="5439"/>
      <c r="FJ14" s="5439"/>
      <c r="FK14" s="5439"/>
      <c r="FL14" s="5439"/>
      <c r="FM14" s="5439"/>
      <c r="FN14" s="5439"/>
      <c r="FO14" s="5439"/>
      <c r="FP14" s="5439"/>
      <c r="FQ14" s="5439"/>
      <c r="FR14" s="5439"/>
      <c r="FS14" s="5439"/>
      <c r="FT14" s="5439"/>
      <c r="FU14" s="5439"/>
      <c r="FV14" s="5439"/>
      <c r="FW14" s="5451"/>
      <c r="FX14" s="678"/>
    </row>
    <row r="15" spans="2:180" ht="36" customHeight="1">
      <c r="D15" s="846"/>
      <c r="E15" s="845"/>
      <c r="F15" s="5269"/>
      <c r="G15" s="5269"/>
      <c r="H15" s="5269"/>
      <c r="I15" s="5269"/>
      <c r="J15" s="5441"/>
      <c r="K15" s="5441"/>
      <c r="L15" s="5441"/>
      <c r="M15" s="5441"/>
      <c r="N15" s="5441"/>
      <c r="O15" s="5362"/>
      <c r="P15" s="5420"/>
      <c r="Q15" s="5362"/>
      <c r="R15" s="5420"/>
      <c r="S15" s="5362"/>
      <c r="T15" s="5420"/>
      <c r="U15" s="5362"/>
      <c r="V15" s="5420"/>
      <c r="W15" s="5362"/>
      <c r="X15" s="5420"/>
      <c r="Y15" s="5362"/>
      <c r="Z15" s="5420"/>
      <c r="AA15" s="5362"/>
      <c r="AB15" s="5420"/>
      <c r="AC15" s="5439"/>
      <c r="AD15" s="5439"/>
      <c r="AE15" s="5439"/>
      <c r="AF15" s="5439"/>
      <c r="AG15" s="5439"/>
      <c r="AH15" s="5439"/>
      <c r="AI15" s="5439"/>
      <c r="AJ15" s="5439"/>
      <c r="AK15" s="5439"/>
      <c r="AL15" s="5439"/>
      <c r="AM15" s="5439"/>
      <c r="AN15" s="5439"/>
      <c r="AO15" s="5439"/>
      <c r="AP15" s="5439"/>
      <c r="AQ15" s="5439"/>
      <c r="AR15" s="5439"/>
      <c r="AS15" s="5439"/>
      <c r="AT15" s="5439"/>
      <c r="AU15" s="5439"/>
      <c r="AV15" s="5439"/>
      <c r="AW15" s="5439"/>
      <c r="AX15" s="5439"/>
      <c r="AY15" s="5439"/>
      <c r="AZ15" s="5439"/>
      <c r="BA15" s="5439"/>
      <c r="BB15" s="5439"/>
      <c r="BC15" s="5439"/>
      <c r="BD15" s="5439"/>
      <c r="BE15" s="5439"/>
      <c r="BF15" s="5439"/>
      <c r="BG15" s="5439"/>
      <c r="BH15" s="5439"/>
      <c r="BI15" s="5439"/>
      <c r="BJ15" s="5439"/>
      <c r="BK15" s="5439"/>
      <c r="BL15" s="5439"/>
      <c r="BM15" s="5439"/>
      <c r="BN15" s="5439"/>
      <c r="BO15" s="5439"/>
      <c r="BP15" s="5439"/>
      <c r="BQ15" s="5439"/>
      <c r="BR15" s="5439"/>
      <c r="BS15" s="5456"/>
      <c r="BT15" s="5362"/>
      <c r="BU15" s="5420"/>
      <c r="BV15" s="5362"/>
      <c r="BW15" s="5420"/>
      <c r="BX15" s="5362"/>
      <c r="BY15" s="5420"/>
      <c r="BZ15" s="5362"/>
      <c r="CA15" s="5420"/>
      <c r="CB15" s="5362"/>
      <c r="CC15" s="5420"/>
      <c r="CD15" s="5362"/>
      <c r="CE15" s="5420"/>
      <c r="CF15" s="5362"/>
      <c r="CG15" s="5420"/>
      <c r="CH15" s="5362"/>
      <c r="CI15" s="5420"/>
      <c r="CJ15" s="5362"/>
      <c r="CK15" s="5420"/>
      <c r="CL15" s="5440"/>
      <c r="CM15" s="5439"/>
      <c r="CN15" s="5439"/>
      <c r="CO15" s="5439"/>
      <c r="CP15" s="5439"/>
      <c r="CQ15" s="5439"/>
      <c r="CR15" s="5439"/>
      <c r="CS15" s="5439"/>
      <c r="CT15" s="5439"/>
      <c r="CU15" s="5439"/>
      <c r="CV15" s="5439"/>
      <c r="CW15" s="5439"/>
      <c r="CX15" s="5456"/>
      <c r="CY15" s="5362"/>
      <c r="CZ15" s="5420"/>
      <c r="DA15" s="5362"/>
      <c r="DB15" s="5420"/>
      <c r="DC15" s="5362"/>
      <c r="DD15" s="5420"/>
      <c r="DE15" s="5362"/>
      <c r="DF15" s="5420"/>
      <c r="DG15" s="5362"/>
      <c r="DH15" s="5420"/>
      <c r="DI15" s="5362"/>
      <c r="DJ15" s="5420"/>
      <c r="DK15" s="5440"/>
      <c r="DL15" s="5439"/>
      <c r="DM15" s="5439"/>
      <c r="DN15" s="5439"/>
      <c r="DO15" s="5439"/>
      <c r="DP15" s="5439"/>
      <c r="DQ15" s="5439"/>
      <c r="DR15" s="5439"/>
      <c r="DS15" s="5439"/>
      <c r="DT15" s="5439"/>
      <c r="DU15" s="5439"/>
      <c r="DV15" s="5439"/>
      <c r="DW15" s="5439"/>
      <c r="DX15" s="5439"/>
      <c r="DY15" s="5439"/>
      <c r="DZ15" s="5439"/>
      <c r="EA15" s="5439"/>
      <c r="EB15" s="5439"/>
      <c r="EC15" s="5439"/>
      <c r="ED15" s="5439"/>
      <c r="EE15" s="5439"/>
      <c r="EF15" s="5439"/>
      <c r="EG15" s="5439"/>
      <c r="EH15" s="5439"/>
      <c r="EI15" s="5439"/>
      <c r="EJ15" s="5439"/>
      <c r="EK15" s="5439"/>
      <c r="EL15" s="5439"/>
      <c r="EM15" s="5439"/>
      <c r="EN15" s="5439"/>
      <c r="EO15" s="5439"/>
      <c r="EP15" s="5439"/>
      <c r="EQ15" s="5439"/>
      <c r="ER15" s="5439"/>
      <c r="ES15" s="5439"/>
      <c r="ET15" s="5439"/>
      <c r="EU15" s="5439"/>
      <c r="EV15" s="5439"/>
      <c r="EW15" s="5439"/>
      <c r="EX15" s="5439"/>
      <c r="EY15" s="5439"/>
      <c r="EZ15" s="5439"/>
      <c r="FA15" s="5439"/>
      <c r="FB15" s="5439"/>
      <c r="FC15" s="5439"/>
      <c r="FD15" s="5439"/>
      <c r="FE15" s="5439"/>
      <c r="FF15" s="5439"/>
      <c r="FG15" s="5439"/>
      <c r="FH15" s="5439"/>
      <c r="FI15" s="5439"/>
      <c r="FJ15" s="5439"/>
      <c r="FK15" s="5439"/>
      <c r="FL15" s="5439"/>
      <c r="FM15" s="5439"/>
      <c r="FN15" s="5439"/>
      <c r="FO15" s="5439"/>
      <c r="FP15" s="5439"/>
      <c r="FQ15" s="5439"/>
      <c r="FR15" s="5439"/>
      <c r="FS15" s="5439"/>
      <c r="FT15" s="5439"/>
      <c r="FU15" s="5439"/>
      <c r="FV15" s="5439"/>
      <c r="FW15" s="5451"/>
      <c r="FX15" s="678"/>
    </row>
    <row r="16" spans="2:180" ht="12" customHeight="1">
      <c r="D16" s="846"/>
      <c r="E16" s="845"/>
      <c r="F16" s="5269"/>
      <c r="G16" s="5269"/>
      <c r="H16" s="5269"/>
      <c r="I16" s="5269"/>
      <c r="J16" s="5441"/>
      <c r="K16" s="5441"/>
      <c r="L16" s="5441"/>
      <c r="M16" s="5441"/>
      <c r="N16" s="5441"/>
      <c r="O16" s="5436" t="s">
        <v>854</v>
      </c>
      <c r="P16" s="5438"/>
      <c r="Q16" s="5436" t="s">
        <v>856</v>
      </c>
      <c r="R16" s="5438"/>
      <c r="S16" s="5436" t="s">
        <v>860</v>
      </c>
      <c r="T16" s="5438"/>
      <c r="U16" s="5436" t="s">
        <v>865</v>
      </c>
      <c r="V16" s="5438"/>
      <c r="W16" s="5436" t="s">
        <v>868</v>
      </c>
      <c r="X16" s="5438"/>
      <c r="Y16" s="5436" t="s">
        <v>872</v>
      </c>
      <c r="Z16" s="5438"/>
      <c r="AA16" s="5436" t="s">
        <v>875</v>
      </c>
      <c r="AB16" s="5438"/>
      <c r="AC16" s="5439"/>
      <c r="AD16" s="5439"/>
      <c r="AE16" s="5439"/>
      <c r="AF16" s="5439"/>
      <c r="AG16" s="5439"/>
      <c r="AH16" s="5439"/>
      <c r="AI16" s="5439"/>
      <c r="AJ16" s="5439"/>
      <c r="AK16" s="5439"/>
      <c r="AL16" s="5439"/>
      <c r="AM16" s="5439"/>
      <c r="AN16" s="5439"/>
      <c r="AO16" s="5439"/>
      <c r="AP16" s="5439"/>
      <c r="AQ16" s="5439"/>
      <c r="AR16" s="5439"/>
      <c r="AS16" s="5439"/>
      <c r="AT16" s="5439"/>
      <c r="AU16" s="5439"/>
      <c r="AV16" s="5439"/>
      <c r="AW16" s="5439"/>
      <c r="AX16" s="5439"/>
      <c r="AY16" s="5439"/>
      <c r="AZ16" s="5439"/>
      <c r="BA16" s="5439"/>
      <c r="BB16" s="5439"/>
      <c r="BC16" s="5439"/>
      <c r="BD16" s="5439"/>
      <c r="BE16" s="5439"/>
      <c r="BF16" s="5439"/>
      <c r="BG16" s="5439"/>
      <c r="BH16" s="5439"/>
      <c r="BI16" s="5439"/>
      <c r="BJ16" s="5439"/>
      <c r="BK16" s="5439"/>
      <c r="BL16" s="5439"/>
      <c r="BM16" s="5439"/>
      <c r="BN16" s="5439"/>
      <c r="BO16" s="5439"/>
      <c r="BP16" s="5439"/>
      <c r="BQ16" s="5439"/>
      <c r="BR16" s="5439"/>
      <c r="BS16" s="5456"/>
      <c r="BT16" s="5436" t="s">
        <v>672</v>
      </c>
      <c r="BU16" s="5438"/>
      <c r="BV16" s="5436" t="s">
        <v>672</v>
      </c>
      <c r="BW16" s="5438"/>
      <c r="BX16" s="5436" t="s">
        <v>672</v>
      </c>
      <c r="BY16" s="5438"/>
      <c r="BZ16" s="5436" t="s">
        <v>672</v>
      </c>
      <c r="CA16" s="5438"/>
      <c r="CB16" s="5436" t="s">
        <v>1137</v>
      </c>
      <c r="CC16" s="5438"/>
      <c r="CD16" s="5436" t="s">
        <v>672</v>
      </c>
      <c r="CE16" s="5438"/>
      <c r="CF16" s="5436" t="s">
        <v>1138</v>
      </c>
      <c r="CG16" s="5438"/>
      <c r="CH16" s="5436" t="s">
        <v>1139</v>
      </c>
      <c r="CI16" s="5438"/>
      <c r="CJ16" s="5436" t="s">
        <v>1139</v>
      </c>
      <c r="CK16" s="5438"/>
      <c r="CL16" s="5440"/>
      <c r="CM16" s="5439"/>
      <c r="CN16" s="5439"/>
      <c r="CO16" s="5439"/>
      <c r="CP16" s="5439"/>
      <c r="CQ16" s="5439"/>
      <c r="CR16" s="5439"/>
      <c r="CS16" s="5439"/>
      <c r="CT16" s="5439"/>
      <c r="CU16" s="5439"/>
      <c r="CV16" s="5439"/>
      <c r="CW16" s="5439"/>
      <c r="CX16" s="5456"/>
      <c r="CY16" s="5360" t="s">
        <v>672</v>
      </c>
      <c r="CZ16" s="5419"/>
      <c r="DA16" s="5360" t="s">
        <v>672</v>
      </c>
      <c r="DB16" s="5419"/>
      <c r="DC16" s="5360" t="s">
        <v>672</v>
      </c>
      <c r="DD16" s="5419"/>
      <c r="DE16" s="5436" t="s">
        <v>1137</v>
      </c>
      <c r="DF16" s="5438"/>
      <c r="DG16" s="5436" t="s">
        <v>1140</v>
      </c>
      <c r="DH16" s="5438"/>
      <c r="DI16" s="5436" t="s">
        <v>1140</v>
      </c>
      <c r="DJ16" s="5438"/>
      <c r="DK16" s="5440"/>
      <c r="DL16" s="5439"/>
      <c r="DM16" s="5439"/>
      <c r="DN16" s="5439"/>
      <c r="DO16" s="5439"/>
      <c r="DP16" s="5439"/>
      <c r="DQ16" s="5439"/>
      <c r="DR16" s="5439"/>
      <c r="DS16" s="5439"/>
      <c r="DT16" s="5439"/>
      <c r="DU16" s="5439"/>
      <c r="DV16" s="5439"/>
      <c r="DW16" s="5439"/>
      <c r="DX16" s="5439"/>
      <c r="DY16" s="5439"/>
      <c r="DZ16" s="5439"/>
      <c r="EA16" s="5439"/>
      <c r="EB16" s="5439"/>
      <c r="EC16" s="5439"/>
      <c r="ED16" s="5439"/>
      <c r="EE16" s="5439"/>
      <c r="EF16" s="5439"/>
      <c r="EG16" s="5439"/>
      <c r="EH16" s="5439"/>
      <c r="EI16" s="5439"/>
      <c r="EJ16" s="5439"/>
      <c r="EK16" s="5439"/>
      <c r="EL16" s="5439"/>
      <c r="EM16" s="5439"/>
      <c r="EN16" s="5439"/>
      <c r="EO16" s="5439"/>
      <c r="EP16" s="5439"/>
      <c r="EQ16" s="5439"/>
      <c r="ER16" s="5439"/>
      <c r="ES16" s="5439"/>
      <c r="ET16" s="5439"/>
      <c r="EU16" s="5439"/>
      <c r="EV16" s="5439"/>
      <c r="EW16" s="5439"/>
      <c r="EX16" s="5439"/>
      <c r="EY16" s="5439"/>
      <c r="EZ16" s="5439"/>
      <c r="FA16" s="5439"/>
      <c r="FB16" s="5439"/>
      <c r="FC16" s="5439"/>
      <c r="FD16" s="5439"/>
      <c r="FE16" s="5439"/>
      <c r="FF16" s="5439"/>
      <c r="FG16" s="5439"/>
      <c r="FH16" s="5439"/>
      <c r="FI16" s="5439"/>
      <c r="FJ16" s="5439"/>
      <c r="FK16" s="5439"/>
      <c r="FL16" s="5439"/>
      <c r="FM16" s="5439"/>
      <c r="FN16" s="5439"/>
      <c r="FO16" s="5439"/>
      <c r="FP16" s="5439"/>
      <c r="FQ16" s="5439"/>
      <c r="FR16" s="5439"/>
      <c r="FS16" s="5439"/>
      <c r="FT16" s="5439"/>
      <c r="FU16" s="5439"/>
      <c r="FV16" s="5439"/>
      <c r="FW16" s="5451"/>
      <c r="FX16" s="678"/>
    </row>
    <row r="17" spans="1:184" ht="15" customHeight="1">
      <c r="E17" s="845"/>
      <c r="F17" s="5269"/>
      <c r="G17" s="5269"/>
      <c r="H17" s="5269"/>
      <c r="I17" s="5269"/>
      <c r="J17" s="5441"/>
      <c r="K17" s="5441"/>
      <c r="L17" s="5441"/>
      <c r="M17" s="5441"/>
      <c r="N17" s="5441"/>
      <c r="O17" s="1092" t="s">
        <v>1141</v>
      </c>
      <c r="P17" s="1092" t="s">
        <v>1142</v>
      </c>
      <c r="Q17" s="1092" t="s">
        <v>1141</v>
      </c>
      <c r="R17" s="1092" t="s">
        <v>1142</v>
      </c>
      <c r="S17" s="1092" t="s">
        <v>1141</v>
      </c>
      <c r="T17" s="1092" t="s">
        <v>1142</v>
      </c>
      <c r="U17" s="1092" t="s">
        <v>1141</v>
      </c>
      <c r="V17" s="1092" t="s">
        <v>1142</v>
      </c>
      <c r="W17" s="1092" t="s">
        <v>1141</v>
      </c>
      <c r="X17" s="1092" t="s">
        <v>1142</v>
      </c>
      <c r="Y17" s="1092" t="s">
        <v>1141</v>
      </c>
      <c r="Z17" s="1092" t="s">
        <v>1142</v>
      </c>
      <c r="AA17" s="1092" t="s">
        <v>1141</v>
      </c>
      <c r="AB17" s="1092" t="s">
        <v>1142</v>
      </c>
      <c r="AC17" s="5439"/>
      <c r="AD17" s="5439"/>
      <c r="AE17" s="5439"/>
      <c r="AF17" s="5439"/>
      <c r="AG17" s="5439"/>
      <c r="AH17" s="5439"/>
      <c r="AI17" s="5439"/>
      <c r="AJ17" s="5439"/>
      <c r="AK17" s="5439"/>
      <c r="AL17" s="5439"/>
      <c r="AM17" s="5439"/>
      <c r="AN17" s="5439"/>
      <c r="AO17" s="5439"/>
      <c r="AP17" s="5439"/>
      <c r="AQ17" s="5439"/>
      <c r="AR17" s="5439"/>
      <c r="AS17" s="5439"/>
      <c r="AT17" s="5439"/>
      <c r="AU17" s="5439"/>
      <c r="AV17" s="5439"/>
      <c r="AW17" s="5439"/>
      <c r="AX17" s="5439"/>
      <c r="AY17" s="5439"/>
      <c r="AZ17" s="5439"/>
      <c r="BA17" s="5439"/>
      <c r="BB17" s="5439"/>
      <c r="BC17" s="5439"/>
      <c r="BD17" s="5439"/>
      <c r="BE17" s="5439"/>
      <c r="BF17" s="5439"/>
      <c r="BG17" s="5439"/>
      <c r="BH17" s="5439"/>
      <c r="BI17" s="5439"/>
      <c r="BJ17" s="5439"/>
      <c r="BK17" s="5439"/>
      <c r="BL17" s="5439"/>
      <c r="BM17" s="5439"/>
      <c r="BN17" s="5439"/>
      <c r="BO17" s="5439"/>
      <c r="BP17" s="5439"/>
      <c r="BQ17" s="5439"/>
      <c r="BR17" s="5439"/>
      <c r="BS17" s="5456"/>
      <c r="BT17" s="1092" t="s">
        <v>1141</v>
      </c>
      <c r="BU17" s="1092" t="s">
        <v>1142</v>
      </c>
      <c r="BV17" s="1092" t="s">
        <v>1141</v>
      </c>
      <c r="BW17" s="1092" t="s">
        <v>1142</v>
      </c>
      <c r="BX17" s="1092" t="s">
        <v>1141</v>
      </c>
      <c r="BY17" s="1092" t="s">
        <v>1142</v>
      </c>
      <c r="BZ17" s="1092" t="s">
        <v>1141</v>
      </c>
      <c r="CA17" s="1092" t="s">
        <v>1142</v>
      </c>
      <c r="CB17" s="1092" t="s">
        <v>1141</v>
      </c>
      <c r="CC17" s="1092" t="s">
        <v>1142</v>
      </c>
      <c r="CD17" s="1092" t="s">
        <v>1141</v>
      </c>
      <c r="CE17" s="1092" t="s">
        <v>1142</v>
      </c>
      <c r="CF17" s="1092" t="s">
        <v>1141</v>
      </c>
      <c r="CG17" s="1092" t="s">
        <v>1142</v>
      </c>
      <c r="CH17" s="1092" t="s">
        <v>1141</v>
      </c>
      <c r="CI17" s="1092" t="s">
        <v>1142</v>
      </c>
      <c r="CJ17" s="1092" t="s">
        <v>1141</v>
      </c>
      <c r="CK17" s="1092" t="s">
        <v>1142</v>
      </c>
      <c r="CL17" s="5440"/>
      <c r="CM17" s="5439"/>
      <c r="CN17" s="5439"/>
      <c r="CO17" s="5439"/>
      <c r="CP17" s="5439"/>
      <c r="CQ17" s="5439"/>
      <c r="CR17" s="5439"/>
      <c r="CS17" s="5439"/>
      <c r="CT17" s="5439"/>
      <c r="CU17" s="5439"/>
      <c r="CV17" s="5439"/>
      <c r="CW17" s="5439"/>
      <c r="CX17" s="5456"/>
      <c r="CY17" s="1092" t="s">
        <v>1141</v>
      </c>
      <c r="CZ17" s="1092" t="s">
        <v>1142</v>
      </c>
      <c r="DA17" s="1092" t="s">
        <v>1141</v>
      </c>
      <c r="DB17" s="1092" t="s">
        <v>1142</v>
      </c>
      <c r="DC17" s="1092" t="s">
        <v>1141</v>
      </c>
      <c r="DD17" s="1092" t="s">
        <v>1142</v>
      </c>
      <c r="DE17" s="1092" t="s">
        <v>1141</v>
      </c>
      <c r="DF17" s="1092" t="s">
        <v>1142</v>
      </c>
      <c r="DG17" s="1092" t="s">
        <v>1141</v>
      </c>
      <c r="DH17" s="1092" t="s">
        <v>1142</v>
      </c>
      <c r="DI17" s="1092" t="s">
        <v>1141</v>
      </c>
      <c r="DJ17" s="1092" t="s">
        <v>1142</v>
      </c>
      <c r="DK17" s="5440"/>
      <c r="DL17" s="5439"/>
      <c r="DM17" s="5439"/>
      <c r="DN17" s="5439"/>
      <c r="DO17" s="5439"/>
      <c r="DP17" s="5439"/>
      <c r="DQ17" s="5439"/>
      <c r="DR17" s="5439"/>
      <c r="DS17" s="5439"/>
      <c r="DT17" s="5439"/>
      <c r="DU17" s="5439"/>
      <c r="DV17" s="5439"/>
      <c r="DW17" s="5439"/>
      <c r="DX17" s="5439"/>
      <c r="DY17" s="5439"/>
      <c r="DZ17" s="5439"/>
      <c r="EA17" s="5439"/>
      <c r="EB17" s="5439"/>
      <c r="EC17" s="5439"/>
      <c r="ED17" s="5439"/>
      <c r="EE17" s="5439"/>
      <c r="EF17" s="5439"/>
      <c r="EG17" s="5439"/>
      <c r="EH17" s="5439"/>
      <c r="EI17" s="5439"/>
      <c r="EJ17" s="5439"/>
      <c r="EK17" s="5439"/>
      <c r="EL17" s="5439"/>
      <c r="EM17" s="5439"/>
      <c r="EN17" s="5439"/>
      <c r="EO17" s="5439"/>
      <c r="EP17" s="5439"/>
      <c r="EQ17" s="5439"/>
      <c r="ER17" s="5439"/>
      <c r="ES17" s="5439"/>
      <c r="ET17" s="5439"/>
      <c r="EU17" s="5439"/>
      <c r="EV17" s="5439"/>
      <c r="EW17" s="5439"/>
      <c r="EX17" s="5439"/>
      <c r="EY17" s="5439"/>
      <c r="EZ17" s="5439"/>
      <c r="FA17" s="5439"/>
      <c r="FB17" s="5439"/>
      <c r="FC17" s="5439"/>
      <c r="FD17" s="5439"/>
      <c r="FE17" s="5439"/>
      <c r="FF17" s="5439"/>
      <c r="FG17" s="5439"/>
      <c r="FH17" s="5439"/>
      <c r="FI17" s="5439"/>
      <c r="FJ17" s="5439"/>
      <c r="FK17" s="5439"/>
      <c r="FL17" s="5439"/>
      <c r="FM17" s="5439"/>
      <c r="FN17" s="5439"/>
      <c r="FO17" s="5439"/>
      <c r="FP17" s="5439"/>
      <c r="FQ17" s="5439"/>
      <c r="FR17" s="5439"/>
      <c r="FS17" s="5439"/>
      <c r="FT17" s="5439"/>
      <c r="FU17" s="5439"/>
      <c r="FV17" s="5439"/>
      <c r="FW17" s="5452"/>
      <c r="FX17" s="678"/>
    </row>
    <row r="18" spans="1:184" s="4610"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4610"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4609" customFormat="1" ht="11.25" hidden="1" customHeight="1">
      <c r="B20" s="848"/>
      <c r="D20" s="835"/>
      <c r="E20" s="847"/>
      <c r="F20" s="1098" t="s">
        <v>495</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4609"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4609" customFormat="1" ht="12" customHeight="1">
      <c r="A22" s="849"/>
      <c r="B22" s="849"/>
      <c r="C22" s="849"/>
      <c r="D22" s="849"/>
      <c r="E22" s="849"/>
      <c r="FX22" s="849"/>
      <c r="FY22" s="849"/>
      <c r="FZ22" s="849"/>
      <c r="GA22" s="849"/>
      <c r="GB22" s="849"/>
    </row>
    <row r="23" spans="1:184" s="4615"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28" hidden="1" customWidth="1"/>
    <col min="2" max="2" width="9.140625" style="2130" hidden="1" customWidth="1"/>
    <col min="3" max="3" width="4.7109375" style="4603" customWidth="1"/>
    <col min="4" max="4" width="6.28515625" style="2130" customWidth="1"/>
    <col min="5" max="5" width="36.7109375" style="2130" customWidth="1"/>
    <col min="6" max="6" width="9.5703125" style="2130" customWidth="1"/>
    <col min="7" max="7" width="42.42578125" style="1822" hidden="1" customWidth="1"/>
    <col min="8" max="8" width="40.7109375" style="2130" customWidth="1"/>
    <col min="9" max="9" width="93.42578125" style="1823" customWidth="1"/>
    <col min="10" max="17" width="10.5703125" style="2130"/>
    <col min="18" max="18" width="10.5703125" style="4602"/>
  </cols>
  <sheetData>
    <row r="1" spans="1:18" s="1823" customFormat="1" ht="15" hidden="1" customHeight="1">
      <c r="C1" s="592"/>
      <c r="H1" s="350">
        <v>4</v>
      </c>
      <c r="R1" s="352"/>
    </row>
    <row r="2" spans="1:18" ht="22.5" hidden="1" customHeight="1">
      <c r="D2" s="463"/>
      <c r="E2" s="583"/>
      <c r="F2" s="1668" t="str">
        <f>IF(TEMPLATE_SPHERE="HEAT","Гкал/час","тыс. куб. м/сутки")</f>
        <v>Гкал/час</v>
      </c>
      <c r="G2" s="600"/>
      <c r="H2" s="600"/>
      <c r="I2" s="207"/>
    </row>
    <row r="3" spans="1:18" s="1823" customFormat="1" ht="15" hidden="1" customHeight="1">
      <c r="C3" s="592"/>
      <c r="R3" s="352"/>
    </row>
    <row r="4" spans="1:18" ht="15" customHeight="1">
      <c r="C4" s="97"/>
      <c r="D4" s="434"/>
      <c r="E4" s="434"/>
      <c r="F4" s="434"/>
      <c r="G4" s="434"/>
      <c r="H4" s="434"/>
    </row>
    <row r="5" spans="1:18" ht="37.5" customHeight="1">
      <c r="C5" s="97"/>
      <c r="D5" s="52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5298"/>
      <c r="F5" s="5298"/>
      <c r="G5" s="5298"/>
      <c r="H5" s="5298"/>
      <c r="I5" s="461"/>
    </row>
    <row r="6" spans="1:18" ht="15" customHeight="1">
      <c r="C6" s="97"/>
      <c r="D6" s="5245" t="str">
        <f>IF(org=0,"Не определено",org)</f>
        <v>ПАО "ТГК-1" (филиал "Кольский")</v>
      </c>
      <c r="E6" s="5245"/>
      <c r="F6" s="5245"/>
      <c r="G6" s="5245"/>
      <c r="H6" s="5245"/>
      <c r="I6" s="461"/>
    </row>
    <row r="7" spans="1:18" s="1822" customFormat="1" ht="15" customHeight="1">
      <c r="A7" s="675"/>
      <c r="C7" s="97"/>
      <c r="D7" s="596"/>
      <c r="E7" s="596"/>
      <c r="F7" s="596"/>
      <c r="G7" s="596"/>
      <c r="H7" s="668"/>
      <c r="I7" s="461"/>
      <c r="R7" s="595"/>
    </row>
    <row r="8" spans="1:18" ht="0.75" customHeight="1">
      <c r="C8" s="97"/>
      <c r="D8" s="434"/>
      <c r="E8" s="434"/>
      <c r="F8" s="434"/>
      <c r="G8" s="434"/>
      <c r="H8" s="461" t="s">
        <v>121</v>
      </c>
    </row>
    <row r="9" spans="1:18" ht="15" customHeight="1">
      <c r="C9" s="97"/>
      <c r="D9" s="629"/>
      <c r="E9" s="5388" t="s">
        <v>110</v>
      </c>
      <c r="F9" s="5389"/>
      <c r="G9" s="732" t="str">
        <f>IF(G8="","",INDEX(DIFFERENTIATION_UNMERGE_VD,MATCH(G8,DIFFERENTIATION_ID_DIFF,0)))</f>
        <v/>
      </c>
      <c r="H9" s="732">
        <f>IF(H8="","",INDEX(DIFFERENTIATION_UNMERGE_VD,MATCH(H8,DIFFERENTIATION_ID_DIFF,0)))</f>
        <v>0</v>
      </c>
      <c r="I9" s="5180" t="s">
        <v>418</v>
      </c>
    </row>
    <row r="10" spans="1:18" s="1822" customFormat="1" ht="15" customHeight="1">
      <c r="A10" s="675"/>
      <c r="C10" s="97"/>
      <c r="D10" s="629"/>
      <c r="E10" s="5388" t="s">
        <v>678</v>
      </c>
      <c r="F10" s="5389"/>
      <c r="G10" s="732" t="str">
        <f>IF(G8="","",INDEX(DIFFERENTIATION_UNMERGE_AREA,MATCH(G8,DIFFERENTIATION_ID_DIFF,0)))</f>
        <v/>
      </c>
      <c r="H10" s="732" t="str">
        <f>IF(H8="","",INDEX(DIFFERENTIATION_UNMERGE_AREA,MATCH(H8,DIFFERENTIATION_ID_DIFF,0)))</f>
        <v/>
      </c>
      <c r="I10" s="5180"/>
      <c r="R10" s="595"/>
    </row>
    <row r="11" spans="1:18" s="1822" customFormat="1" ht="15" customHeight="1">
      <c r="A11" s="675"/>
      <c r="C11" s="97"/>
      <c r="D11" s="629"/>
      <c r="E11" s="5388" t="s">
        <v>679</v>
      </c>
      <c r="F11" s="5389"/>
      <c r="G11" s="732" t="str">
        <f>IF(G8="","",INDEX(DIFFERENTIATION_UNMERGE_SYSTEM,MATCH(G8,DIFFERENTIATION_ID_DIFF,0)))</f>
        <v/>
      </c>
      <c r="H11" s="732" t="str">
        <f>IF(H8="","",INDEX(DIFFERENTIATION_UNMERGE_SYSTEM,MATCH(H8,DIFFERENTIATION_ID_DIFF,0)))</f>
        <v>без дифференциации</v>
      </c>
      <c r="I11" s="5180"/>
      <c r="R11" s="595"/>
    </row>
    <row r="12" spans="1:18" s="1822" customFormat="1" ht="15" customHeight="1">
      <c r="A12" s="675"/>
      <c r="C12" s="97"/>
      <c r="D12" s="5390" t="s">
        <v>417</v>
      </c>
      <c r="E12" s="5391"/>
      <c r="F12" s="5391"/>
      <c r="G12" s="799"/>
      <c r="H12" s="799"/>
      <c r="I12" s="5180"/>
      <c r="R12" s="595"/>
    </row>
    <row r="13" spans="1:18" ht="33.75" customHeight="1">
      <c r="C13" s="97"/>
      <c r="D13" s="677" t="s">
        <v>83</v>
      </c>
      <c r="E13" s="676" t="s">
        <v>419</v>
      </c>
      <c r="F13" s="676" t="s">
        <v>680</v>
      </c>
      <c r="G13" s="724" t="s">
        <v>420</v>
      </c>
      <c r="H13" s="670" t="s">
        <v>420</v>
      </c>
      <c r="I13" s="5180"/>
    </row>
    <row r="14" spans="1:18" ht="15" hidden="1" customHeight="1">
      <c r="C14" s="97"/>
      <c r="D14" s="515" t="s">
        <v>114</v>
      </c>
      <c r="E14" s="515" t="s">
        <v>98</v>
      </c>
      <c r="F14" s="515" t="s">
        <v>85</v>
      </c>
      <c r="G14" s="579" t="str">
        <f>G1&amp;".1"</f>
        <v>.1</v>
      </c>
      <c r="H14" s="579" t="str">
        <f>H1&amp;".1"</f>
        <v>4.1</v>
      </c>
      <c r="I14" s="207"/>
    </row>
    <row r="15" spans="1:18" ht="15" customHeight="1">
      <c r="A15" s="430"/>
      <c r="C15" s="451"/>
      <c r="D15" s="446">
        <v>1</v>
      </c>
      <c r="E15" s="597" t="str">
        <f>TP_P_A</f>
        <v>Количество поданных заявок</v>
      </c>
      <c r="F15" s="446" t="s">
        <v>1143</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1143</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1143</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423</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1144</v>
      </c>
      <c r="E20" s="607"/>
      <c r="F20" s="434"/>
      <c r="G20" s="434"/>
      <c r="H20" s="434"/>
      <c r="I20" s="1670"/>
    </row>
    <row r="21" spans="1:18" ht="27.75" customHeight="1">
      <c r="C21" s="381"/>
      <c r="D21" s="463" t="s">
        <v>432</v>
      </c>
      <c r="E21" s="590"/>
      <c r="F21" s="1668" t="str">
        <f>IF(TEMPLATE_SPHERE="HEAT","Гкал/час","тыс. куб. м/сутки")</f>
        <v>Гкал/час</v>
      </c>
      <c r="G21" s="600"/>
      <c r="H21" s="600"/>
      <c r="I21" s="522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1145</v>
      </c>
      <c r="F22" s="496"/>
      <c r="G22" s="496"/>
      <c r="H22" s="496"/>
      <c r="I22" s="5227"/>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4621" hidden="1" customWidth="1"/>
    <col min="2" max="2" width="9.140625" style="4619" hidden="1" customWidth="1"/>
    <col min="3" max="3" width="3.7109375" style="4622"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521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5214"/>
      <c r="F5" s="5214"/>
      <c r="G5" s="5215"/>
    </row>
    <row r="6" spans="1:16" s="1822" customFormat="1" ht="18" customHeight="1">
      <c r="A6" s="794"/>
      <c r="B6" s="350"/>
      <c r="C6" s="304"/>
      <c r="D6" s="5279" t="str">
        <f>IF(org=0,"Не определено",org)</f>
        <v>ПАО "ТГК-1" (филиал "Кольский")</v>
      </c>
      <c r="E6" s="5280"/>
      <c r="F6" s="5280"/>
      <c r="G6" s="5281"/>
      <c r="I6" s="425"/>
      <c r="J6" s="425"/>
    </row>
    <row r="7" spans="1:16" ht="14.25" customHeight="1">
      <c r="C7" s="30"/>
      <c r="D7" s="18"/>
      <c r="E7" s="29"/>
      <c r="F7" s="668"/>
      <c r="G7" s="114"/>
    </row>
    <row r="8" spans="1:16" s="2115" customFormat="1" ht="0.75" customHeight="1">
      <c r="A8" s="1579"/>
      <c r="B8" s="1059"/>
      <c r="C8" s="304"/>
      <c r="D8" s="289"/>
      <c r="E8" s="322"/>
      <c r="F8" s="668"/>
      <c r="G8" s="114"/>
      <c r="I8" s="1535"/>
      <c r="J8" s="1535"/>
    </row>
    <row r="9" spans="1:16" ht="14.25" customHeight="1">
      <c r="C9" s="30"/>
      <c r="D9" s="5274" t="s">
        <v>417</v>
      </c>
      <c r="E9" s="5274"/>
      <c r="F9" s="5274"/>
      <c r="G9" s="5457" t="s">
        <v>418</v>
      </c>
    </row>
    <row r="10" spans="1:16" ht="14.25" customHeight="1">
      <c r="C10" s="30"/>
      <c r="D10" s="36" t="s">
        <v>83</v>
      </c>
      <c r="E10" s="39" t="s">
        <v>419</v>
      </c>
      <c r="F10" s="39" t="s">
        <v>509</v>
      </c>
      <c r="G10" s="545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423</v>
      </c>
      <c r="G12" s="75"/>
    </row>
    <row r="13" spans="1:16" ht="22.5" customHeight="1">
      <c r="A13" s="113"/>
      <c r="C13" s="30"/>
      <c r="D13" s="71" t="s">
        <v>1050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423</v>
      </c>
      <c r="G13" s="75"/>
    </row>
    <row r="14" spans="1:16" ht="14.25" customHeight="1">
      <c r="A14" s="113"/>
      <c r="C14" s="30"/>
      <c r="D14" s="71" t="s">
        <v>1086</v>
      </c>
      <c r="E14" s="116"/>
      <c r="F14" s="134"/>
      <c r="G14" s="5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1146</v>
      </c>
      <c r="F15" s="122"/>
      <c r="G15" s="5227"/>
    </row>
    <row r="16" spans="1:16" ht="14.25" customHeight="1">
      <c r="A16" s="113"/>
      <c r="C16" s="30"/>
      <c r="D16" s="71" t="s">
        <v>1052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423</v>
      </c>
      <c r="G16" s="263"/>
    </row>
    <row r="17" spans="1:16" ht="14.25" customHeight="1">
      <c r="A17" s="113"/>
      <c r="C17" s="30"/>
      <c r="D17" s="71" t="s">
        <v>1094</v>
      </c>
      <c r="E17" s="116"/>
      <c r="F17" s="318"/>
      <c r="G17" s="5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4618" customFormat="1" ht="21" customHeight="1">
      <c r="A18" s="268"/>
      <c r="B18" s="70"/>
      <c r="C18" s="226"/>
      <c r="D18" s="272"/>
      <c r="E18" s="273" t="s">
        <v>1147</v>
      </c>
      <c r="F18" s="264"/>
      <c r="G18" s="5227"/>
      <c r="I18" s="274"/>
      <c r="J18" s="274"/>
    </row>
    <row r="19" spans="1:16" s="1822" customFormat="1" ht="256.5" hidden="1" customHeight="1">
      <c r="A19" s="268"/>
      <c r="B19" s="350"/>
      <c r="C19" s="304"/>
      <c r="D19" s="796" t="s">
        <v>1054</v>
      </c>
      <c r="E19" s="795" t="s">
        <v>1148</v>
      </c>
      <c r="F19" s="318"/>
      <c r="G19" s="263" t="s">
        <v>1149</v>
      </c>
      <c r="I19" s="425"/>
      <c r="J19" s="425"/>
    </row>
    <row r="20" spans="1:16" s="4618" customFormat="1" ht="14.25" customHeight="1">
      <c r="A20" s="268"/>
      <c r="B20" s="70"/>
      <c r="C20" s="226"/>
      <c r="D20" s="797">
        <v>2</v>
      </c>
      <c r="E20" s="256" t="s">
        <v>1150</v>
      </c>
      <c r="F20" s="119" t="s">
        <v>423</v>
      </c>
      <c r="G20" s="263"/>
      <c r="I20" s="274"/>
      <c r="J20" s="274"/>
    </row>
    <row r="21" spans="1:16" s="4618" customFormat="1" ht="18.75" hidden="1" customHeight="1">
      <c r="A21" s="268"/>
      <c r="B21" s="70"/>
      <c r="C21" s="226"/>
      <c r="D21" s="259" t="s">
        <v>980</v>
      </c>
      <c r="E21" s="258"/>
      <c r="F21" s="257"/>
      <c r="G21" s="267"/>
      <c r="H21" s="260"/>
      <c r="I21" s="274"/>
      <c r="J21" s="274"/>
    </row>
    <row r="22" spans="1:16" ht="15" customHeight="1">
      <c r="A22" s="113"/>
      <c r="C22" s="30"/>
      <c r="D22" s="40"/>
      <c r="E22" s="124" t="s">
        <v>1151</v>
      </c>
      <c r="F22" s="264"/>
      <c r="G22" s="265"/>
    </row>
    <row r="23" spans="1:16" s="2115" customFormat="1" ht="22.5" hidden="1" customHeight="1">
      <c r="A23" s="268"/>
      <c r="B23" s="1059"/>
      <c r="C23" s="304"/>
      <c r="D23" s="1583" t="s">
        <v>98</v>
      </c>
      <c r="E23" s="118" t="s">
        <v>1152</v>
      </c>
      <c r="F23" s="1580" t="s">
        <v>423</v>
      </c>
      <c r="G23" s="270"/>
      <c r="I23" s="1535"/>
      <c r="J23" s="1535"/>
    </row>
    <row r="24" spans="1:16" s="2115" customFormat="1" ht="14.25" hidden="1" customHeight="1">
      <c r="A24" s="268"/>
      <c r="B24" s="1059"/>
      <c r="C24" s="304"/>
      <c r="D24" s="1583" t="s">
        <v>736</v>
      </c>
      <c r="E24" s="1582" t="s">
        <v>1153</v>
      </c>
      <c r="F24" s="1580" t="s">
        <v>423</v>
      </c>
      <c r="G24" s="263"/>
      <c r="I24" s="1535"/>
      <c r="J24" s="1535"/>
    </row>
    <row r="25" spans="1:16" s="2115" customFormat="1" ht="14.25" hidden="1" customHeight="1">
      <c r="A25" s="268"/>
      <c r="B25" s="1059"/>
      <c r="C25" s="304"/>
      <c r="D25" s="1583" t="s">
        <v>739</v>
      </c>
      <c r="E25" s="116"/>
      <c r="F25" s="318"/>
      <c r="G25" s="5225" t="s">
        <v>1154</v>
      </c>
      <c r="I25" s="1535"/>
      <c r="J25" s="1535"/>
    </row>
    <row r="26" spans="1:16" s="2115" customFormat="1" ht="22.5" hidden="1" customHeight="1">
      <c r="A26" s="268"/>
      <c r="B26" s="1059"/>
      <c r="C26" s="304"/>
      <c r="D26" s="272"/>
      <c r="E26" s="273" t="s">
        <v>1155</v>
      </c>
      <c r="F26" s="264"/>
      <c r="G26" s="5227"/>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13" zoomScale="105" workbookViewId="0">
      <selection activeCell="H29" sqref="H29"/>
    </sheetView>
  </sheetViews>
  <sheetFormatPr defaultColWidth="10.5703125" defaultRowHeight="14.25" customHeight="1"/>
  <cols>
    <col min="1" max="1" width="9.140625" style="2171" hidden="1" customWidth="1"/>
    <col min="2" max="2" width="9.140625" style="4619" hidden="1" customWidth="1"/>
    <col min="3" max="3" width="3.7109375" style="4622"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2115" customFormat="1" ht="18.75" hidden="1" customHeight="1">
      <c r="A2" s="1593"/>
      <c r="B2" s="1059"/>
      <c r="C2" s="1639" t="s">
        <v>99</v>
      </c>
      <c r="D2" s="1583"/>
      <c r="E2" s="120"/>
      <c r="F2" s="1580"/>
      <c r="G2" s="1580" t="s">
        <v>423</v>
      </c>
      <c r="H2" s="1060"/>
      <c r="K2" s="1535"/>
      <c r="L2" s="1535"/>
    </row>
    <row r="3" spans="1:12" s="2115" customFormat="1" ht="14.25" hidden="1" customHeight="1">
      <c r="A3" s="1277"/>
      <c r="B3" s="1059"/>
      <c r="C3" s="269"/>
      <c r="K3" s="1535"/>
      <c r="L3" s="1535"/>
    </row>
    <row r="4" spans="1:12" s="2115" customFormat="1" ht="18.75" hidden="1" customHeight="1">
      <c r="A4" s="1593"/>
      <c r="B4" s="1059"/>
      <c r="C4" s="1639" t="s">
        <v>99</v>
      </c>
      <c r="D4" s="1583"/>
      <c r="E4" s="126" t="s">
        <v>1156</v>
      </c>
      <c r="F4" s="1580"/>
      <c r="G4" s="175"/>
      <c r="H4" s="1580" t="s">
        <v>423</v>
      </c>
      <c r="K4" s="1535"/>
      <c r="L4" s="1535"/>
    </row>
    <row r="5" spans="1:12" s="2115" customFormat="1" ht="14.25" hidden="1" customHeight="1">
      <c r="A5" s="1277"/>
      <c r="B5" s="1059"/>
      <c r="C5" s="269"/>
      <c r="K5" s="1535"/>
      <c r="L5" s="1535"/>
    </row>
    <row r="6" spans="1:12" s="2115" customFormat="1" ht="18.75" hidden="1" customHeight="1">
      <c r="A6" s="1593"/>
      <c r="B6" s="1059"/>
      <c r="C6" s="1639" t="s">
        <v>99</v>
      </c>
      <c r="D6" s="1583"/>
      <c r="E6" s="127" t="s">
        <v>1157</v>
      </c>
      <c r="F6" s="1580"/>
      <c r="G6" s="175"/>
      <c r="H6" s="1580" t="s">
        <v>423</v>
      </c>
      <c r="K6" s="1535"/>
      <c r="L6" s="1535"/>
    </row>
    <row r="7" spans="1:12" s="2115" customFormat="1" ht="14.25" hidden="1" customHeight="1">
      <c r="A7" s="1277"/>
      <c r="B7" s="1059"/>
      <c r="C7" s="269"/>
      <c r="K7" s="1535"/>
      <c r="L7" s="1535"/>
    </row>
    <row r="8" spans="1:12" s="2115" customFormat="1" ht="18.75" hidden="1" customHeight="1">
      <c r="A8" s="1593"/>
      <c r="B8" s="1059"/>
      <c r="C8" s="1639" t="s">
        <v>99</v>
      </c>
      <c r="D8" s="1583"/>
      <c r="E8" s="127" t="s">
        <v>1158</v>
      </c>
      <c r="F8" s="1580"/>
      <c r="G8" s="175"/>
      <c r="H8" s="1580" t="s">
        <v>423</v>
      </c>
      <c r="K8" s="1535"/>
      <c r="L8" s="1535"/>
    </row>
    <row r="9" spans="1:12" s="2115" customFormat="1" ht="14.25" hidden="1" customHeight="1">
      <c r="A9" s="1277"/>
      <c r="B9" s="1059"/>
      <c r="C9" s="269"/>
      <c r="K9" s="1535"/>
      <c r="L9" s="1535"/>
    </row>
    <row r="10" spans="1:12" s="2115" customFormat="1" ht="18.75" hidden="1" customHeight="1">
      <c r="A10" s="1593"/>
      <c r="B10" s="1059"/>
      <c r="C10" s="1639" t="s">
        <v>99</v>
      </c>
      <c r="D10" s="1583"/>
      <c r="E10" s="127" t="s">
        <v>1159</v>
      </c>
      <c r="F10" s="1580"/>
      <c r="G10" s="1584"/>
      <c r="H10" s="1580" t="s">
        <v>423</v>
      </c>
      <c r="K10" s="1535"/>
      <c r="L10" s="1535" t="s">
        <v>1160</v>
      </c>
    </row>
    <row r="11" spans="1:12" ht="14.25" hidden="1" customHeight="1"/>
    <row r="12" spans="1:12" ht="14.25" hidden="1" customHeight="1"/>
    <row r="13" spans="1:12" ht="14.25" customHeight="1">
      <c r="C13" s="30"/>
      <c r="D13" s="18"/>
      <c r="E13" s="18"/>
      <c r="F13" s="18"/>
      <c r="G13" s="18"/>
      <c r="H13" s="19"/>
      <c r="I13" s="19"/>
    </row>
    <row r="14" spans="1:12" ht="27.75" customHeight="1">
      <c r="C14" s="30"/>
      <c r="D14" s="521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5214"/>
      <c r="F14" s="5214"/>
      <c r="G14" s="5214"/>
      <c r="H14" s="5215"/>
      <c r="J14" s="1542"/>
    </row>
    <row r="15" spans="1:12" s="2115" customFormat="1" ht="14.25" customHeight="1">
      <c r="A15" s="1277"/>
      <c r="B15" s="1059"/>
      <c r="C15" s="304"/>
      <c r="D15" s="5279" t="str">
        <f>IF(org=0,"Не определено",org)</f>
        <v>ПАО "ТГК-1" (филиал "Кольский")</v>
      </c>
      <c r="E15" s="5280"/>
      <c r="F15" s="5280"/>
      <c r="G15" s="5280"/>
      <c r="H15" s="5281"/>
      <c r="J15" s="764"/>
      <c r="K15" s="1535"/>
      <c r="L15" s="1535"/>
    </row>
    <row r="16" spans="1:12" ht="14.25" customHeight="1">
      <c r="C16" s="30"/>
      <c r="D16" s="18"/>
      <c r="E16" s="29"/>
      <c r="F16" s="29"/>
      <c r="G16" s="29"/>
      <c r="H16" s="668"/>
      <c r="I16" s="114"/>
    </row>
    <row r="17" spans="1:12" s="2115" customFormat="1" ht="14.25" hidden="1" customHeight="1">
      <c r="A17" s="1277"/>
      <c r="B17" s="1059"/>
      <c r="C17" s="304"/>
      <c r="D17" s="289"/>
      <c r="E17" s="322"/>
      <c r="F17" s="322"/>
      <c r="G17" s="322"/>
      <c r="H17" s="668"/>
      <c r="I17" s="114"/>
      <c r="K17" s="1535"/>
      <c r="L17" s="1535"/>
    </row>
    <row r="18" spans="1:12" ht="21" customHeight="1">
      <c r="C18" s="30"/>
      <c r="D18" s="5274" t="s">
        <v>417</v>
      </c>
      <c r="E18" s="5274"/>
      <c r="F18" s="5274"/>
      <c r="G18" s="5274"/>
      <c r="H18" s="5274"/>
      <c r="I18" s="5457" t="s">
        <v>418</v>
      </c>
    </row>
    <row r="19" spans="1:12" ht="21" customHeight="1">
      <c r="C19" s="30"/>
      <c r="D19" s="36" t="s">
        <v>83</v>
      </c>
      <c r="E19" s="39" t="s">
        <v>419</v>
      </c>
      <c r="F19" s="39"/>
      <c r="G19" s="39" t="s">
        <v>420</v>
      </c>
      <c r="H19" s="39" t="s">
        <v>509</v>
      </c>
      <c r="I19" s="5457"/>
    </row>
    <row r="20" spans="1:12" ht="12" hidden="1" customHeight="1">
      <c r="C20" s="30"/>
      <c r="D20" s="21"/>
      <c r="E20" s="21"/>
      <c r="F20" s="21"/>
      <c r="G20" s="21"/>
      <c r="H20" s="21"/>
      <c r="I20" s="21"/>
    </row>
    <row r="21" spans="1:12" ht="14.25" customHeight="1">
      <c r="A21" s="1593"/>
      <c r="C21" s="30"/>
      <c r="D21" s="71">
        <v>1</v>
      </c>
      <c r="E21" s="5459" t="s">
        <v>1161</v>
      </c>
      <c r="F21" s="5459"/>
      <c r="G21" s="5459"/>
      <c r="H21" s="5459"/>
      <c r="I21" s="129"/>
    </row>
    <row r="22" spans="1:12" ht="20.25" customHeight="1">
      <c r="A22" s="1593"/>
      <c r="C22" s="30"/>
      <c r="D22" s="71" t="s">
        <v>1050</v>
      </c>
      <c r="E22" s="115" t="s">
        <v>1162</v>
      </c>
      <c r="F22" s="119"/>
      <c r="G22" s="4623">
        <v>45288.575914351852</v>
      </c>
      <c r="H22" s="119" t="s">
        <v>423</v>
      </c>
      <c r="I22" s="75" t="s">
        <v>1163</v>
      </c>
    </row>
    <row r="23" spans="1:12" ht="45" customHeight="1">
      <c r="A23" s="1593"/>
      <c r="C23" s="30"/>
      <c r="D23" s="71" t="s">
        <v>1052</v>
      </c>
      <c r="E23" s="115" t="s">
        <v>1164</v>
      </c>
      <c r="F23" s="119"/>
      <c r="G23" s="175" t="s">
        <v>1165</v>
      </c>
      <c r="H23" s="134" t="s">
        <v>1166</v>
      </c>
      <c r="I23" s="176" t="s">
        <v>1167</v>
      </c>
    </row>
    <row r="24" spans="1:12" ht="23.6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423</v>
      </c>
      <c r="H24" s="134" t="s">
        <v>1168</v>
      </c>
      <c r="I24" s="177" t="s">
        <v>917</v>
      </c>
    </row>
    <row r="25" spans="1:12" ht="46.5" customHeight="1">
      <c r="A25" s="1593"/>
      <c r="C25" s="30"/>
      <c r="D25" s="71">
        <v>3</v>
      </c>
      <c r="E25" s="54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5459"/>
      <c r="G25" s="5459"/>
      <c r="H25" s="5459"/>
      <c r="I25" s="174"/>
    </row>
    <row r="26" spans="1:12" ht="14.25" customHeight="1">
      <c r="A26" s="1593"/>
      <c r="C26" s="30"/>
      <c r="D26" s="71" t="s">
        <v>443</v>
      </c>
      <c r="E26" s="120" t="s">
        <v>1169</v>
      </c>
      <c r="F26" s="119"/>
      <c r="G26" s="119" t="s">
        <v>423</v>
      </c>
      <c r="H26" s="4624" t="s">
        <v>1168</v>
      </c>
      <c r="I26" s="5225" t="s">
        <v>1170</v>
      </c>
    </row>
    <row r="27" spans="1:12" ht="15" customHeight="1">
      <c r="A27" s="1593" t="s">
        <v>114</v>
      </c>
      <c r="C27" s="30"/>
      <c r="D27" s="40"/>
      <c r="E27" s="124" t="s">
        <v>1151</v>
      </c>
      <c r="F27" s="125"/>
      <c r="G27" s="125"/>
      <c r="H27" s="122"/>
      <c r="I27" s="5227"/>
    </row>
    <row r="28" spans="1:12" ht="38.25" customHeight="1">
      <c r="A28" s="1593"/>
      <c r="B28" s="70">
        <v>3</v>
      </c>
      <c r="C28" s="30"/>
      <c r="D28" s="71">
        <v>4</v>
      </c>
      <c r="E28" s="54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5459"/>
      <c r="G28" s="5459"/>
      <c r="H28" s="5459"/>
      <c r="I28" s="174"/>
    </row>
    <row r="29" spans="1:12" ht="82.5" customHeight="1">
      <c r="A29" s="1593"/>
      <c r="C29" s="30"/>
      <c r="D29" s="71" t="s">
        <v>781</v>
      </c>
      <c r="E29" s="126" t="s">
        <v>1156</v>
      </c>
      <c r="F29" s="119"/>
      <c r="G29" s="175" t="s">
        <v>1171</v>
      </c>
      <c r="H29" s="119" t="s">
        <v>423</v>
      </c>
      <c r="I29" s="5225" t="s">
        <v>1172</v>
      </c>
    </row>
    <row r="30" spans="1:12" s="2138" customFormat="1" ht="105.75" customHeight="1">
      <c r="A30" s="4625"/>
      <c r="B30" s="2174"/>
      <c r="C30" s="4626" t="s">
        <v>99</v>
      </c>
      <c r="D30" s="4627" t="s">
        <v>824</v>
      </c>
      <c r="E30" s="4628" t="s">
        <v>1156</v>
      </c>
      <c r="F30" s="2183"/>
      <c r="G30" s="4629" t="s">
        <v>1173</v>
      </c>
      <c r="H30" s="2183" t="s">
        <v>423</v>
      </c>
      <c r="I30" s="5458"/>
      <c r="K30" s="2221"/>
      <c r="L30" s="2221"/>
    </row>
    <row r="31" spans="1:12" ht="15" customHeight="1">
      <c r="A31" s="1593" t="s">
        <v>98</v>
      </c>
      <c r="C31" s="30"/>
      <c r="D31" s="40"/>
      <c r="E31" s="124" t="s">
        <v>1151</v>
      </c>
      <c r="F31" s="125"/>
      <c r="G31" s="125"/>
      <c r="H31" s="122"/>
      <c r="I31" s="5227"/>
    </row>
    <row r="32" spans="1:12" ht="30" customHeight="1">
      <c r="A32" s="1593"/>
      <c r="B32" s="70">
        <v>3</v>
      </c>
      <c r="C32" s="30"/>
      <c r="D32" s="71">
        <v>5</v>
      </c>
      <c r="E32" s="54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5459"/>
      <c r="G32" s="5459"/>
      <c r="H32" s="5459"/>
      <c r="I32" s="174"/>
    </row>
    <row r="33" spans="1:12" ht="26.25" customHeight="1">
      <c r="A33" s="1593"/>
      <c r="C33" s="30"/>
      <c r="D33" s="71" t="s">
        <v>432</v>
      </c>
      <c r="E33" s="5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5414"/>
      <c r="G33" s="5414"/>
      <c r="H33" s="5414"/>
      <c r="I33" s="174"/>
    </row>
    <row r="34" spans="1:12" ht="25.5" customHeight="1">
      <c r="A34" s="1593"/>
      <c r="C34" s="30"/>
      <c r="D34" s="71" t="s">
        <v>1174</v>
      </c>
      <c r="E34" s="127" t="s">
        <v>1157</v>
      </c>
      <c r="F34" s="119"/>
      <c r="G34" s="175" t="s">
        <v>1175</v>
      </c>
      <c r="H34" s="119" t="s">
        <v>423</v>
      </c>
      <c r="I34" s="5225" t="s">
        <v>1176</v>
      </c>
    </row>
    <row r="35" spans="1:12" ht="15" customHeight="1">
      <c r="A35" s="1593" t="s">
        <v>85</v>
      </c>
      <c r="C35" s="30"/>
      <c r="D35" s="40"/>
      <c r="E35" s="125" t="s">
        <v>1151</v>
      </c>
      <c r="F35" s="121"/>
      <c r="G35" s="121"/>
      <c r="H35" s="122"/>
      <c r="I35" s="5227"/>
    </row>
    <row r="36" spans="1:12" ht="24" customHeight="1">
      <c r="A36" s="1593"/>
      <c r="C36" s="30"/>
      <c r="D36" s="71" t="s">
        <v>434</v>
      </c>
      <c r="E36" s="5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5414"/>
      <c r="G36" s="5414"/>
      <c r="H36" s="5414"/>
      <c r="I36" s="174"/>
    </row>
    <row r="37" spans="1:12" ht="25.5" customHeight="1">
      <c r="A37" s="1593"/>
      <c r="C37" s="30"/>
      <c r="D37" s="71" t="s">
        <v>1177</v>
      </c>
      <c r="E37" s="127" t="s">
        <v>1158</v>
      </c>
      <c r="F37" s="119"/>
      <c r="G37" s="175" t="s">
        <v>1178</v>
      </c>
      <c r="H37" s="119" t="s">
        <v>423</v>
      </c>
      <c r="I37" s="5196" t="s">
        <v>1179</v>
      </c>
    </row>
    <row r="38" spans="1:12" ht="15" customHeight="1">
      <c r="A38" s="1593" t="s">
        <v>86</v>
      </c>
      <c r="C38" s="30"/>
      <c r="D38" s="40"/>
      <c r="E38" s="125" t="s">
        <v>1151</v>
      </c>
      <c r="F38" s="121"/>
      <c r="G38" s="121"/>
      <c r="H38" s="122"/>
      <c r="I38" s="5196"/>
    </row>
    <row r="39" spans="1:12" ht="26.25" customHeight="1">
      <c r="A39" s="1593"/>
      <c r="C39" s="30"/>
      <c r="D39" s="71" t="s">
        <v>437</v>
      </c>
      <c r="E39" s="5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5414"/>
      <c r="G39" s="5414"/>
      <c r="H39" s="5414"/>
      <c r="I39" s="174"/>
    </row>
    <row r="40" spans="1:12" ht="14.25" customHeight="1">
      <c r="A40" s="1593"/>
      <c r="C40" s="30"/>
      <c r="D40" s="71" t="s">
        <v>910</v>
      </c>
      <c r="E40" s="127" t="s">
        <v>1159</v>
      </c>
      <c r="F40" s="119"/>
      <c r="G40" s="128" t="s">
        <v>1180</v>
      </c>
      <c r="H40" s="119" t="s">
        <v>423</v>
      </c>
      <c r="I40" s="5225" t="s">
        <v>1181</v>
      </c>
      <c r="L40" s="77" t="s">
        <v>1160</v>
      </c>
    </row>
    <row r="41" spans="1:12" ht="15" customHeight="1">
      <c r="A41" s="1593" t="s">
        <v>115</v>
      </c>
      <c r="C41" s="30"/>
      <c r="D41" s="40"/>
      <c r="E41" s="125" t="s">
        <v>1151</v>
      </c>
      <c r="F41" s="121"/>
      <c r="G41" s="121"/>
      <c r="H41" s="122"/>
      <c r="I41" s="5227"/>
    </row>
    <row r="42" spans="1:12" s="4630" customFormat="1" ht="3" customHeight="1">
      <c r="A42" s="1593"/>
      <c r="K42" s="117"/>
      <c r="L42" s="117"/>
    </row>
    <row r="43" spans="1:12" ht="24.75" customHeight="1">
      <c r="D43" s="1591" t="s">
        <v>832</v>
      </c>
      <c r="E43" s="53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5334"/>
      <c r="G43" s="5334"/>
      <c r="H43" s="5334"/>
      <c r="I43" s="5334"/>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H23" r:id="rId1" tooltip="https://portal.eias.ru/Portal/DownloadPage.aspx?type=12&amp;guid=1e291b01-6579-4458-96e8-e65ecce34e9d"/>
    <hyperlink ref="H24" r:id="rId2" tooltip="https://portal.eias.ru/Portal/DownloadPage.aspx?type=12&amp;guid=27df82f0-827f-49c4-be73-741c630613a6"/>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496"/>
  <sheetViews>
    <sheetView showGridLines="0" topLeftCell="D13" zoomScale="90" workbookViewId="0">
      <selection activeCell="A434" sqref="A434:XFD435"/>
    </sheetView>
  </sheetViews>
  <sheetFormatPr defaultColWidth="10.5703125" defaultRowHeight="14.25" customHeight="1"/>
  <cols>
    <col min="1" max="2" width="25.140625" style="4631" hidden="1" customWidth="1"/>
    <col min="3" max="3" width="9.140625" style="4595" hidden="1" customWidth="1"/>
    <col min="4" max="4" width="3.7109375" style="3147" customWidth="1"/>
    <col min="5" max="5" width="6.28515625" style="5088" customWidth="1"/>
    <col min="6" max="6" width="46.7109375" style="5088" customWidth="1"/>
    <col min="7" max="7" width="35.7109375" style="5088" customWidth="1"/>
    <col min="8" max="8" width="3.7109375" style="5088" customWidth="1"/>
    <col min="9" max="10" width="11.7109375" style="5088" customWidth="1"/>
    <col min="11" max="12" width="35.7109375" style="5088" customWidth="1"/>
    <col min="13" max="13" width="84.85546875" style="5088" customWidth="1"/>
    <col min="14" max="14" width="10.5703125" style="5088"/>
    <col min="15" max="16" width="10.5703125" style="4620"/>
    <col min="17" max="33" width="10.5703125" style="5088"/>
  </cols>
  <sheetData>
    <row r="1" spans="1:33" s="2115" customFormat="1" ht="14.25" hidden="1" customHeight="1">
      <c r="A1" s="1687"/>
      <c r="B1" s="1687"/>
      <c r="C1" s="296"/>
      <c r="D1" s="269"/>
      <c r="N1" s="1547">
        <f>IFERROR(MATCH("метод экономически обоснованных расходов (затрат)",OFFER_METHOD,0),0)</f>
        <v>0</v>
      </c>
      <c r="O1" s="1535"/>
      <c r="P1" s="1535"/>
      <c r="T1" s="747"/>
      <c r="AG1" s="173"/>
    </row>
    <row r="2" spans="1:33" s="2115" customFormat="1" ht="18.75" hidden="1" customHeight="1">
      <c r="A2" s="1688" t="s">
        <v>163</v>
      </c>
      <c r="B2" s="1688" t="s">
        <v>164</v>
      </c>
      <c r="C2" s="296"/>
      <c r="D2" s="269"/>
      <c r="E2" s="937"/>
      <c r="F2" s="937"/>
      <c r="G2" s="5431" t="str">
        <f>INDEX(PT_DIFFERENTIATION_NTAR,MATCH(B2,PT_DIFFERENTIATION_NTAR_ID,0))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2" s="1772"/>
      <c r="I2" s="1646"/>
      <c r="J2" s="1681"/>
      <c r="K2" s="1773"/>
      <c r="L2" s="1772" t="s">
        <v>423</v>
      </c>
      <c r="M2" s="1782"/>
      <c r="N2" s="260"/>
      <c r="O2" s="1535"/>
      <c r="P2" s="1535"/>
    </row>
    <row r="3" spans="1:33" s="2115" customFormat="1" ht="18.75" hidden="1" customHeight="1">
      <c r="A3" s="1688"/>
      <c r="B3" s="1688"/>
      <c r="C3" s="296" t="s">
        <v>1182</v>
      </c>
      <c r="D3" s="269"/>
      <c r="E3" s="937"/>
      <c r="F3" s="937"/>
      <c r="G3" s="5431"/>
      <c r="H3" s="1409"/>
      <c r="I3" s="571" t="s">
        <v>1183</v>
      </c>
      <c r="J3" s="495"/>
      <c r="K3" s="1409"/>
      <c r="L3" s="135"/>
      <c r="M3" s="1782"/>
      <c r="N3" s="260"/>
      <c r="O3" s="1535"/>
      <c r="P3" s="1535"/>
    </row>
    <row r="4" spans="1:33" s="2115" customFormat="1" ht="14.25" hidden="1" customHeight="1">
      <c r="A4" s="1687"/>
      <c r="B4" s="1687"/>
      <c r="C4" s="296"/>
      <c r="D4" s="269"/>
      <c r="N4" s="1547">
        <f>IFERROR(MATCH("метод экономически обоснованных расходов (затрат)",OFFER_METHOD,0),0)</f>
        <v>0</v>
      </c>
      <c r="O4" s="1535"/>
      <c r="P4" s="1535"/>
      <c r="T4" s="747"/>
      <c r="AG4" s="173"/>
    </row>
    <row r="5" spans="1:33" s="2115" customFormat="1" ht="18.75" hidden="1" customHeight="1">
      <c r="A5" s="1688" t="s">
        <v>163</v>
      </c>
      <c r="B5" s="1688" t="s">
        <v>164</v>
      </c>
      <c r="C5" s="296"/>
      <c r="D5" s="269"/>
      <c r="E5" s="937"/>
      <c r="F5" s="937"/>
      <c r="G5" s="5431" t="str">
        <f>INDEX(PT_DIFFERENTIATION_NTAR,MATCH(B5,PT_DIFFERENTIATION_NTAR_ID,0))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5" s="1772"/>
      <c r="I5" s="1646"/>
      <c r="J5" s="1681"/>
      <c r="K5" s="1686"/>
      <c r="L5" s="1772" t="s">
        <v>423</v>
      </c>
      <c r="M5" s="1782"/>
      <c r="N5" s="260"/>
      <c r="O5" s="1535"/>
      <c r="P5" s="1535"/>
    </row>
    <row r="6" spans="1:33" s="2115" customFormat="1" ht="18.75" hidden="1" customHeight="1">
      <c r="A6" s="1688"/>
      <c r="B6" s="1688"/>
      <c r="C6" s="296" t="s">
        <v>1184</v>
      </c>
      <c r="D6" s="269"/>
      <c r="E6" s="937"/>
      <c r="F6" s="937"/>
      <c r="G6" s="5431"/>
      <c r="H6" s="1409"/>
      <c r="I6" s="571" t="s">
        <v>1183</v>
      </c>
      <c r="J6" s="495"/>
      <c r="K6" s="1409"/>
      <c r="L6" s="135"/>
      <c r="M6" s="1782"/>
      <c r="N6" s="260"/>
      <c r="O6" s="1535"/>
      <c r="P6" s="1535"/>
    </row>
    <row r="7" spans="1:33" s="2115" customFormat="1" ht="14.25" hidden="1" customHeight="1">
      <c r="A7" s="1687"/>
      <c r="B7" s="1687"/>
      <c r="C7" s="296"/>
      <c r="D7" s="269"/>
      <c r="N7" s="1547">
        <f>IFERROR(MATCH("метод экономически обоснованных расходов (затрат)",OFFER_METHOD,0),0)</f>
        <v>0</v>
      </c>
      <c r="O7" s="1535"/>
      <c r="P7" s="1535"/>
      <c r="T7" s="747"/>
      <c r="AG7" s="173"/>
    </row>
    <row r="8" spans="1:33" s="2115" customFormat="1" ht="56.25" hidden="1" customHeight="1">
      <c r="A8" s="1688"/>
      <c r="B8" s="1688"/>
      <c r="C8" s="296"/>
      <c r="D8" s="269"/>
      <c r="E8" s="937"/>
      <c r="F8" s="937"/>
      <c r="G8" s="937"/>
      <c r="H8" s="1679"/>
      <c r="I8" s="1646"/>
      <c r="J8" s="1681"/>
      <c r="K8" s="1773"/>
      <c r="L8" s="1679" t="s">
        <v>423</v>
      </c>
      <c r="M8" s="1782"/>
      <c r="N8" s="260"/>
      <c r="O8" s="1535"/>
      <c r="P8" s="1535"/>
    </row>
    <row r="9" spans="1:33" ht="14.25" hidden="1" customHeight="1">
      <c r="T9" s="330"/>
      <c r="AG9" s="173"/>
    </row>
    <row r="10" spans="1:33" s="2115" customFormat="1" ht="56.25" hidden="1" customHeight="1">
      <c r="A10" s="1688"/>
      <c r="B10" s="1688"/>
      <c r="C10" s="296"/>
      <c r="D10" s="269"/>
      <c r="E10" s="937"/>
      <c r="F10" s="937"/>
      <c r="G10" s="937"/>
      <c r="H10" s="1678"/>
      <c r="I10" s="1646"/>
      <c r="J10" s="1681"/>
      <c r="K10" s="1686"/>
      <c r="L10" s="1679" t="s">
        <v>423</v>
      </c>
      <c r="M10" s="1782"/>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5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5465"/>
      <c r="G14" s="5465"/>
      <c r="H14" s="5465"/>
      <c r="I14" s="5465"/>
      <c r="J14" s="5465"/>
      <c r="K14" s="5465"/>
      <c r="L14" s="5465"/>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5316">
        <f>IF(TITLE_DATE_PR_CHANGE="",IF(TITLE_DATE_PR="","",TITLE_DATE_PR),TITLE_DATE_PR_CHANGE)</f>
        <v>45646.340555555558</v>
      </c>
      <c r="H16" s="5316"/>
      <c r="I16" s="5316"/>
      <c r="J16" s="5316"/>
      <c r="K16" s="5316"/>
      <c r="L16" s="5316"/>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5307" t="str">
        <f>IF(TITLE_NUMBER_PR_CHANGE="",IF(TITLE_NUMBER_PR="","",TITLE_NUMBER_PR),TITLE_NUMBER_PR_CHANGE)</f>
        <v>51/6; 51/7</v>
      </c>
      <c r="H17" s="5307"/>
      <c r="I17" s="5307"/>
      <c r="J17" s="5307"/>
      <c r="K17" s="5307"/>
      <c r="L17" s="5307"/>
      <c r="M17" s="331"/>
      <c r="N17" s="252"/>
    </row>
    <row r="18" spans="1:16" ht="14.25" customHeight="1">
      <c r="D18" s="304"/>
      <c r="E18" s="289"/>
      <c r="F18" s="322"/>
      <c r="G18" s="322"/>
      <c r="H18" s="322"/>
      <c r="I18" s="322"/>
      <c r="J18" s="322"/>
      <c r="K18" s="322"/>
      <c r="L18" s="668"/>
      <c r="M18" s="114"/>
    </row>
    <row r="19" spans="1:16" ht="21" customHeight="1">
      <c r="D19" s="304"/>
      <c r="E19" s="5274" t="s">
        <v>417</v>
      </c>
      <c r="F19" s="5274"/>
      <c r="G19" s="5274"/>
      <c r="H19" s="5274"/>
      <c r="I19" s="5274"/>
      <c r="J19" s="5274"/>
      <c r="K19" s="5274"/>
      <c r="L19" s="5274"/>
      <c r="M19" s="5457" t="s">
        <v>418</v>
      </c>
    </row>
    <row r="20" spans="1:16" ht="21" customHeight="1">
      <c r="D20" s="304"/>
      <c r="E20" s="5326" t="s">
        <v>83</v>
      </c>
      <c r="F20" s="5287" t="s">
        <v>126</v>
      </c>
      <c r="G20" s="5287" t="s">
        <v>127</v>
      </c>
      <c r="H20" s="5436" t="s">
        <v>1185</v>
      </c>
      <c r="I20" s="5437"/>
      <c r="J20" s="5438"/>
      <c r="K20" s="5287" t="s">
        <v>420</v>
      </c>
      <c r="L20" s="5287" t="s">
        <v>509</v>
      </c>
      <c r="M20" s="5457"/>
    </row>
    <row r="21" spans="1:16" ht="21" customHeight="1">
      <c r="D21" s="304"/>
      <c r="E21" s="5328"/>
      <c r="F21" s="5288"/>
      <c r="G21" s="5288"/>
      <c r="H21" s="5282" t="s">
        <v>1186</v>
      </c>
      <c r="I21" s="5284"/>
      <c r="J21" s="39" t="s">
        <v>1187</v>
      </c>
      <c r="K21" s="5288"/>
      <c r="L21" s="5288"/>
      <c r="M21" s="5457"/>
    </row>
    <row r="22" spans="1:16" ht="12" customHeight="1">
      <c r="D22" s="304"/>
      <c r="E22" s="200"/>
      <c r="F22" s="200"/>
      <c r="G22" s="200"/>
      <c r="H22" s="5467"/>
      <c r="I22" s="5467"/>
      <c r="J22" s="200"/>
      <c r="K22" s="200"/>
      <c r="L22" s="200"/>
      <c r="M22" s="200"/>
    </row>
    <row r="23" spans="1:16" ht="18.75" customHeight="1">
      <c r="A23" s="1688"/>
      <c r="B23" s="1688"/>
      <c r="D23" s="304"/>
      <c r="E23" s="1774" t="s">
        <v>114</v>
      </c>
      <c r="F23" s="5468" t="str">
        <f>"Предлагаемый метод регулирования"&amp;IF(TEMPLATE_SPHERE="HEAT"," в сфере "&amp;TEMPLATE_SPHERE_RUS,"")</f>
        <v>Предлагаемый метод регулирования в сфере теплоснабжения</v>
      </c>
      <c r="G23" s="5468"/>
      <c r="H23" s="5459"/>
      <c r="I23" s="5459"/>
      <c r="J23" s="5459"/>
      <c r="K23" s="5468" t="s">
        <v>423</v>
      </c>
      <c r="L23" s="5459"/>
      <c r="M23" s="1677"/>
      <c r="N23" s="260"/>
    </row>
    <row r="24" spans="1:16" ht="60.75" hidden="1" customHeight="1">
      <c r="A24" s="1688" t="s">
        <v>163</v>
      </c>
      <c r="B24" s="1688" t="s">
        <v>164</v>
      </c>
      <c r="D24" s="5466"/>
      <c r="E24" s="5268"/>
      <c r="F24" s="54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431" t="str">
        <f>INDEX(PT_DIFFERENTIATION_NTAR,MATCH(B24,PT_DIFFERENTIATION_NTAR_ID,0))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24" s="1770"/>
      <c r="I24" s="1646"/>
      <c r="J24" s="1681"/>
      <c r="K24" s="1773"/>
      <c r="L24" s="1676" t="s">
        <v>423</v>
      </c>
      <c r="M24" s="5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2115" customFormat="1" ht="18.75" hidden="1" customHeight="1">
      <c r="A25" s="1688"/>
      <c r="B25" s="1688"/>
      <c r="C25" s="296" t="s">
        <v>1182</v>
      </c>
      <c r="D25" s="5466"/>
      <c r="E25" s="5268"/>
      <c r="F25" s="5469"/>
      <c r="G25" s="5431"/>
      <c r="H25" s="1409"/>
      <c r="I25" s="571" t="s">
        <v>1183</v>
      </c>
      <c r="J25" s="495"/>
      <c r="K25" s="1409"/>
      <c r="L25" s="135"/>
      <c r="M25" s="5226"/>
      <c r="N25" s="260"/>
      <c r="O25" s="1535"/>
      <c r="P25" s="1535"/>
    </row>
    <row r="26" spans="1:16" s="2138" customFormat="1" ht="18.75" customHeight="1">
      <c r="A26" s="2299" t="s">
        <v>163</v>
      </c>
      <c r="B26" s="2299" t="s">
        <v>176</v>
      </c>
      <c r="C26" s="4632"/>
      <c r="D26" s="5462"/>
      <c r="E26" s="5461"/>
      <c r="F26" s="5461"/>
      <c r="G26" s="5431" t="str">
        <f>INDEX(PT_DIFFERENTIATION_NTAR,MATCH(B26,PT_DIFFERENTIATION_NTAR_ID,0))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H26" s="2184"/>
      <c r="I26" s="4633"/>
      <c r="J26" s="4634"/>
      <c r="K26" s="4635"/>
      <c r="L26" s="2184" t="s">
        <v>423</v>
      </c>
      <c r="M26" s="5349"/>
      <c r="N26" s="4636"/>
      <c r="O26" s="2221"/>
      <c r="P26" s="2221"/>
    </row>
    <row r="27" spans="1:16" s="2138" customFormat="1" ht="18.75" customHeight="1">
      <c r="A27" s="2299"/>
      <c r="B27" s="2299"/>
      <c r="C27" s="4632" t="s">
        <v>1182</v>
      </c>
      <c r="D27" s="5462"/>
      <c r="E27" s="5461"/>
      <c r="F27" s="5461"/>
      <c r="G27" s="5431"/>
      <c r="H27" s="4637"/>
      <c r="I27" s="4638" t="s">
        <v>1183</v>
      </c>
      <c r="J27" s="4639"/>
      <c r="K27" s="4640"/>
      <c r="L27" s="4641"/>
      <c r="M27" s="5349"/>
      <c r="N27" s="4636"/>
      <c r="O27" s="2221"/>
      <c r="P27" s="2221"/>
    </row>
    <row r="28" spans="1:16" s="2138" customFormat="1" ht="18.75" customHeight="1">
      <c r="A28" s="2299" t="s">
        <v>163</v>
      </c>
      <c r="B28" s="2299" t="s">
        <v>181</v>
      </c>
      <c r="C28" s="4632"/>
      <c r="D28" s="5462"/>
      <c r="E28" s="5461"/>
      <c r="F28" s="5461"/>
      <c r="G28" s="5431" t="str">
        <f>INDEX(PT_DIFFERENTIATION_NTAR,MATCH(B28,PT_DIFFERENTIATION_NTAR_ID,0))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28" s="2184"/>
      <c r="I28" s="4633"/>
      <c r="J28" s="4634"/>
      <c r="K28" s="4635"/>
      <c r="L28" s="2184" t="s">
        <v>423</v>
      </c>
      <c r="M28" s="5349"/>
      <c r="N28" s="4636"/>
      <c r="O28" s="2221"/>
      <c r="P28" s="2221"/>
    </row>
    <row r="29" spans="1:16" s="2138" customFormat="1" ht="18.75" customHeight="1">
      <c r="A29" s="2299"/>
      <c r="B29" s="2299"/>
      <c r="C29" s="4632" t="s">
        <v>1182</v>
      </c>
      <c r="D29" s="5462"/>
      <c r="E29" s="5461"/>
      <c r="F29" s="5461"/>
      <c r="G29" s="5431"/>
      <c r="H29" s="4642"/>
      <c r="I29" s="4643" t="s">
        <v>1183</v>
      </c>
      <c r="J29" s="4644"/>
      <c r="K29" s="4645"/>
      <c r="L29" s="4646"/>
      <c r="M29" s="5349"/>
      <c r="N29" s="4636"/>
      <c r="O29" s="2221"/>
      <c r="P29" s="2221"/>
    </row>
    <row r="30" spans="1:16" s="2138" customFormat="1" ht="18.75" customHeight="1">
      <c r="A30" s="2299" t="s">
        <v>163</v>
      </c>
      <c r="B30" s="2299" t="s">
        <v>186</v>
      </c>
      <c r="C30" s="4632"/>
      <c r="D30" s="5462"/>
      <c r="E30" s="5461"/>
      <c r="F30" s="5461"/>
      <c r="G30" s="5431" t="str">
        <f>INDEX(PT_DIFFERENTIATION_NTAR,MATCH(B30,PT_DIFFERENTIATION_NTAR_ID,0))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30" s="2184"/>
      <c r="I30" s="4633"/>
      <c r="J30" s="4634"/>
      <c r="K30" s="4635"/>
      <c r="L30" s="2184" t="s">
        <v>423</v>
      </c>
      <c r="M30" s="5349"/>
      <c r="N30" s="4636"/>
      <c r="O30" s="2221"/>
      <c r="P30" s="2221"/>
    </row>
    <row r="31" spans="1:16" s="2138" customFormat="1" ht="18.75" customHeight="1">
      <c r="A31" s="2299"/>
      <c r="B31" s="2299"/>
      <c r="C31" s="4632" t="s">
        <v>1182</v>
      </c>
      <c r="D31" s="5462"/>
      <c r="E31" s="5461"/>
      <c r="F31" s="5461"/>
      <c r="G31" s="5431"/>
      <c r="H31" s="4647"/>
      <c r="I31" s="4648" t="s">
        <v>1183</v>
      </c>
      <c r="J31" s="4649"/>
      <c r="K31" s="4650"/>
      <c r="L31" s="4651"/>
      <c r="M31" s="5349"/>
      <c r="N31" s="4636"/>
      <c r="O31" s="2221"/>
      <c r="P31" s="2221"/>
    </row>
    <row r="32" spans="1:16" s="2138" customFormat="1" ht="18.75" customHeight="1">
      <c r="A32" s="2299" t="s">
        <v>163</v>
      </c>
      <c r="B32" s="2299" t="s">
        <v>191</v>
      </c>
      <c r="C32" s="4632"/>
      <c r="D32" s="5462"/>
      <c r="E32" s="5461"/>
      <c r="F32" s="5461"/>
      <c r="G32" s="5431" t="str">
        <f>INDEX(PT_DIFFERENTIATION_NTAR,MATCH(B32,PT_DIFFERENTIATION_NTAR_ID,0))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H32" s="2184"/>
      <c r="I32" s="4633"/>
      <c r="J32" s="4634"/>
      <c r="K32" s="4635"/>
      <c r="L32" s="2184" t="s">
        <v>423</v>
      </c>
      <c r="M32" s="5349"/>
      <c r="N32" s="4636"/>
      <c r="O32" s="2221"/>
      <c r="P32" s="2221"/>
    </row>
    <row r="33" spans="1:16" s="2138" customFormat="1" ht="18.75" customHeight="1">
      <c r="A33" s="2299"/>
      <c r="B33" s="2299"/>
      <c r="C33" s="4632" t="s">
        <v>1182</v>
      </c>
      <c r="D33" s="5462"/>
      <c r="E33" s="5461"/>
      <c r="F33" s="5461"/>
      <c r="G33" s="5431"/>
      <c r="H33" s="4652"/>
      <c r="I33" s="4653" t="s">
        <v>1183</v>
      </c>
      <c r="J33" s="4654"/>
      <c r="K33" s="4655"/>
      <c r="L33" s="4656"/>
      <c r="M33" s="5349"/>
      <c r="N33" s="4636"/>
      <c r="O33" s="2221"/>
      <c r="P33" s="2221"/>
    </row>
    <row r="34" spans="1:16" s="2138" customFormat="1" ht="18.75" customHeight="1">
      <c r="A34" s="2299" t="s">
        <v>163</v>
      </c>
      <c r="B34" s="2299" t="s">
        <v>196</v>
      </c>
      <c r="C34" s="4632"/>
      <c r="D34" s="5462"/>
      <c r="E34" s="5461"/>
      <c r="F34" s="5461"/>
      <c r="G34" s="5431" t="str">
        <f>INDEX(PT_DIFFERENTIATION_NTAR,MATCH(B34,PT_DIFFERENTIATION_NTAR_ID,0))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34" s="2184"/>
      <c r="I34" s="4633"/>
      <c r="J34" s="4634"/>
      <c r="K34" s="4635"/>
      <c r="L34" s="2184" t="s">
        <v>423</v>
      </c>
      <c r="M34" s="5349"/>
      <c r="N34" s="4636"/>
      <c r="O34" s="2221"/>
      <c r="P34" s="2221"/>
    </row>
    <row r="35" spans="1:16" s="2138" customFormat="1" ht="18.75" customHeight="1">
      <c r="A35" s="2299"/>
      <c r="B35" s="2299"/>
      <c r="C35" s="4632" t="s">
        <v>1182</v>
      </c>
      <c r="D35" s="5462"/>
      <c r="E35" s="5461"/>
      <c r="F35" s="5461"/>
      <c r="G35" s="5431"/>
      <c r="H35" s="4657"/>
      <c r="I35" s="4658" t="s">
        <v>1183</v>
      </c>
      <c r="J35" s="4659"/>
      <c r="K35" s="4660"/>
      <c r="L35" s="4661"/>
      <c r="M35" s="5349"/>
      <c r="N35" s="4636"/>
      <c r="O35" s="2221"/>
      <c r="P35" s="2221"/>
    </row>
    <row r="36" spans="1:16" s="2138" customFormat="1" ht="18.75" customHeight="1">
      <c r="A36" s="2299" t="s">
        <v>163</v>
      </c>
      <c r="B36" s="2299" t="s">
        <v>201</v>
      </c>
      <c r="C36" s="4632"/>
      <c r="D36" s="5462"/>
      <c r="E36" s="5461"/>
      <c r="F36" s="5461"/>
      <c r="G36" s="5431" t="str">
        <f>INDEX(PT_DIFFERENTIATION_NTAR,MATCH(B36,PT_DIFFERENTIATION_NTAR_ID,0))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36" s="2184"/>
      <c r="I36" s="4633"/>
      <c r="J36" s="4634"/>
      <c r="K36" s="4635"/>
      <c r="L36" s="2184" t="s">
        <v>423</v>
      </c>
      <c r="M36" s="5349"/>
      <c r="N36" s="4636"/>
      <c r="O36" s="2221"/>
      <c r="P36" s="2221"/>
    </row>
    <row r="37" spans="1:16" s="2138" customFormat="1" ht="18.75" customHeight="1">
      <c r="A37" s="2299"/>
      <c r="B37" s="2299"/>
      <c r="C37" s="4632" t="s">
        <v>1182</v>
      </c>
      <c r="D37" s="5462"/>
      <c r="E37" s="5461"/>
      <c r="F37" s="5461"/>
      <c r="G37" s="5431"/>
      <c r="H37" s="4662"/>
      <c r="I37" s="4663" t="s">
        <v>1183</v>
      </c>
      <c r="J37" s="4664"/>
      <c r="K37" s="4665"/>
      <c r="L37" s="4666"/>
      <c r="M37" s="5349"/>
      <c r="N37" s="4636"/>
      <c r="O37" s="2221"/>
      <c r="P37" s="2221"/>
    </row>
    <row r="38" spans="1:16" s="2138" customFormat="1" ht="18.75" customHeight="1">
      <c r="A38" s="2299" t="s">
        <v>163</v>
      </c>
      <c r="B38" s="2299" t="s">
        <v>206</v>
      </c>
      <c r="C38" s="4632"/>
      <c r="D38" s="5462"/>
      <c r="E38" s="5461"/>
      <c r="F38" s="5461"/>
      <c r="G38" s="5431" t="str">
        <f>INDEX(PT_DIFFERENTIATION_NTAR,MATCH(B38,PT_DIFFERENTIATION_NTAR_ID,0))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38" s="2184"/>
      <c r="I38" s="4633"/>
      <c r="J38" s="4634"/>
      <c r="K38" s="4635"/>
      <c r="L38" s="2184" t="s">
        <v>423</v>
      </c>
      <c r="M38" s="5349"/>
      <c r="N38" s="4636"/>
      <c r="O38" s="2221"/>
      <c r="P38" s="2221"/>
    </row>
    <row r="39" spans="1:16" s="2138" customFormat="1" ht="18.75" customHeight="1">
      <c r="A39" s="2299"/>
      <c r="B39" s="2299"/>
      <c r="C39" s="4632" t="s">
        <v>1182</v>
      </c>
      <c r="D39" s="5462"/>
      <c r="E39" s="5461"/>
      <c r="F39" s="5461"/>
      <c r="G39" s="5431"/>
      <c r="H39" s="4667"/>
      <c r="I39" s="4668" t="s">
        <v>1183</v>
      </c>
      <c r="J39" s="4669"/>
      <c r="K39" s="4670"/>
      <c r="L39" s="4671"/>
      <c r="M39" s="5349"/>
      <c r="N39" s="4636"/>
      <c r="O39" s="2221"/>
      <c r="P39" s="2221"/>
    </row>
    <row r="40" spans="1:16" s="2138" customFormat="1" ht="18.75" customHeight="1">
      <c r="A40" s="2299" t="s">
        <v>163</v>
      </c>
      <c r="B40" s="2299" t="s">
        <v>211</v>
      </c>
      <c r="C40" s="4632"/>
      <c r="D40" s="5462"/>
      <c r="E40" s="5461"/>
      <c r="F40" s="5461"/>
      <c r="G40" s="5431" t="str">
        <f>INDEX(PT_DIFFERENTIATION_NTAR,MATCH(B40,PT_DIFFERENTIATION_NTAR_ID,0))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40" s="2184"/>
      <c r="I40" s="4633"/>
      <c r="J40" s="4634"/>
      <c r="K40" s="4635"/>
      <c r="L40" s="2184" t="s">
        <v>423</v>
      </c>
      <c r="M40" s="5349"/>
      <c r="N40" s="4636"/>
      <c r="O40" s="2221"/>
      <c r="P40" s="2221"/>
    </row>
    <row r="41" spans="1:16" s="2138" customFormat="1" ht="18.75" customHeight="1">
      <c r="A41" s="2299"/>
      <c r="B41" s="2299"/>
      <c r="C41" s="4632" t="s">
        <v>1182</v>
      </c>
      <c r="D41" s="5462"/>
      <c r="E41" s="5461"/>
      <c r="F41" s="5461"/>
      <c r="G41" s="5431"/>
      <c r="H41" s="4672"/>
      <c r="I41" s="4673" t="s">
        <v>1183</v>
      </c>
      <c r="J41" s="4674"/>
      <c r="K41" s="4675"/>
      <c r="L41" s="4676"/>
      <c r="M41" s="5349"/>
      <c r="N41" s="4636"/>
      <c r="O41" s="2221"/>
      <c r="P41" s="2221"/>
    </row>
    <row r="42" spans="1:16" ht="0.75" hidden="1" customHeight="1">
      <c r="A42" s="1688"/>
      <c r="B42" s="1688"/>
      <c r="C42" s="296" t="s">
        <v>1188</v>
      </c>
      <c r="D42" s="5466"/>
      <c r="E42" s="5268"/>
      <c r="F42" s="5402"/>
      <c r="G42" s="333"/>
      <c r="H42" s="1409"/>
      <c r="I42" s="328"/>
      <c r="J42" s="273"/>
      <c r="K42" s="1409"/>
      <c r="L42" s="122"/>
      <c r="M42" s="5226"/>
      <c r="N42" s="260"/>
    </row>
    <row r="43" spans="1:16" s="2115" customFormat="1" ht="45" hidden="1" customHeight="1">
      <c r="A43" s="1688" t="s">
        <v>219</v>
      </c>
      <c r="B43" s="1688" t="s">
        <v>220</v>
      </c>
      <c r="C43" s="296"/>
      <c r="D43" s="5460"/>
      <c r="E43" s="5463"/>
      <c r="F43" s="5464" t="str">
        <f>INDEX(PT_DIFFERENTIATION_VTAR,MATCH(A43,PT_DIFFERENTIATION_VTAR_ID,0))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3" s="5431" t="str">
        <f>INDEX(PT_DIFFERENTIATION_NTAR,MATCH(B43,PT_DIFFERENTIATION_NTAR_ID,0))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H43" s="1770"/>
      <c r="I43" s="1646"/>
      <c r="J43" s="1681"/>
      <c r="K43" s="1773"/>
      <c r="L43" s="1770" t="s">
        <v>423</v>
      </c>
      <c r="M43" s="5226"/>
      <c r="N43" s="260"/>
      <c r="O43" s="1535"/>
      <c r="P43" s="1535"/>
    </row>
    <row r="44" spans="1:16" s="2115" customFormat="1" ht="18.75" hidden="1" customHeight="1">
      <c r="A44" s="1688"/>
      <c r="B44" s="1688"/>
      <c r="C44" s="296" t="s">
        <v>1182</v>
      </c>
      <c r="D44" s="5460"/>
      <c r="E44" s="5463"/>
      <c r="F44" s="5464"/>
      <c r="G44" s="5431"/>
      <c r="H44" s="1409"/>
      <c r="I44" s="571" t="s">
        <v>1183</v>
      </c>
      <c r="J44" s="495"/>
      <c r="K44" s="1409"/>
      <c r="L44" s="135"/>
      <c r="M44" s="5226"/>
      <c r="N44" s="260"/>
      <c r="O44" s="1535"/>
      <c r="P44" s="1535"/>
    </row>
    <row r="45" spans="1:16" s="2138" customFormat="1" ht="18.75" customHeight="1">
      <c r="A45" s="2299" t="s">
        <v>219</v>
      </c>
      <c r="B45" s="2299" t="s">
        <v>225</v>
      </c>
      <c r="C45" s="4632"/>
      <c r="D45" s="5462"/>
      <c r="E45" s="5461"/>
      <c r="F45" s="5461"/>
      <c r="G45" s="5431" t="str">
        <f>INDEX(PT_DIFFERENTIATION_NTAR,MATCH(B45,PT_DIFFERENTIATION_NTAR_ID,0))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H45" s="2184"/>
      <c r="I45" s="4633"/>
      <c r="J45" s="4634"/>
      <c r="K45" s="4635"/>
      <c r="L45" s="2184" t="s">
        <v>423</v>
      </c>
      <c r="M45" s="5349"/>
      <c r="N45" s="4636"/>
      <c r="O45" s="2221"/>
      <c r="P45" s="2221"/>
    </row>
    <row r="46" spans="1:16" s="2138" customFormat="1" ht="18.75" customHeight="1">
      <c r="A46" s="2299"/>
      <c r="B46" s="2299"/>
      <c r="C46" s="4632" t="s">
        <v>1182</v>
      </c>
      <c r="D46" s="5462"/>
      <c r="E46" s="5461"/>
      <c r="F46" s="5461"/>
      <c r="G46" s="5431"/>
      <c r="H46" s="4677"/>
      <c r="I46" s="4678" t="s">
        <v>1183</v>
      </c>
      <c r="J46" s="4679"/>
      <c r="K46" s="4680"/>
      <c r="L46" s="4681"/>
      <c r="M46" s="5349"/>
      <c r="N46" s="4636"/>
      <c r="O46" s="2221"/>
      <c r="P46" s="2221"/>
    </row>
    <row r="47" spans="1:16" s="2138" customFormat="1" ht="18.75" customHeight="1">
      <c r="A47" s="2299" t="s">
        <v>219</v>
      </c>
      <c r="B47" s="2299" t="s">
        <v>232</v>
      </c>
      <c r="C47" s="4632"/>
      <c r="D47" s="5462"/>
      <c r="E47" s="5461"/>
      <c r="F47" s="5461"/>
      <c r="G47" s="5431" t="str">
        <f>INDEX(PT_DIFFERENTIATION_NTAR,MATCH(B47,PT_DIFFERENTIATION_NTAR_ID,0))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47" s="2184"/>
      <c r="I47" s="4633"/>
      <c r="J47" s="4634"/>
      <c r="K47" s="4635"/>
      <c r="L47" s="2184" t="s">
        <v>423</v>
      </c>
      <c r="M47" s="5349"/>
      <c r="N47" s="4636"/>
      <c r="O47" s="2221"/>
      <c r="P47" s="2221"/>
    </row>
    <row r="48" spans="1:16" s="2138" customFormat="1" ht="18.75" customHeight="1">
      <c r="A48" s="2299"/>
      <c r="B48" s="2299"/>
      <c r="C48" s="4632" t="s">
        <v>1182</v>
      </c>
      <c r="D48" s="5462"/>
      <c r="E48" s="5461"/>
      <c r="F48" s="5461"/>
      <c r="G48" s="5431"/>
      <c r="H48" s="4682"/>
      <c r="I48" s="4683" t="s">
        <v>1183</v>
      </c>
      <c r="J48" s="4684"/>
      <c r="K48" s="4685"/>
      <c r="L48" s="4686"/>
      <c r="M48" s="5349"/>
      <c r="N48" s="4636"/>
      <c r="O48" s="2221"/>
      <c r="P48" s="2221"/>
    </row>
    <row r="49" spans="1:16" s="2138" customFormat="1" ht="18.75" customHeight="1">
      <c r="A49" s="2299" t="s">
        <v>219</v>
      </c>
      <c r="B49" s="2299" t="s">
        <v>237</v>
      </c>
      <c r="C49" s="4632"/>
      <c r="D49" s="5462"/>
      <c r="E49" s="5461"/>
      <c r="F49" s="5461"/>
      <c r="G49" s="5431" t="str">
        <f>INDEX(PT_DIFFERENTIATION_NTAR,MATCH(B49,PT_DIFFERENTIATION_NTAR_ID,0))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49" s="2184"/>
      <c r="I49" s="4633"/>
      <c r="J49" s="4634"/>
      <c r="K49" s="4635"/>
      <c r="L49" s="2184" t="s">
        <v>423</v>
      </c>
      <c r="M49" s="5349"/>
      <c r="N49" s="4636"/>
      <c r="O49" s="2221"/>
      <c r="P49" s="2221"/>
    </row>
    <row r="50" spans="1:16" s="2138" customFormat="1" ht="18.75" customHeight="1">
      <c r="A50" s="2299"/>
      <c r="B50" s="2299"/>
      <c r="C50" s="4632" t="s">
        <v>1182</v>
      </c>
      <c r="D50" s="5462"/>
      <c r="E50" s="5461"/>
      <c r="F50" s="5461"/>
      <c r="G50" s="5431"/>
      <c r="H50" s="4687"/>
      <c r="I50" s="4688" t="s">
        <v>1183</v>
      </c>
      <c r="J50" s="4689"/>
      <c r="K50" s="4690"/>
      <c r="L50" s="4691"/>
      <c r="M50" s="5349"/>
      <c r="N50" s="4636"/>
      <c r="O50" s="2221"/>
      <c r="P50" s="2221"/>
    </row>
    <row r="51" spans="1:16" s="2138" customFormat="1" ht="18.75" customHeight="1">
      <c r="A51" s="2299" t="s">
        <v>219</v>
      </c>
      <c r="B51" s="2299" t="s">
        <v>242</v>
      </c>
      <c r="C51" s="4632"/>
      <c r="D51" s="5462"/>
      <c r="E51" s="5461"/>
      <c r="F51" s="5461"/>
      <c r="G51" s="5431" t="str">
        <f>INDEX(PT_DIFFERENTIATION_NTAR,MATCH(B51,PT_DIFFERENTIATION_NTAR_ID,0))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51" s="2184"/>
      <c r="I51" s="4633"/>
      <c r="J51" s="4634"/>
      <c r="K51" s="4635"/>
      <c r="L51" s="2184" t="s">
        <v>423</v>
      </c>
      <c r="M51" s="5349"/>
      <c r="N51" s="4636"/>
      <c r="O51" s="2221"/>
      <c r="P51" s="2221"/>
    </row>
    <row r="52" spans="1:16" s="2138" customFormat="1" ht="18.75" customHeight="1">
      <c r="A52" s="2299"/>
      <c r="B52" s="2299"/>
      <c r="C52" s="4632" t="s">
        <v>1182</v>
      </c>
      <c r="D52" s="5462"/>
      <c r="E52" s="5461"/>
      <c r="F52" s="5461"/>
      <c r="G52" s="5431"/>
      <c r="H52" s="4692"/>
      <c r="I52" s="4693" t="s">
        <v>1183</v>
      </c>
      <c r="J52" s="4694"/>
      <c r="K52" s="4695"/>
      <c r="L52" s="4696"/>
      <c r="M52" s="5349"/>
      <c r="N52" s="4636"/>
      <c r="O52" s="2221"/>
      <c r="P52" s="2221"/>
    </row>
    <row r="53" spans="1:16" s="2115" customFormat="1" ht="0.75" hidden="1" customHeight="1">
      <c r="A53" s="1688"/>
      <c r="B53" s="1688"/>
      <c r="C53" s="296" t="s">
        <v>1188</v>
      </c>
      <c r="D53" s="5460"/>
      <c r="E53" s="5268"/>
      <c r="F53" s="5402"/>
      <c r="G53" s="333"/>
      <c r="H53" s="1409"/>
      <c r="I53" s="571"/>
      <c r="J53" s="495"/>
      <c r="K53" s="1409"/>
      <c r="L53" s="135"/>
      <c r="M53" s="5226"/>
      <c r="N53" s="260"/>
      <c r="O53" s="1535"/>
      <c r="P53" s="1535"/>
    </row>
    <row r="54" spans="1:16" s="2115" customFormat="1" ht="45" hidden="1" customHeight="1">
      <c r="A54" s="1688" t="s">
        <v>249</v>
      </c>
      <c r="B54" s="1688" t="s">
        <v>250</v>
      </c>
      <c r="C54" s="296"/>
      <c r="D54" s="5460"/>
      <c r="E54" s="5268"/>
      <c r="F54" s="5402" t="str">
        <f>INDEX(PT_DIFFERENTIATION_VTAR,MATCH(A54,PT_DIFFERENTIATION_VTAR_ID,0))</f>
        <v>Тарифы на теплоноситель, поставляемый теплоснабжающими организациями потребителям, другим теплоснабжающим организациям</v>
      </c>
      <c r="G54" s="5431" t="str">
        <f>INDEX(PT_DIFFERENTIATION_NTAR,MATCH(B54,PT_DIFFERENTIATION_NTAR_ID,0))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54" s="1770"/>
      <c r="I54" s="1646"/>
      <c r="J54" s="1681"/>
      <c r="K54" s="1773"/>
      <c r="L54" s="1770" t="s">
        <v>423</v>
      </c>
      <c r="M54" s="5226"/>
      <c r="N54" s="260"/>
      <c r="O54" s="1535"/>
      <c r="P54" s="1535"/>
    </row>
    <row r="55" spans="1:16" s="2115" customFormat="1" ht="18.75" hidden="1" customHeight="1">
      <c r="A55" s="1688"/>
      <c r="B55" s="1688"/>
      <c r="C55" s="296" t="s">
        <v>1182</v>
      </c>
      <c r="D55" s="5460"/>
      <c r="E55" s="5268"/>
      <c r="F55" s="5402"/>
      <c r="G55" s="5431"/>
      <c r="H55" s="1409"/>
      <c r="I55" s="571" t="s">
        <v>1183</v>
      </c>
      <c r="J55" s="495"/>
      <c r="K55" s="1409"/>
      <c r="L55" s="135"/>
      <c r="M55" s="5226"/>
      <c r="N55" s="260"/>
      <c r="O55" s="1535"/>
      <c r="P55" s="1535"/>
    </row>
    <row r="56" spans="1:16" s="2138" customFormat="1" ht="18.75" customHeight="1">
      <c r="A56" s="2299" t="s">
        <v>249</v>
      </c>
      <c r="B56" s="2299" t="s">
        <v>259</v>
      </c>
      <c r="C56" s="4632"/>
      <c r="D56" s="5462"/>
      <c r="E56" s="5461"/>
      <c r="F56" s="5461"/>
      <c r="G56" s="5431" t="str">
        <f>INDEX(PT_DIFFERENTIATION_NTAR,MATCH(B56,PT_DIFFERENTIATION_NTAR_ID,0))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56" s="2184"/>
      <c r="I56" s="4633"/>
      <c r="J56" s="4634"/>
      <c r="K56" s="4635"/>
      <c r="L56" s="2184" t="s">
        <v>423</v>
      </c>
      <c r="M56" s="5349"/>
      <c r="N56" s="4636"/>
      <c r="O56" s="2221"/>
      <c r="P56" s="2221"/>
    </row>
    <row r="57" spans="1:16" s="2138" customFormat="1" ht="18.75" customHeight="1">
      <c r="A57" s="2299"/>
      <c r="B57" s="2299"/>
      <c r="C57" s="4632" t="s">
        <v>1182</v>
      </c>
      <c r="D57" s="5462"/>
      <c r="E57" s="5461"/>
      <c r="F57" s="5461"/>
      <c r="G57" s="5431"/>
      <c r="H57" s="4697"/>
      <c r="I57" s="4698" t="s">
        <v>1183</v>
      </c>
      <c r="J57" s="4699"/>
      <c r="K57" s="4700"/>
      <c r="L57" s="4701"/>
      <c r="M57" s="5349"/>
      <c r="N57" s="4636"/>
      <c r="O57" s="2221"/>
      <c r="P57" s="2221"/>
    </row>
    <row r="58" spans="1:16" s="2115" customFormat="1" ht="0.75" hidden="1" customHeight="1">
      <c r="A58" s="1688"/>
      <c r="B58" s="1688"/>
      <c r="C58" s="296" t="s">
        <v>1188</v>
      </c>
      <c r="D58" s="5460"/>
      <c r="E58" s="5268"/>
      <c r="F58" s="5402"/>
      <c r="G58" s="333"/>
      <c r="H58" s="1409"/>
      <c r="I58" s="571"/>
      <c r="J58" s="495"/>
      <c r="K58" s="1409"/>
      <c r="L58" s="135"/>
      <c r="M58" s="5226"/>
      <c r="N58" s="260"/>
      <c r="O58" s="1535"/>
      <c r="P58" s="1535"/>
    </row>
    <row r="59" spans="1:16" s="2115" customFormat="1" ht="45" hidden="1" customHeight="1">
      <c r="A59" s="1688" t="s">
        <v>269</v>
      </c>
      <c r="B59" s="1688" t="s">
        <v>270</v>
      </c>
      <c r="C59" s="296"/>
      <c r="D59" s="5460"/>
      <c r="E59" s="5268"/>
      <c r="F59" s="5402" t="str">
        <f>INDEX(PT_DIFFERENTIATION_VTAR,MATCH(A59,PT_DIFFERENTIATION_VTAR_ID,0))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9" s="5431" t="str">
        <f>INDEX(PT_DIFFERENTIATION_NTAR,MATCH(B59,PT_DIFFERENTIATION_NTAR_ID,0))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H59" s="1770"/>
      <c r="I59" s="1646"/>
      <c r="J59" s="1681"/>
      <c r="K59" s="1773"/>
      <c r="L59" s="1770" t="s">
        <v>423</v>
      </c>
      <c r="M59" s="5226"/>
      <c r="N59" s="260"/>
      <c r="O59" s="1535"/>
      <c r="P59" s="1535"/>
    </row>
    <row r="60" spans="1:16" s="2115" customFormat="1" ht="18.75" hidden="1" customHeight="1">
      <c r="A60" s="1688"/>
      <c r="B60" s="1688"/>
      <c r="C60" s="296" t="s">
        <v>1182</v>
      </c>
      <c r="D60" s="5460"/>
      <c r="E60" s="5268"/>
      <c r="F60" s="5402"/>
      <c r="G60" s="5431"/>
      <c r="H60" s="1409"/>
      <c r="I60" s="571" t="s">
        <v>1183</v>
      </c>
      <c r="J60" s="495"/>
      <c r="K60" s="1409"/>
      <c r="L60" s="135"/>
      <c r="M60" s="5226"/>
      <c r="N60" s="260"/>
      <c r="O60" s="1535"/>
      <c r="P60" s="1535"/>
    </row>
    <row r="61" spans="1:16" s="2138" customFormat="1" ht="18.75" customHeight="1">
      <c r="A61" s="2299" t="s">
        <v>269</v>
      </c>
      <c r="B61" s="2299" t="s">
        <v>275</v>
      </c>
      <c r="C61" s="4632"/>
      <c r="D61" s="5462"/>
      <c r="E61" s="5461"/>
      <c r="F61" s="5461"/>
      <c r="G61" s="5431" t="str">
        <f>INDEX(PT_DIFFERENTIATION_NTAR,MATCH(B61,PT_DIFFERENTIATION_NTAR_ID,0))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H61" s="2184"/>
      <c r="I61" s="4633"/>
      <c r="J61" s="4634"/>
      <c r="K61" s="4635"/>
      <c r="L61" s="2184" t="s">
        <v>423</v>
      </c>
      <c r="M61" s="5349"/>
      <c r="N61" s="4636"/>
      <c r="O61" s="2221"/>
      <c r="P61" s="2221"/>
    </row>
    <row r="62" spans="1:16" s="2138" customFormat="1" ht="18.75" customHeight="1">
      <c r="A62" s="2299"/>
      <c r="B62" s="2299"/>
      <c r="C62" s="4632" t="s">
        <v>1182</v>
      </c>
      <c r="D62" s="5462"/>
      <c r="E62" s="5461"/>
      <c r="F62" s="5461"/>
      <c r="G62" s="5431"/>
      <c r="H62" s="4702"/>
      <c r="I62" s="4703" t="s">
        <v>1183</v>
      </c>
      <c r="J62" s="4704"/>
      <c r="K62" s="4705"/>
      <c r="L62" s="4706"/>
      <c r="M62" s="5349"/>
      <c r="N62" s="4636"/>
      <c r="O62" s="2221"/>
      <c r="P62" s="2221"/>
    </row>
    <row r="63" spans="1:16" s="2138" customFormat="1" ht="18.75" customHeight="1">
      <c r="A63" s="2299" t="s">
        <v>269</v>
      </c>
      <c r="B63" s="2299" t="s">
        <v>280</v>
      </c>
      <c r="C63" s="4632"/>
      <c r="D63" s="5462"/>
      <c r="E63" s="5461"/>
      <c r="F63" s="5461"/>
      <c r="G63" s="5431" t="str">
        <f>INDEX(PT_DIFFERENTIATION_NTAR,MATCH(B63,PT_DIFFERENTIATION_NTAR_ID,0))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H63" s="2184"/>
      <c r="I63" s="4633"/>
      <c r="J63" s="4634"/>
      <c r="K63" s="4635"/>
      <c r="L63" s="2184" t="s">
        <v>423</v>
      </c>
      <c r="M63" s="5349"/>
      <c r="N63" s="4636"/>
      <c r="O63" s="2221"/>
      <c r="P63" s="2221"/>
    </row>
    <row r="64" spans="1:16" s="2138" customFormat="1" ht="18.75" customHeight="1">
      <c r="A64" s="2299"/>
      <c r="B64" s="2299"/>
      <c r="C64" s="4632" t="s">
        <v>1182</v>
      </c>
      <c r="D64" s="5462"/>
      <c r="E64" s="5461"/>
      <c r="F64" s="5461"/>
      <c r="G64" s="5431"/>
      <c r="H64" s="4707"/>
      <c r="I64" s="4708" t="s">
        <v>1183</v>
      </c>
      <c r="J64" s="4709"/>
      <c r="K64" s="4710"/>
      <c r="L64" s="4711"/>
      <c r="M64" s="5349"/>
      <c r="N64" s="4636"/>
      <c r="O64" s="2221"/>
      <c r="P64" s="2221"/>
    </row>
    <row r="65" spans="1:16" s="2138" customFormat="1" ht="18.75" customHeight="1">
      <c r="A65" s="2299" t="s">
        <v>269</v>
      </c>
      <c r="B65" s="2299" t="s">
        <v>285</v>
      </c>
      <c r="C65" s="4632"/>
      <c r="D65" s="5462"/>
      <c r="E65" s="5461"/>
      <c r="F65" s="5461"/>
      <c r="G65" s="5431" t="str">
        <f>INDEX(PT_DIFFERENTIATION_NTAR,MATCH(B65,PT_DIFFERENTIATION_NTAR_ID,0))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H65" s="2184"/>
      <c r="I65" s="4633"/>
      <c r="J65" s="4634"/>
      <c r="K65" s="4635"/>
      <c r="L65" s="2184" t="s">
        <v>423</v>
      </c>
      <c r="M65" s="5349"/>
      <c r="N65" s="4636"/>
      <c r="O65" s="2221"/>
      <c r="P65" s="2221"/>
    </row>
    <row r="66" spans="1:16" s="2138" customFormat="1" ht="18.75" customHeight="1">
      <c r="A66" s="2299"/>
      <c r="B66" s="2299"/>
      <c r="C66" s="4632" t="s">
        <v>1182</v>
      </c>
      <c r="D66" s="5462"/>
      <c r="E66" s="5461"/>
      <c r="F66" s="5461"/>
      <c r="G66" s="5431"/>
      <c r="H66" s="4712"/>
      <c r="I66" s="4713" t="s">
        <v>1183</v>
      </c>
      <c r="J66" s="4714"/>
      <c r="K66" s="4715"/>
      <c r="L66" s="4716"/>
      <c r="M66" s="5349"/>
      <c r="N66" s="4636"/>
      <c r="O66" s="2221"/>
      <c r="P66" s="2221"/>
    </row>
    <row r="67" spans="1:16" s="2138" customFormat="1" ht="18.75" customHeight="1">
      <c r="A67" s="2299" t="s">
        <v>269</v>
      </c>
      <c r="B67" s="2299" t="s">
        <v>290</v>
      </c>
      <c r="C67" s="4632"/>
      <c r="D67" s="5462"/>
      <c r="E67" s="5461"/>
      <c r="F67" s="5461"/>
      <c r="G67" s="5431" t="str">
        <f>INDEX(PT_DIFFERENTIATION_NTAR,MATCH(B67,PT_DIFFERENTIATION_NTAR_ID,0))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H67" s="2184"/>
      <c r="I67" s="4633"/>
      <c r="J67" s="4634"/>
      <c r="K67" s="4635"/>
      <c r="L67" s="2184" t="s">
        <v>423</v>
      </c>
      <c r="M67" s="5349"/>
      <c r="N67" s="4636"/>
      <c r="O67" s="2221"/>
      <c r="P67" s="2221"/>
    </row>
    <row r="68" spans="1:16" s="2138" customFormat="1" ht="18.75" customHeight="1">
      <c r="A68" s="2299"/>
      <c r="B68" s="2299"/>
      <c r="C68" s="4632" t="s">
        <v>1182</v>
      </c>
      <c r="D68" s="5462"/>
      <c r="E68" s="5461"/>
      <c r="F68" s="5461"/>
      <c r="G68" s="5431"/>
      <c r="H68" s="4717"/>
      <c r="I68" s="4718" t="s">
        <v>1183</v>
      </c>
      <c r="J68" s="4719"/>
      <c r="K68" s="4720"/>
      <c r="L68" s="4721"/>
      <c r="M68" s="5349"/>
      <c r="N68" s="4636"/>
      <c r="O68" s="2221"/>
      <c r="P68" s="2221"/>
    </row>
    <row r="69" spans="1:16" s="2138" customFormat="1" ht="18.75" customHeight="1">
      <c r="A69" s="2299" t="s">
        <v>269</v>
      </c>
      <c r="B69" s="2299" t="s">
        <v>295</v>
      </c>
      <c r="C69" s="4632"/>
      <c r="D69" s="5462"/>
      <c r="E69" s="5461"/>
      <c r="F69" s="5461"/>
      <c r="G69" s="5431" t="str">
        <f>INDEX(PT_DIFFERENTIATION_NTAR,MATCH(B69,PT_DIFFERENTIATION_NTAR_ID,0))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H69" s="2184"/>
      <c r="I69" s="4633"/>
      <c r="J69" s="4634"/>
      <c r="K69" s="4635"/>
      <c r="L69" s="2184" t="s">
        <v>423</v>
      </c>
      <c r="M69" s="5349"/>
      <c r="N69" s="4636"/>
      <c r="O69" s="2221"/>
      <c r="P69" s="2221"/>
    </row>
    <row r="70" spans="1:16" s="2138" customFormat="1" ht="18.75" customHeight="1">
      <c r="A70" s="2299"/>
      <c r="B70" s="2299"/>
      <c r="C70" s="4632" t="s">
        <v>1182</v>
      </c>
      <c r="D70" s="5462"/>
      <c r="E70" s="5461"/>
      <c r="F70" s="5461"/>
      <c r="G70" s="5431"/>
      <c r="H70" s="4722"/>
      <c r="I70" s="4723" t="s">
        <v>1183</v>
      </c>
      <c r="J70" s="4724"/>
      <c r="K70" s="4725"/>
      <c r="L70" s="4726"/>
      <c r="M70" s="5349"/>
      <c r="N70" s="4636"/>
      <c r="O70" s="2221"/>
      <c r="P70" s="2221"/>
    </row>
    <row r="71" spans="1:16" s="2115" customFormat="1" ht="0.75" hidden="1" customHeight="1">
      <c r="A71" s="1688"/>
      <c r="B71" s="1688"/>
      <c r="C71" s="296" t="s">
        <v>1188</v>
      </c>
      <c r="D71" s="5460"/>
      <c r="E71" s="5268"/>
      <c r="F71" s="5402"/>
      <c r="G71" s="333"/>
      <c r="H71" s="1409"/>
      <c r="I71" s="571"/>
      <c r="J71" s="495"/>
      <c r="K71" s="1409"/>
      <c r="L71" s="135"/>
      <c r="M71" s="5226"/>
      <c r="N71" s="260"/>
      <c r="O71" s="1535"/>
      <c r="P71" s="1535"/>
    </row>
    <row r="72" spans="1:16" s="2115" customFormat="1" ht="18.75" hidden="1" customHeight="1">
      <c r="A72" s="1688" t="s">
        <v>302</v>
      </c>
      <c r="B72" s="1688" t="s">
        <v>303</v>
      </c>
      <c r="C72" s="296"/>
      <c r="D72" s="5460"/>
      <c r="E72" s="5268"/>
      <c r="F72" s="5402" t="str">
        <f>INDEX(PT_DIFFERENTIATION_VTAR,MATCH(A72,PT_DIFFERENTIATION_VTAR_ID,0))</f>
        <v>Тарифы на услуги по передаче тепловой энергии</v>
      </c>
      <c r="G72" s="5431" t="str">
        <f>INDEX(PT_DIFFERENTIATION_NTAR,MATCH(B72,PT_DIFFERENTIATION_NTAR_ID,0))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72" s="1770"/>
      <c r="I72" s="1646"/>
      <c r="J72" s="1681"/>
      <c r="K72" s="1773"/>
      <c r="L72" s="1770" t="s">
        <v>423</v>
      </c>
      <c r="M72" s="5226"/>
      <c r="N72" s="260"/>
      <c r="O72" s="1535"/>
      <c r="P72" s="1535"/>
    </row>
    <row r="73" spans="1:16" s="2115" customFormat="1" ht="18.75" hidden="1" customHeight="1">
      <c r="A73" s="1688"/>
      <c r="B73" s="1688"/>
      <c r="C73" s="296" t="s">
        <v>1182</v>
      </c>
      <c r="D73" s="5460"/>
      <c r="E73" s="5268"/>
      <c r="F73" s="5402"/>
      <c r="G73" s="5431"/>
      <c r="H73" s="1409"/>
      <c r="I73" s="571" t="s">
        <v>1183</v>
      </c>
      <c r="J73" s="495"/>
      <c r="K73" s="1409"/>
      <c r="L73" s="135"/>
      <c r="M73" s="5226"/>
      <c r="N73" s="260"/>
      <c r="O73" s="1535"/>
      <c r="P73" s="1535"/>
    </row>
    <row r="74" spans="1:16" s="2115" customFormat="1" ht="0.75" hidden="1" customHeight="1">
      <c r="A74" s="1688"/>
      <c r="B74" s="1688"/>
      <c r="C74" s="296" t="s">
        <v>1188</v>
      </c>
      <c r="D74" s="5460"/>
      <c r="E74" s="5268"/>
      <c r="F74" s="5402"/>
      <c r="G74" s="333"/>
      <c r="H74" s="1409"/>
      <c r="I74" s="571"/>
      <c r="J74" s="495"/>
      <c r="K74" s="1409"/>
      <c r="L74" s="135"/>
      <c r="M74" s="5226"/>
      <c r="N74" s="260"/>
      <c r="O74" s="1535"/>
      <c r="P74" s="1535"/>
    </row>
    <row r="75" spans="1:16" s="2115" customFormat="1" ht="18.75" hidden="1" customHeight="1">
      <c r="A75" s="1688" t="s">
        <v>308</v>
      </c>
      <c r="B75" s="1688" t="s">
        <v>309</v>
      </c>
      <c r="C75" s="296"/>
      <c r="D75" s="5460"/>
      <c r="E75" s="5268"/>
      <c r="F75" s="5402" t="str">
        <f>INDEX(PT_DIFFERENTIATION_VTAR,MATCH(A75,PT_DIFFERENTIATION_VTAR_ID,0))</f>
        <v>Тарифы на услуги по передаче теплоносителя</v>
      </c>
      <c r="G75" s="5431" t="str">
        <f>INDEX(PT_DIFFERENTIATION_NTAR,MATCH(B75,PT_DIFFERENTIATION_NTAR_ID,0))</f>
        <v/>
      </c>
      <c r="H75" s="1770"/>
      <c r="I75" s="1646"/>
      <c r="J75" s="1681"/>
      <c r="K75" s="1773"/>
      <c r="L75" s="1770" t="s">
        <v>423</v>
      </c>
      <c r="M75" s="5226"/>
      <c r="N75" s="260"/>
      <c r="O75" s="1535"/>
      <c r="P75" s="1535"/>
    </row>
    <row r="76" spans="1:16" s="2115" customFormat="1" ht="18.75" hidden="1" customHeight="1">
      <c r="A76" s="1688"/>
      <c r="B76" s="1688"/>
      <c r="C76" s="296" t="s">
        <v>1182</v>
      </c>
      <c r="D76" s="5460"/>
      <c r="E76" s="5268"/>
      <c r="F76" s="5402"/>
      <c r="G76" s="5431"/>
      <c r="H76" s="1409"/>
      <c r="I76" s="571" t="s">
        <v>1183</v>
      </c>
      <c r="J76" s="495"/>
      <c r="K76" s="1409"/>
      <c r="L76" s="135"/>
      <c r="M76" s="5226"/>
      <c r="N76" s="260"/>
      <c r="O76" s="1535"/>
      <c r="P76" s="1535"/>
    </row>
    <row r="77" spans="1:16" s="2115" customFormat="1" ht="0.75" hidden="1" customHeight="1">
      <c r="A77" s="1688"/>
      <c r="B77" s="1688"/>
      <c r="C77" s="296" t="s">
        <v>1188</v>
      </c>
      <c r="D77" s="5460"/>
      <c r="E77" s="5268"/>
      <c r="F77" s="5402"/>
      <c r="G77" s="333"/>
      <c r="H77" s="1409"/>
      <c r="I77" s="571"/>
      <c r="J77" s="495"/>
      <c r="K77" s="1409"/>
      <c r="L77" s="135"/>
      <c r="M77" s="5226"/>
      <c r="N77" s="260"/>
      <c r="O77" s="1535"/>
      <c r="P77" s="1535"/>
    </row>
    <row r="78" spans="1:16" s="2115" customFormat="1" ht="18.75" hidden="1" customHeight="1">
      <c r="A78" s="1688" t="s">
        <v>316</v>
      </c>
      <c r="B78" s="1688" t="s">
        <v>317</v>
      </c>
      <c r="C78" s="296"/>
      <c r="D78" s="5460"/>
      <c r="E78" s="5268"/>
      <c r="F78" s="5402" t="str">
        <f>INDEX(PT_DIFFERENTIATION_VTAR,MATCH(A78,PT_DIFFERENTIATION_VTAR_ID,0))</f>
        <v>Плата за услуги по поддержанию резервной тепловой мощности при отсутствии потребления тепловой энергии</v>
      </c>
      <c r="G78" s="5431" t="str">
        <f>INDEX(PT_DIFFERENTIATION_NTAR,MATCH(B78,PT_DIFFERENTIATION_NTAR_ID,0))</f>
        <v xml:space="preserve">Плата за услуги по поддержанию резервной тепловой мощности. </v>
      </c>
      <c r="H78" s="1770"/>
      <c r="I78" s="1646"/>
      <c r="J78" s="1681"/>
      <c r="K78" s="1773"/>
      <c r="L78" s="1770" t="s">
        <v>423</v>
      </c>
      <c r="M78" s="5226"/>
      <c r="N78" s="260"/>
      <c r="O78" s="1535"/>
      <c r="P78" s="1535"/>
    </row>
    <row r="79" spans="1:16" s="2115" customFormat="1" ht="18.75" hidden="1" customHeight="1">
      <c r="A79" s="1688"/>
      <c r="B79" s="1688"/>
      <c r="C79" s="296" t="s">
        <v>1182</v>
      </c>
      <c r="D79" s="5460"/>
      <c r="E79" s="5268"/>
      <c r="F79" s="5402"/>
      <c r="G79" s="5431"/>
      <c r="H79" s="1409"/>
      <c r="I79" s="571" t="s">
        <v>1183</v>
      </c>
      <c r="J79" s="495"/>
      <c r="K79" s="1409"/>
      <c r="L79" s="135"/>
      <c r="M79" s="5226"/>
      <c r="N79" s="260"/>
      <c r="O79" s="1535"/>
      <c r="P79" s="1535"/>
    </row>
    <row r="80" spans="1:16" s="2115" customFormat="1" ht="0.75" hidden="1" customHeight="1">
      <c r="A80" s="1688"/>
      <c r="B80" s="1688"/>
      <c r="C80" s="296" t="s">
        <v>1188</v>
      </c>
      <c r="D80" s="5460"/>
      <c r="E80" s="5268"/>
      <c r="F80" s="5402"/>
      <c r="G80" s="333"/>
      <c r="H80" s="1409"/>
      <c r="I80" s="571"/>
      <c r="J80" s="495"/>
      <c r="K80" s="1409"/>
      <c r="L80" s="135"/>
      <c r="M80" s="5226"/>
      <c r="N80" s="260"/>
      <c r="O80" s="1535"/>
      <c r="P80" s="1535"/>
    </row>
    <row r="81" spans="1:16" s="2115" customFormat="1" ht="18.75" hidden="1" customHeight="1">
      <c r="A81" s="1688" t="s">
        <v>328</v>
      </c>
      <c r="B81" s="1688" t="s">
        <v>329</v>
      </c>
      <c r="C81" s="296"/>
      <c r="D81" s="5460"/>
      <c r="E81" s="5268"/>
      <c r="F81" s="5402" t="str">
        <f>INDEX(PT_DIFFERENTIATION_VTAR,MATCH(A81,PT_DIFFERENTIATION_VTAR_ID,0))</f>
        <v>Плата за подключение (технологическое присоединение) к системе теплоснабжения</v>
      </c>
      <c r="G81" s="5431" t="str">
        <f>INDEX(PT_DIFFERENTIATION_NTAR,MATCH(B81,PT_DIFFERENTIATION_NTAR_ID,0))</f>
        <v/>
      </c>
      <c r="H81" s="1770"/>
      <c r="I81" s="1646"/>
      <c r="J81" s="1681"/>
      <c r="K81" s="1773"/>
      <c r="L81" s="1770" t="s">
        <v>423</v>
      </c>
      <c r="M81" s="5226"/>
      <c r="N81" s="260"/>
      <c r="O81" s="1535"/>
      <c r="P81" s="1535"/>
    </row>
    <row r="82" spans="1:16" s="2115" customFormat="1" ht="18.75" hidden="1" customHeight="1">
      <c r="A82" s="1688"/>
      <c r="B82" s="1688"/>
      <c r="C82" s="296" t="s">
        <v>1182</v>
      </c>
      <c r="D82" s="5460"/>
      <c r="E82" s="5268"/>
      <c r="F82" s="5402"/>
      <c r="G82" s="5431"/>
      <c r="H82" s="1409"/>
      <c r="I82" s="571" t="s">
        <v>1183</v>
      </c>
      <c r="J82" s="495"/>
      <c r="K82" s="1409"/>
      <c r="L82" s="135"/>
      <c r="M82" s="5226"/>
      <c r="N82" s="260"/>
      <c r="O82" s="1535"/>
      <c r="P82" s="1535"/>
    </row>
    <row r="83" spans="1:16" s="2115" customFormat="1" ht="0.75" hidden="1" customHeight="1">
      <c r="A83" s="1688"/>
      <c r="B83" s="1688"/>
      <c r="C83" s="296" t="s">
        <v>1188</v>
      </c>
      <c r="D83" s="5460"/>
      <c r="E83" s="5268"/>
      <c r="F83" s="5402"/>
      <c r="G83" s="333"/>
      <c r="H83" s="1409"/>
      <c r="I83" s="571"/>
      <c r="J83" s="495"/>
      <c r="K83" s="1409"/>
      <c r="L83" s="135"/>
      <c r="M83" s="5226"/>
      <c r="N83" s="260"/>
      <c r="O83" s="1535"/>
      <c r="P83" s="1535"/>
    </row>
    <row r="84" spans="1:16" s="2115" customFormat="1" ht="18.75" hidden="1" customHeight="1">
      <c r="A84" s="1688" t="s">
        <v>342</v>
      </c>
      <c r="B84" s="1688" t="s">
        <v>343</v>
      </c>
      <c r="C84" s="296"/>
      <c r="D84" s="5460"/>
      <c r="E84" s="5268"/>
      <c r="F84" s="5402" t="str">
        <f>INDEX(PT_DIFFERENTIATION_VTAR,MATCH(A84,PT_DIFFERENTIATION_VTAR_ID,0))</f>
        <v>Тариф на питьевую воду (питьевое водоснабжение)</v>
      </c>
      <c r="G84" s="5431" t="str">
        <f>INDEX(PT_DIFFERENTIATION_NTAR,MATCH(B84,PT_DIFFERENTIATION_NTAR_ID,0))</f>
        <v/>
      </c>
      <c r="H84" s="1770"/>
      <c r="I84" s="1646"/>
      <c r="J84" s="1681"/>
      <c r="K84" s="1773"/>
      <c r="L84" s="1770" t="s">
        <v>423</v>
      </c>
      <c r="M84" s="5226"/>
      <c r="N84" s="260"/>
      <c r="O84" s="1535"/>
      <c r="P84" s="1535"/>
    </row>
    <row r="85" spans="1:16" s="2115" customFormat="1" ht="18.75" hidden="1" customHeight="1">
      <c r="A85" s="1688"/>
      <c r="B85" s="1688"/>
      <c r="C85" s="296" t="s">
        <v>1182</v>
      </c>
      <c r="D85" s="5460"/>
      <c r="E85" s="5268"/>
      <c r="F85" s="5402"/>
      <c r="G85" s="5431"/>
      <c r="H85" s="1409"/>
      <c r="I85" s="571" t="s">
        <v>1183</v>
      </c>
      <c r="J85" s="495"/>
      <c r="K85" s="1409"/>
      <c r="L85" s="135"/>
      <c r="M85" s="5226"/>
      <c r="N85" s="260"/>
      <c r="O85" s="1535"/>
      <c r="P85" s="1535"/>
    </row>
    <row r="86" spans="1:16" s="2115" customFormat="1" ht="0.75" hidden="1" customHeight="1">
      <c r="A86" s="1688"/>
      <c r="B86" s="1688"/>
      <c r="C86" s="296" t="s">
        <v>1188</v>
      </c>
      <c r="D86" s="5460"/>
      <c r="E86" s="5268"/>
      <c r="F86" s="5402"/>
      <c r="G86" s="333"/>
      <c r="H86" s="1409"/>
      <c r="I86" s="571"/>
      <c r="J86" s="495"/>
      <c r="K86" s="1409"/>
      <c r="L86" s="135"/>
      <c r="M86" s="5226"/>
      <c r="N86" s="260"/>
      <c r="O86" s="1535"/>
      <c r="P86" s="1535"/>
    </row>
    <row r="87" spans="1:16" s="2115" customFormat="1" ht="18.75" hidden="1" customHeight="1">
      <c r="A87" s="1688" t="s">
        <v>347</v>
      </c>
      <c r="B87" s="1688" t="s">
        <v>348</v>
      </c>
      <c r="C87" s="296"/>
      <c r="D87" s="5460"/>
      <c r="E87" s="5268"/>
      <c r="F87" s="5402" t="str">
        <f>INDEX(PT_DIFFERENTIATION_VTAR,MATCH(A87,PT_DIFFERENTIATION_VTAR_ID,0))</f>
        <v>Тариф на техническую воду</v>
      </c>
      <c r="G87" s="5431" t="str">
        <f>INDEX(PT_DIFFERENTIATION_NTAR,MATCH(B87,PT_DIFFERENTIATION_NTAR_ID,0))</f>
        <v/>
      </c>
      <c r="H87" s="1770"/>
      <c r="I87" s="1646"/>
      <c r="J87" s="1681"/>
      <c r="K87" s="1773"/>
      <c r="L87" s="1770" t="s">
        <v>423</v>
      </c>
      <c r="M87" s="5226"/>
      <c r="N87" s="260"/>
      <c r="O87" s="1535"/>
      <c r="P87" s="1535"/>
    </row>
    <row r="88" spans="1:16" s="2115" customFormat="1" ht="18.75" hidden="1" customHeight="1">
      <c r="A88" s="1688"/>
      <c r="B88" s="1688"/>
      <c r="C88" s="296" t="s">
        <v>1182</v>
      </c>
      <c r="D88" s="5460"/>
      <c r="E88" s="5268"/>
      <c r="F88" s="5402"/>
      <c r="G88" s="5431"/>
      <c r="H88" s="1409"/>
      <c r="I88" s="571" t="s">
        <v>1183</v>
      </c>
      <c r="J88" s="495"/>
      <c r="K88" s="1409"/>
      <c r="L88" s="135"/>
      <c r="M88" s="5226"/>
      <c r="N88" s="260"/>
      <c r="O88" s="1535"/>
      <c r="P88" s="1535"/>
    </row>
    <row r="89" spans="1:16" s="2115" customFormat="1" ht="0.75" hidden="1" customHeight="1">
      <c r="A89" s="1688"/>
      <c r="B89" s="1688"/>
      <c r="C89" s="296" t="s">
        <v>1188</v>
      </c>
      <c r="D89" s="5460"/>
      <c r="E89" s="5268"/>
      <c r="F89" s="5402"/>
      <c r="G89" s="333"/>
      <c r="H89" s="1409"/>
      <c r="I89" s="571"/>
      <c r="J89" s="495"/>
      <c r="K89" s="1409"/>
      <c r="L89" s="135"/>
      <c r="M89" s="5226"/>
      <c r="N89" s="260"/>
      <c r="O89" s="1535"/>
      <c r="P89" s="1535"/>
    </row>
    <row r="90" spans="1:16" s="2115" customFormat="1" ht="18.75" hidden="1" customHeight="1">
      <c r="A90" s="1688" t="s">
        <v>352</v>
      </c>
      <c r="B90" s="1688" t="s">
        <v>353</v>
      </c>
      <c r="C90" s="296"/>
      <c r="D90" s="5460"/>
      <c r="E90" s="5268"/>
      <c r="F90" s="5402" t="str">
        <f>INDEX(PT_DIFFERENTIATION_VTAR,MATCH(A90,PT_DIFFERENTIATION_VTAR_ID,0))</f>
        <v>Тариф на транспортировку воды</v>
      </c>
      <c r="G90" s="5431" t="str">
        <f>INDEX(PT_DIFFERENTIATION_NTAR,MATCH(B90,PT_DIFFERENTIATION_NTAR_ID,0))</f>
        <v/>
      </c>
      <c r="H90" s="1770"/>
      <c r="I90" s="1646"/>
      <c r="J90" s="1681"/>
      <c r="K90" s="1773"/>
      <c r="L90" s="1770" t="s">
        <v>423</v>
      </c>
      <c r="M90" s="5226"/>
      <c r="N90" s="260"/>
      <c r="O90" s="1535"/>
      <c r="P90" s="1535"/>
    </row>
    <row r="91" spans="1:16" s="2115" customFormat="1" ht="18.75" hidden="1" customHeight="1">
      <c r="A91" s="1688"/>
      <c r="B91" s="1688"/>
      <c r="C91" s="296" t="s">
        <v>1182</v>
      </c>
      <c r="D91" s="5460"/>
      <c r="E91" s="5268"/>
      <c r="F91" s="5402"/>
      <c r="G91" s="5431"/>
      <c r="H91" s="1409"/>
      <c r="I91" s="571" t="s">
        <v>1183</v>
      </c>
      <c r="J91" s="495"/>
      <c r="K91" s="1409"/>
      <c r="L91" s="135"/>
      <c r="M91" s="5226"/>
      <c r="N91" s="260"/>
      <c r="O91" s="1535"/>
      <c r="P91" s="1535"/>
    </row>
    <row r="92" spans="1:16" s="2115" customFormat="1" ht="0.75" hidden="1" customHeight="1">
      <c r="A92" s="1688"/>
      <c r="B92" s="1688"/>
      <c r="C92" s="296" t="s">
        <v>1188</v>
      </c>
      <c r="D92" s="5460"/>
      <c r="E92" s="5268"/>
      <c r="F92" s="5402"/>
      <c r="G92" s="333"/>
      <c r="H92" s="1409"/>
      <c r="I92" s="571"/>
      <c r="J92" s="495"/>
      <c r="K92" s="1409"/>
      <c r="L92" s="135"/>
      <c r="M92" s="5226"/>
      <c r="N92" s="260"/>
      <c r="O92" s="1535"/>
      <c r="P92" s="1535"/>
    </row>
    <row r="93" spans="1:16" s="2115" customFormat="1" ht="18.75" hidden="1" customHeight="1">
      <c r="A93" s="1688" t="s">
        <v>357</v>
      </c>
      <c r="B93" s="1688" t="s">
        <v>358</v>
      </c>
      <c r="C93" s="296"/>
      <c r="D93" s="5460"/>
      <c r="E93" s="5268"/>
      <c r="F93" s="5402" t="str">
        <f>INDEX(PT_DIFFERENTIATION_VTAR,MATCH(A93,PT_DIFFERENTIATION_VTAR_ID,0))</f>
        <v>Тариф на подвоз воды</v>
      </c>
      <c r="G93" s="5431" t="str">
        <f>INDEX(PT_DIFFERENTIATION_NTAR,MATCH(B93,PT_DIFFERENTIATION_NTAR_ID,0))</f>
        <v/>
      </c>
      <c r="H93" s="1770"/>
      <c r="I93" s="1646"/>
      <c r="J93" s="1681"/>
      <c r="K93" s="1773"/>
      <c r="L93" s="1770" t="s">
        <v>423</v>
      </c>
      <c r="M93" s="5226"/>
      <c r="N93" s="260"/>
      <c r="O93" s="1535"/>
      <c r="P93" s="1535"/>
    </row>
    <row r="94" spans="1:16" s="2115" customFormat="1" ht="18.75" hidden="1" customHeight="1">
      <c r="A94" s="1688"/>
      <c r="B94" s="1688"/>
      <c r="C94" s="296" t="s">
        <v>1182</v>
      </c>
      <c r="D94" s="5460"/>
      <c r="E94" s="5268"/>
      <c r="F94" s="5402"/>
      <c r="G94" s="5431"/>
      <c r="H94" s="1409"/>
      <c r="I94" s="571" t="s">
        <v>1183</v>
      </c>
      <c r="J94" s="495"/>
      <c r="K94" s="1409"/>
      <c r="L94" s="135"/>
      <c r="M94" s="5226"/>
      <c r="N94" s="260"/>
      <c r="O94" s="1535"/>
      <c r="P94" s="1535"/>
    </row>
    <row r="95" spans="1:16" s="2115" customFormat="1" ht="0.75" hidden="1" customHeight="1">
      <c r="A95" s="1688"/>
      <c r="B95" s="1688"/>
      <c r="C95" s="296" t="s">
        <v>1188</v>
      </c>
      <c r="D95" s="5460"/>
      <c r="E95" s="5268"/>
      <c r="F95" s="5402"/>
      <c r="G95" s="333"/>
      <c r="H95" s="1409"/>
      <c r="I95" s="571"/>
      <c r="J95" s="495"/>
      <c r="K95" s="1409"/>
      <c r="L95" s="135"/>
      <c r="M95" s="5226"/>
      <c r="N95" s="260"/>
      <c r="O95" s="1535"/>
      <c r="P95" s="1535"/>
    </row>
    <row r="96" spans="1:16" s="2115" customFormat="1" ht="18.75" hidden="1" customHeight="1">
      <c r="A96" s="1688" t="s">
        <v>362</v>
      </c>
      <c r="B96" s="1688" t="s">
        <v>363</v>
      </c>
      <c r="C96" s="296"/>
      <c r="D96" s="5460"/>
      <c r="E96" s="5268"/>
      <c r="F96" s="5402" t="str">
        <f>INDEX(PT_DIFFERENTIATION_VTAR,MATCH(A96,PT_DIFFERENTIATION_VTAR_ID,0))</f>
        <v>Тариф на подключение (технологическое присоединение) к централизованной системе холодного водоснабжения</v>
      </c>
      <c r="G96" s="5431" t="str">
        <f>INDEX(PT_DIFFERENTIATION_NTAR,MATCH(B96,PT_DIFFERENTIATION_NTAR_ID,0))</f>
        <v/>
      </c>
      <c r="H96" s="1770"/>
      <c r="I96" s="1646"/>
      <c r="J96" s="1681"/>
      <c r="K96" s="1773"/>
      <c r="L96" s="1770" t="s">
        <v>423</v>
      </c>
      <c r="M96" s="5226"/>
      <c r="N96" s="260"/>
      <c r="O96" s="1535"/>
      <c r="P96" s="1535"/>
    </row>
    <row r="97" spans="1:16" s="2115" customFormat="1" ht="18.75" hidden="1" customHeight="1">
      <c r="A97" s="1688"/>
      <c r="B97" s="1688"/>
      <c r="C97" s="296" t="s">
        <v>1182</v>
      </c>
      <c r="D97" s="5460"/>
      <c r="E97" s="5268"/>
      <c r="F97" s="5402"/>
      <c r="G97" s="5431"/>
      <c r="H97" s="1409"/>
      <c r="I97" s="571" t="s">
        <v>1183</v>
      </c>
      <c r="J97" s="495"/>
      <c r="K97" s="1409"/>
      <c r="L97" s="135"/>
      <c r="M97" s="5226"/>
      <c r="N97" s="260"/>
      <c r="O97" s="1535"/>
      <c r="P97" s="1535"/>
    </row>
    <row r="98" spans="1:16" s="2115" customFormat="1" ht="0.75" hidden="1" customHeight="1">
      <c r="A98" s="1688"/>
      <c r="B98" s="1688"/>
      <c r="C98" s="296" t="s">
        <v>1188</v>
      </c>
      <c r="D98" s="5460"/>
      <c r="E98" s="5268"/>
      <c r="F98" s="5402"/>
      <c r="G98" s="333"/>
      <c r="H98" s="1409"/>
      <c r="I98" s="571"/>
      <c r="J98" s="495"/>
      <c r="K98" s="1409"/>
      <c r="L98" s="135"/>
      <c r="M98" s="5226"/>
      <c r="N98" s="260"/>
      <c r="O98" s="1535"/>
      <c r="P98" s="1535"/>
    </row>
    <row r="99" spans="1:16" s="2115" customFormat="1" ht="18.75" hidden="1" customHeight="1">
      <c r="A99" s="1688" t="s">
        <v>367</v>
      </c>
      <c r="B99" s="1688" t="s">
        <v>368</v>
      </c>
      <c r="C99" s="296"/>
      <c r="D99" s="5460"/>
      <c r="E99" s="5268"/>
      <c r="F99" s="5402" t="str">
        <f>INDEX(PT_DIFFERENTIATION_VTAR,MATCH(A99,PT_DIFFERENTIATION_VTAR_ID,0))</f>
        <v>Тариф на горячую воду (горячее водоснабжение)</v>
      </c>
      <c r="G99" s="5431" t="str">
        <f>INDEX(PT_DIFFERENTIATION_NTAR,MATCH(B99,PT_DIFFERENTIATION_NTAR_ID,0))</f>
        <v/>
      </c>
      <c r="H99" s="1770"/>
      <c r="I99" s="1646"/>
      <c r="J99" s="1681"/>
      <c r="K99" s="1773"/>
      <c r="L99" s="1770" t="s">
        <v>423</v>
      </c>
      <c r="M99" s="5226"/>
      <c r="N99" s="260"/>
      <c r="O99" s="1535"/>
      <c r="P99" s="1535"/>
    </row>
    <row r="100" spans="1:16" s="2115" customFormat="1" ht="18.75" hidden="1" customHeight="1">
      <c r="A100" s="1688"/>
      <c r="B100" s="1688"/>
      <c r="C100" s="296" t="s">
        <v>1182</v>
      </c>
      <c r="D100" s="5460"/>
      <c r="E100" s="5268"/>
      <c r="F100" s="5402"/>
      <c r="G100" s="5431"/>
      <c r="H100" s="1409"/>
      <c r="I100" s="571" t="s">
        <v>1183</v>
      </c>
      <c r="J100" s="495"/>
      <c r="K100" s="1409"/>
      <c r="L100" s="135"/>
      <c r="M100" s="5226"/>
      <c r="N100" s="260"/>
      <c r="O100" s="1535"/>
      <c r="P100" s="1535"/>
    </row>
    <row r="101" spans="1:16" s="2115" customFormat="1" ht="0.75" hidden="1" customHeight="1">
      <c r="A101" s="1688"/>
      <c r="B101" s="1688"/>
      <c r="C101" s="296" t="s">
        <v>1188</v>
      </c>
      <c r="D101" s="5460"/>
      <c r="E101" s="5268"/>
      <c r="F101" s="5402"/>
      <c r="G101" s="333"/>
      <c r="H101" s="1409"/>
      <c r="I101" s="571"/>
      <c r="J101" s="495"/>
      <c r="K101" s="1409"/>
      <c r="L101" s="135"/>
      <c r="M101" s="5226"/>
      <c r="N101" s="260"/>
      <c r="O101" s="1535"/>
      <c r="P101" s="1535"/>
    </row>
    <row r="102" spans="1:16" s="2115" customFormat="1" ht="18.75" hidden="1" customHeight="1">
      <c r="A102" s="1688" t="s">
        <v>372</v>
      </c>
      <c r="B102" s="1688" t="s">
        <v>373</v>
      </c>
      <c r="C102" s="296"/>
      <c r="D102" s="5460"/>
      <c r="E102" s="5268"/>
      <c r="F102" s="5402" t="str">
        <f>INDEX(PT_DIFFERENTIATION_VTAR,MATCH(A102,PT_DIFFERENTIATION_VTAR_ID,0))</f>
        <v>Тариф на транспортировку горячей воды</v>
      </c>
      <c r="G102" s="5431" t="str">
        <f>INDEX(PT_DIFFERENTIATION_NTAR,MATCH(B102,PT_DIFFERENTIATION_NTAR_ID,0))</f>
        <v/>
      </c>
      <c r="H102" s="1770"/>
      <c r="I102" s="1646"/>
      <c r="J102" s="1681"/>
      <c r="K102" s="1773"/>
      <c r="L102" s="1770" t="s">
        <v>423</v>
      </c>
      <c r="M102" s="5226"/>
      <c r="N102" s="260"/>
      <c r="O102" s="1535"/>
      <c r="P102" s="1535"/>
    </row>
    <row r="103" spans="1:16" s="2115" customFormat="1" ht="18.75" hidden="1" customHeight="1">
      <c r="A103" s="1688"/>
      <c r="B103" s="1688"/>
      <c r="C103" s="296" t="s">
        <v>1182</v>
      </c>
      <c r="D103" s="5460"/>
      <c r="E103" s="5268"/>
      <c r="F103" s="5402"/>
      <c r="G103" s="5431"/>
      <c r="H103" s="1409"/>
      <c r="I103" s="571" t="s">
        <v>1183</v>
      </c>
      <c r="J103" s="495"/>
      <c r="K103" s="1409"/>
      <c r="L103" s="135"/>
      <c r="M103" s="5226"/>
      <c r="N103" s="260"/>
      <c r="O103" s="1535"/>
      <c r="P103" s="1535"/>
    </row>
    <row r="104" spans="1:16" s="2115" customFormat="1" ht="0.75" hidden="1" customHeight="1">
      <c r="A104" s="1688"/>
      <c r="B104" s="1688"/>
      <c r="C104" s="296" t="s">
        <v>1188</v>
      </c>
      <c r="D104" s="5460"/>
      <c r="E104" s="5268"/>
      <c r="F104" s="5402"/>
      <c r="G104" s="333"/>
      <c r="H104" s="1409"/>
      <c r="I104" s="571"/>
      <c r="J104" s="495"/>
      <c r="K104" s="1409"/>
      <c r="L104" s="135"/>
      <c r="M104" s="5226"/>
      <c r="N104" s="260"/>
      <c r="O104" s="1535"/>
      <c r="P104" s="1535"/>
    </row>
    <row r="105" spans="1:16" s="2115" customFormat="1" ht="18.75" hidden="1" customHeight="1">
      <c r="A105" s="1688" t="s">
        <v>377</v>
      </c>
      <c r="B105" s="1688" t="s">
        <v>378</v>
      </c>
      <c r="C105" s="296"/>
      <c r="D105" s="5460"/>
      <c r="E105" s="5268"/>
      <c r="F105" s="5402" t="str">
        <f>INDEX(PT_DIFFERENTIATION_VTAR,MATCH(A105,PT_DIFFERENTIATION_VTAR_ID,0))</f>
        <v>Тариф на подключение (технологическое присоединение) к централизованной системе горячего водоснабжения</v>
      </c>
      <c r="G105" s="5431" t="str">
        <f>INDEX(PT_DIFFERENTIATION_NTAR,MATCH(B105,PT_DIFFERENTIATION_NTAR_ID,0))</f>
        <v/>
      </c>
      <c r="H105" s="1770"/>
      <c r="I105" s="1646"/>
      <c r="J105" s="1681"/>
      <c r="K105" s="1773"/>
      <c r="L105" s="1770" t="s">
        <v>423</v>
      </c>
      <c r="M105" s="5226"/>
      <c r="N105" s="260"/>
      <c r="O105" s="1535"/>
      <c r="P105" s="1535"/>
    </row>
    <row r="106" spans="1:16" s="2115" customFormat="1" ht="18.75" hidden="1" customHeight="1">
      <c r="A106" s="1688"/>
      <c r="B106" s="1688"/>
      <c r="C106" s="296" t="s">
        <v>1182</v>
      </c>
      <c r="D106" s="5460"/>
      <c r="E106" s="5268"/>
      <c r="F106" s="5402"/>
      <c r="G106" s="5431"/>
      <c r="H106" s="1409"/>
      <c r="I106" s="571" t="s">
        <v>1183</v>
      </c>
      <c r="J106" s="495"/>
      <c r="K106" s="1409"/>
      <c r="L106" s="135"/>
      <c r="M106" s="5226"/>
      <c r="N106" s="260"/>
      <c r="O106" s="1535"/>
      <c r="P106" s="1535"/>
    </row>
    <row r="107" spans="1:16" s="2115" customFormat="1" ht="0.75" hidden="1" customHeight="1">
      <c r="A107" s="1688"/>
      <c r="B107" s="1688"/>
      <c r="C107" s="296" t="s">
        <v>1188</v>
      </c>
      <c r="D107" s="5460"/>
      <c r="E107" s="5268"/>
      <c r="F107" s="5402"/>
      <c r="G107" s="333"/>
      <c r="H107" s="1409"/>
      <c r="I107" s="571"/>
      <c r="J107" s="495"/>
      <c r="K107" s="1409"/>
      <c r="L107" s="135"/>
      <c r="M107" s="5226"/>
      <c r="N107" s="260"/>
      <c r="O107" s="1535"/>
      <c r="P107" s="1535"/>
    </row>
    <row r="108" spans="1:16" s="2115" customFormat="1" ht="18.75" hidden="1" customHeight="1">
      <c r="A108" s="1688" t="s">
        <v>382</v>
      </c>
      <c r="B108" s="1688" t="s">
        <v>383</v>
      </c>
      <c r="C108" s="296"/>
      <c r="D108" s="5460"/>
      <c r="E108" s="5268"/>
      <c r="F108" s="5402" t="str">
        <f>INDEX(PT_DIFFERENTIATION_VTAR,MATCH(A108,PT_DIFFERENTIATION_VTAR_ID,0))</f>
        <v>Тариф на водоотведение</v>
      </c>
      <c r="G108" s="5431" t="str">
        <f>INDEX(PT_DIFFERENTIATION_NTAR,MATCH(B108,PT_DIFFERENTIATION_NTAR_ID,0))</f>
        <v/>
      </c>
      <c r="H108" s="1770"/>
      <c r="I108" s="1646"/>
      <c r="J108" s="1681"/>
      <c r="K108" s="1773"/>
      <c r="L108" s="1770" t="s">
        <v>423</v>
      </c>
      <c r="M108" s="5226"/>
      <c r="N108" s="260"/>
      <c r="O108" s="1535"/>
      <c r="P108" s="1535"/>
    </row>
    <row r="109" spans="1:16" s="2115" customFormat="1" ht="18.75" hidden="1" customHeight="1">
      <c r="A109" s="1688"/>
      <c r="B109" s="1688"/>
      <c r="C109" s="296" t="s">
        <v>1182</v>
      </c>
      <c r="D109" s="5460"/>
      <c r="E109" s="5268"/>
      <c r="F109" s="5402"/>
      <c r="G109" s="5431"/>
      <c r="H109" s="1409"/>
      <c r="I109" s="571" t="s">
        <v>1183</v>
      </c>
      <c r="J109" s="495"/>
      <c r="K109" s="1409"/>
      <c r="L109" s="135"/>
      <c r="M109" s="5226"/>
      <c r="N109" s="260"/>
      <c r="O109" s="1535"/>
      <c r="P109" s="1535"/>
    </row>
    <row r="110" spans="1:16" s="2115" customFormat="1" ht="0.75" hidden="1" customHeight="1">
      <c r="A110" s="1688"/>
      <c r="B110" s="1688"/>
      <c r="C110" s="296" t="s">
        <v>1188</v>
      </c>
      <c r="D110" s="5460"/>
      <c r="E110" s="5268"/>
      <c r="F110" s="5402"/>
      <c r="G110" s="333"/>
      <c r="H110" s="1409"/>
      <c r="I110" s="571"/>
      <c r="J110" s="495"/>
      <c r="K110" s="1409"/>
      <c r="L110" s="135"/>
      <c r="M110" s="5226"/>
      <c r="N110" s="260"/>
      <c r="O110" s="1535"/>
      <c r="P110" s="1535"/>
    </row>
    <row r="111" spans="1:16" s="2115" customFormat="1" ht="18.75" hidden="1" customHeight="1">
      <c r="A111" s="1688" t="s">
        <v>387</v>
      </c>
      <c r="B111" s="1688" t="s">
        <v>388</v>
      </c>
      <c r="C111" s="296"/>
      <c r="D111" s="5460"/>
      <c r="E111" s="5268"/>
      <c r="F111" s="5402" t="str">
        <f>INDEX(PT_DIFFERENTIATION_VTAR,MATCH(A111,PT_DIFFERENTIATION_VTAR_ID,0))</f>
        <v>Тариф на транспортировку сточных вод</v>
      </c>
      <c r="G111" s="5431" t="str">
        <f>INDEX(PT_DIFFERENTIATION_NTAR,MATCH(B111,PT_DIFFERENTIATION_NTAR_ID,0))</f>
        <v/>
      </c>
      <c r="H111" s="1770"/>
      <c r="I111" s="1646"/>
      <c r="J111" s="1681"/>
      <c r="K111" s="1773"/>
      <c r="L111" s="1770" t="s">
        <v>423</v>
      </c>
      <c r="M111" s="5226"/>
      <c r="N111" s="260"/>
      <c r="O111" s="1535"/>
      <c r="P111" s="1535"/>
    </row>
    <row r="112" spans="1:16" s="2115" customFormat="1" ht="18.75" hidden="1" customHeight="1">
      <c r="A112" s="1688"/>
      <c r="B112" s="1688"/>
      <c r="C112" s="296" t="s">
        <v>1182</v>
      </c>
      <c r="D112" s="5460"/>
      <c r="E112" s="5268"/>
      <c r="F112" s="5402"/>
      <c r="G112" s="5431"/>
      <c r="H112" s="1409"/>
      <c r="I112" s="571" t="s">
        <v>1183</v>
      </c>
      <c r="J112" s="495"/>
      <c r="K112" s="1409"/>
      <c r="L112" s="135"/>
      <c r="M112" s="5226"/>
      <c r="N112" s="260"/>
      <c r="O112" s="1535"/>
      <c r="P112" s="1535"/>
    </row>
    <row r="113" spans="1:16" s="2115" customFormat="1" ht="0.75" hidden="1" customHeight="1">
      <c r="A113" s="1688"/>
      <c r="B113" s="1688"/>
      <c r="C113" s="296" t="s">
        <v>1188</v>
      </c>
      <c r="D113" s="5460"/>
      <c r="E113" s="5268"/>
      <c r="F113" s="5402"/>
      <c r="G113" s="333"/>
      <c r="H113" s="1409"/>
      <c r="I113" s="571"/>
      <c r="J113" s="495"/>
      <c r="K113" s="1409"/>
      <c r="L113" s="135"/>
      <c r="M113" s="5226"/>
      <c r="N113" s="260"/>
      <c r="O113" s="1535"/>
      <c r="P113" s="1535"/>
    </row>
    <row r="114" spans="1:16" s="2115" customFormat="1" ht="18.75" hidden="1" customHeight="1">
      <c r="A114" s="1688" t="s">
        <v>392</v>
      </c>
      <c r="B114" s="1688" t="s">
        <v>393</v>
      </c>
      <c r="C114" s="296"/>
      <c r="D114" s="5460"/>
      <c r="E114" s="5268"/>
      <c r="F114" s="5402" t="str">
        <f>INDEX(PT_DIFFERENTIATION_VTAR,MATCH(A114,PT_DIFFERENTIATION_VTAR_ID,0))</f>
        <v>Тариф на подключение (технологическое присоединение) к централизованной системе водоотведения</v>
      </c>
      <c r="G114" s="5431" t="str">
        <f>INDEX(PT_DIFFERENTIATION_NTAR,MATCH(B114,PT_DIFFERENTIATION_NTAR_ID,0))</f>
        <v/>
      </c>
      <c r="H114" s="1770"/>
      <c r="I114" s="1646"/>
      <c r="J114" s="1681"/>
      <c r="K114" s="1773"/>
      <c r="L114" s="1770" t="s">
        <v>423</v>
      </c>
      <c r="M114" s="5226"/>
      <c r="N114" s="260"/>
      <c r="O114" s="1535"/>
      <c r="P114" s="1535"/>
    </row>
    <row r="115" spans="1:16" s="2115" customFormat="1" ht="18.75" hidden="1" customHeight="1">
      <c r="A115" s="1688"/>
      <c r="B115" s="1688"/>
      <c r="C115" s="296" t="s">
        <v>1182</v>
      </c>
      <c r="D115" s="5460"/>
      <c r="E115" s="5268"/>
      <c r="F115" s="5402"/>
      <c r="G115" s="5431"/>
      <c r="H115" s="1409"/>
      <c r="I115" s="571" t="s">
        <v>1183</v>
      </c>
      <c r="J115" s="495"/>
      <c r="K115" s="1409"/>
      <c r="L115" s="135"/>
      <c r="M115" s="5226"/>
      <c r="N115" s="260"/>
      <c r="O115" s="1535"/>
      <c r="P115" s="1535"/>
    </row>
    <row r="116" spans="1:16" s="2115" customFormat="1" ht="0.75" customHeight="1">
      <c r="A116" s="1688"/>
      <c r="B116" s="1688"/>
      <c r="C116" s="296" t="s">
        <v>1188</v>
      </c>
      <c r="D116" s="5460"/>
      <c r="E116" s="5268"/>
      <c r="F116" s="5402"/>
      <c r="G116" s="333"/>
      <c r="H116" s="1409"/>
      <c r="I116" s="571"/>
      <c r="J116" s="495"/>
      <c r="K116" s="1409"/>
      <c r="L116" s="135"/>
      <c r="M116" s="5226"/>
      <c r="N116" s="260"/>
      <c r="O116" s="1535"/>
      <c r="P116" s="1535"/>
    </row>
    <row r="117" spans="1:16" ht="18.75" customHeight="1">
      <c r="A117" s="1688"/>
      <c r="B117" s="1688"/>
      <c r="D117" s="304"/>
      <c r="E117" s="71" t="s">
        <v>98</v>
      </c>
      <c r="F117" s="54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17" s="5459"/>
      <c r="H117" s="5459"/>
      <c r="I117" s="5459"/>
      <c r="J117" s="5459"/>
      <c r="K117" s="5459"/>
      <c r="L117" s="5459"/>
      <c r="M117" s="215"/>
      <c r="N117" s="260"/>
    </row>
    <row r="118" spans="1:16" ht="33.75" customHeight="1">
      <c r="A118" s="1688"/>
      <c r="B118" s="1688"/>
      <c r="D118" s="304"/>
      <c r="E118" s="332"/>
      <c r="F118" s="119" t="s">
        <v>423</v>
      </c>
      <c r="G118" s="119" t="s">
        <v>423</v>
      </c>
      <c r="H118" s="5282" t="s">
        <v>423</v>
      </c>
      <c r="I118" s="5284"/>
      <c r="J118" s="119" t="s">
        <v>423</v>
      </c>
      <c r="K118" s="119" t="s">
        <v>423</v>
      </c>
      <c r="L118" s="334"/>
      <c r="M118" s="270" t="s">
        <v>1189</v>
      </c>
      <c r="N118" s="260"/>
    </row>
    <row r="119" spans="1:16" ht="18.75" customHeight="1">
      <c r="A119" s="1688"/>
      <c r="B119" s="1688"/>
      <c r="D119" s="304"/>
      <c r="E119" s="71" t="s">
        <v>85</v>
      </c>
      <c r="F119" s="5459" t="s">
        <v>1190</v>
      </c>
      <c r="G119" s="5459"/>
      <c r="H119" s="5459"/>
      <c r="I119" s="5459"/>
      <c r="J119" s="5459"/>
      <c r="K119" s="5459"/>
      <c r="L119" s="5459"/>
      <c r="M119" s="215"/>
      <c r="N119" s="260"/>
    </row>
    <row r="120" spans="1:16" s="2115" customFormat="1" ht="60.75" hidden="1" customHeight="1">
      <c r="A120" s="1688" t="s">
        <v>163</v>
      </c>
      <c r="B120" s="1688" t="s">
        <v>164</v>
      </c>
      <c r="C120" s="296"/>
      <c r="D120" s="5460"/>
      <c r="E120" s="5268"/>
      <c r="F120" s="5402" t="str">
        <f>INDEX(PT_DIFFERENTIATION_VTAR,MATCH(A120,PT_DIFFERENTIATION_VTAR_ID,0))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20" s="5431" t="str">
        <f>INDEX(PT_DIFFERENTIATION_NTAR,MATCH(B120,PT_DIFFERENTIATION_NTAR_ID,0))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120" s="1770"/>
      <c r="I120" s="1646"/>
      <c r="J120" s="1681"/>
      <c r="K120" s="1686"/>
      <c r="L120" s="1770" t="s">
        <v>423</v>
      </c>
      <c r="M120" s="5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20" s="260"/>
      <c r="O120" s="1535"/>
      <c r="P120" s="1535"/>
    </row>
    <row r="121" spans="1:16" s="2115" customFormat="1" ht="18.75" hidden="1" customHeight="1">
      <c r="A121" s="1688"/>
      <c r="B121" s="1688"/>
      <c r="C121" s="296" t="s">
        <v>1184</v>
      </c>
      <c r="D121" s="5460"/>
      <c r="E121" s="5268"/>
      <c r="F121" s="5402"/>
      <c r="G121" s="5431"/>
      <c r="H121" s="1409"/>
      <c r="I121" s="571" t="s">
        <v>1183</v>
      </c>
      <c r="J121" s="495"/>
      <c r="K121" s="1409"/>
      <c r="L121" s="135"/>
      <c r="M121" s="5226"/>
      <c r="N121" s="260"/>
      <c r="O121" s="1535"/>
      <c r="P121" s="1535"/>
    </row>
    <row r="122" spans="1:16" s="2138" customFormat="1" ht="18.75" customHeight="1">
      <c r="A122" s="2299" t="s">
        <v>163</v>
      </c>
      <c r="B122" s="2299" t="s">
        <v>176</v>
      </c>
      <c r="C122" s="4632"/>
      <c r="D122" s="5462"/>
      <c r="E122" s="5461"/>
      <c r="F122" s="5461"/>
      <c r="G122" s="5431" t="str">
        <f>INDEX(PT_DIFFERENTIATION_NTAR,MATCH(B122,PT_DIFFERENTIATION_NTAR_ID,0))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H122" s="2184"/>
      <c r="I122" s="4633"/>
      <c r="J122" s="4634"/>
      <c r="K122" s="4727"/>
      <c r="L122" s="2184" t="s">
        <v>423</v>
      </c>
      <c r="M122" s="5349"/>
      <c r="N122" s="4636"/>
      <c r="O122" s="2221"/>
      <c r="P122" s="2221"/>
    </row>
    <row r="123" spans="1:16" s="2138" customFormat="1" ht="18.75" customHeight="1">
      <c r="A123" s="2299"/>
      <c r="B123" s="2299"/>
      <c r="C123" s="4632" t="s">
        <v>1184</v>
      </c>
      <c r="D123" s="5462"/>
      <c r="E123" s="5461"/>
      <c r="F123" s="5461"/>
      <c r="G123" s="5431"/>
      <c r="H123" s="4728"/>
      <c r="I123" s="4729" t="s">
        <v>1183</v>
      </c>
      <c r="J123" s="4730"/>
      <c r="K123" s="4731"/>
      <c r="L123" s="4732"/>
      <c r="M123" s="5349"/>
      <c r="N123" s="4636"/>
      <c r="O123" s="2221"/>
      <c r="P123" s="2221"/>
    </row>
    <row r="124" spans="1:16" s="2138" customFormat="1" ht="18.75" customHeight="1">
      <c r="A124" s="2299" t="s">
        <v>163</v>
      </c>
      <c r="B124" s="2299" t="s">
        <v>181</v>
      </c>
      <c r="C124" s="4632"/>
      <c r="D124" s="5462"/>
      <c r="E124" s="5461"/>
      <c r="F124" s="5461"/>
      <c r="G124" s="5431" t="str">
        <f>INDEX(PT_DIFFERENTIATION_NTAR,MATCH(B124,PT_DIFFERENTIATION_NTAR_ID,0))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124" s="2184"/>
      <c r="I124" s="4633"/>
      <c r="J124" s="4634"/>
      <c r="K124" s="4727"/>
      <c r="L124" s="2184" t="s">
        <v>423</v>
      </c>
      <c r="M124" s="5349"/>
      <c r="N124" s="4636"/>
      <c r="O124" s="2221"/>
      <c r="P124" s="2221"/>
    </row>
    <row r="125" spans="1:16" s="2138" customFormat="1" ht="18.75" customHeight="1">
      <c r="A125" s="2299"/>
      <c r="B125" s="2299"/>
      <c r="C125" s="4632" t="s">
        <v>1184</v>
      </c>
      <c r="D125" s="5462"/>
      <c r="E125" s="5461"/>
      <c r="F125" s="5461"/>
      <c r="G125" s="5431"/>
      <c r="H125" s="4733"/>
      <c r="I125" s="4734" t="s">
        <v>1183</v>
      </c>
      <c r="J125" s="4735"/>
      <c r="K125" s="4736"/>
      <c r="L125" s="4737"/>
      <c r="M125" s="5349"/>
      <c r="N125" s="4636"/>
      <c r="O125" s="2221"/>
      <c r="P125" s="2221"/>
    </row>
    <row r="126" spans="1:16" s="2138" customFormat="1" ht="18.75" customHeight="1">
      <c r="A126" s="2299" t="s">
        <v>163</v>
      </c>
      <c r="B126" s="2299" t="s">
        <v>186</v>
      </c>
      <c r="C126" s="4632"/>
      <c r="D126" s="5462"/>
      <c r="E126" s="5461"/>
      <c r="F126" s="5461"/>
      <c r="G126" s="5431" t="str">
        <f>INDEX(PT_DIFFERENTIATION_NTAR,MATCH(B126,PT_DIFFERENTIATION_NTAR_ID,0))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126" s="2184"/>
      <c r="I126" s="4633"/>
      <c r="J126" s="4634"/>
      <c r="K126" s="4727"/>
      <c r="L126" s="2184" t="s">
        <v>423</v>
      </c>
      <c r="M126" s="5349"/>
      <c r="N126" s="4636"/>
      <c r="O126" s="2221"/>
      <c r="P126" s="2221"/>
    </row>
    <row r="127" spans="1:16" s="2138" customFormat="1" ht="18.75" customHeight="1">
      <c r="A127" s="2299"/>
      <c r="B127" s="2299"/>
      <c r="C127" s="4632" t="s">
        <v>1184</v>
      </c>
      <c r="D127" s="5462"/>
      <c r="E127" s="5461"/>
      <c r="F127" s="5461"/>
      <c r="G127" s="5431"/>
      <c r="H127" s="4738"/>
      <c r="I127" s="4739" t="s">
        <v>1183</v>
      </c>
      <c r="J127" s="4740"/>
      <c r="K127" s="4741"/>
      <c r="L127" s="4742"/>
      <c r="M127" s="5349"/>
      <c r="N127" s="4636"/>
      <c r="O127" s="2221"/>
      <c r="P127" s="2221"/>
    </row>
    <row r="128" spans="1:16" s="2138" customFormat="1" ht="18.75" customHeight="1">
      <c r="A128" s="2299" t="s">
        <v>163</v>
      </c>
      <c r="B128" s="2299" t="s">
        <v>191</v>
      </c>
      <c r="C128" s="4632"/>
      <c r="D128" s="5462"/>
      <c r="E128" s="5461"/>
      <c r="F128" s="5461"/>
      <c r="G128" s="5431" t="str">
        <f>INDEX(PT_DIFFERENTIATION_NTAR,MATCH(B128,PT_DIFFERENTIATION_NTAR_ID,0))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H128" s="2184"/>
      <c r="I128" s="4633"/>
      <c r="J128" s="4634"/>
      <c r="K128" s="4727"/>
      <c r="L128" s="2184" t="s">
        <v>423</v>
      </c>
      <c r="M128" s="5349"/>
      <c r="N128" s="4636"/>
      <c r="O128" s="2221"/>
      <c r="P128" s="2221"/>
    </row>
    <row r="129" spans="1:16" s="2138" customFormat="1" ht="18.75" customHeight="1">
      <c r="A129" s="2299"/>
      <c r="B129" s="2299"/>
      <c r="C129" s="4632" t="s">
        <v>1184</v>
      </c>
      <c r="D129" s="5462"/>
      <c r="E129" s="5461"/>
      <c r="F129" s="5461"/>
      <c r="G129" s="5431"/>
      <c r="H129" s="4743"/>
      <c r="I129" s="4744" t="s">
        <v>1183</v>
      </c>
      <c r="J129" s="4745"/>
      <c r="K129" s="4746"/>
      <c r="L129" s="4747"/>
      <c r="M129" s="5349"/>
      <c r="N129" s="4636"/>
      <c r="O129" s="2221"/>
      <c r="P129" s="2221"/>
    </row>
    <row r="130" spans="1:16" s="2138" customFormat="1" ht="18.75" customHeight="1">
      <c r="A130" s="2299" t="s">
        <v>163</v>
      </c>
      <c r="B130" s="2299" t="s">
        <v>196</v>
      </c>
      <c r="C130" s="4632"/>
      <c r="D130" s="5462"/>
      <c r="E130" s="5461"/>
      <c r="F130" s="5461"/>
      <c r="G130" s="5431" t="str">
        <f>INDEX(PT_DIFFERENTIATION_NTAR,MATCH(B130,PT_DIFFERENTIATION_NTAR_ID,0))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130" s="2184"/>
      <c r="I130" s="4633"/>
      <c r="J130" s="4634"/>
      <c r="K130" s="4727"/>
      <c r="L130" s="2184" t="s">
        <v>423</v>
      </c>
      <c r="M130" s="5349"/>
      <c r="N130" s="4636"/>
      <c r="O130" s="2221"/>
      <c r="P130" s="2221"/>
    </row>
    <row r="131" spans="1:16" s="2138" customFormat="1" ht="18.75" customHeight="1">
      <c r="A131" s="2299"/>
      <c r="B131" s="2299"/>
      <c r="C131" s="4632" t="s">
        <v>1184</v>
      </c>
      <c r="D131" s="5462"/>
      <c r="E131" s="5461"/>
      <c r="F131" s="5461"/>
      <c r="G131" s="5431"/>
      <c r="H131" s="4748"/>
      <c r="I131" s="4749" t="s">
        <v>1183</v>
      </c>
      <c r="J131" s="4750"/>
      <c r="K131" s="4751"/>
      <c r="L131" s="4752"/>
      <c r="M131" s="5349"/>
      <c r="N131" s="4636"/>
      <c r="O131" s="2221"/>
      <c r="P131" s="2221"/>
    </row>
    <row r="132" spans="1:16" s="2138" customFormat="1" ht="18.75" customHeight="1">
      <c r="A132" s="2299" t="s">
        <v>163</v>
      </c>
      <c r="B132" s="2299" t="s">
        <v>201</v>
      </c>
      <c r="C132" s="4632"/>
      <c r="D132" s="5462"/>
      <c r="E132" s="5461"/>
      <c r="F132" s="5461"/>
      <c r="G132" s="5431" t="str">
        <f>INDEX(PT_DIFFERENTIATION_NTAR,MATCH(B132,PT_DIFFERENTIATION_NTAR_ID,0))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132" s="2184"/>
      <c r="I132" s="4633"/>
      <c r="J132" s="4634"/>
      <c r="K132" s="4727"/>
      <c r="L132" s="2184" t="s">
        <v>423</v>
      </c>
      <c r="M132" s="5349"/>
      <c r="N132" s="4636"/>
      <c r="O132" s="2221"/>
      <c r="P132" s="2221"/>
    </row>
    <row r="133" spans="1:16" s="2138" customFormat="1" ht="18.75" customHeight="1">
      <c r="A133" s="2299"/>
      <c r="B133" s="2299"/>
      <c r="C133" s="4632" t="s">
        <v>1184</v>
      </c>
      <c r="D133" s="5462"/>
      <c r="E133" s="5461"/>
      <c r="F133" s="5461"/>
      <c r="G133" s="5431"/>
      <c r="H133" s="4753"/>
      <c r="I133" s="4754" t="s">
        <v>1183</v>
      </c>
      <c r="J133" s="4755"/>
      <c r="K133" s="4756"/>
      <c r="L133" s="4757"/>
      <c r="M133" s="5349"/>
      <c r="N133" s="4636"/>
      <c r="O133" s="2221"/>
      <c r="P133" s="2221"/>
    </row>
    <row r="134" spans="1:16" s="2138" customFormat="1" ht="18.75" customHeight="1">
      <c r="A134" s="2299" t="s">
        <v>163</v>
      </c>
      <c r="B134" s="2299" t="s">
        <v>206</v>
      </c>
      <c r="C134" s="4632"/>
      <c r="D134" s="5462"/>
      <c r="E134" s="5461"/>
      <c r="F134" s="5461"/>
      <c r="G134" s="5431" t="str">
        <f>INDEX(PT_DIFFERENTIATION_NTAR,MATCH(B134,PT_DIFFERENTIATION_NTAR_ID,0))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134" s="2184"/>
      <c r="I134" s="4633"/>
      <c r="J134" s="4634"/>
      <c r="K134" s="4727"/>
      <c r="L134" s="2184" t="s">
        <v>423</v>
      </c>
      <c r="M134" s="5349"/>
      <c r="N134" s="4636"/>
      <c r="O134" s="2221"/>
      <c r="P134" s="2221"/>
    </row>
    <row r="135" spans="1:16" s="2138" customFormat="1" ht="18.75" customHeight="1">
      <c r="A135" s="2299"/>
      <c r="B135" s="2299"/>
      <c r="C135" s="4632" t="s">
        <v>1184</v>
      </c>
      <c r="D135" s="5462"/>
      <c r="E135" s="5461"/>
      <c r="F135" s="5461"/>
      <c r="G135" s="5431"/>
      <c r="H135" s="4758"/>
      <c r="I135" s="4759" t="s">
        <v>1183</v>
      </c>
      <c r="J135" s="4760"/>
      <c r="K135" s="4761"/>
      <c r="L135" s="4762"/>
      <c r="M135" s="5349"/>
      <c r="N135" s="4636"/>
      <c r="O135" s="2221"/>
      <c r="P135" s="2221"/>
    </row>
    <row r="136" spans="1:16" s="2138" customFormat="1" ht="18.75" customHeight="1">
      <c r="A136" s="2299" t="s">
        <v>163</v>
      </c>
      <c r="B136" s="2299" t="s">
        <v>211</v>
      </c>
      <c r="C136" s="4632"/>
      <c r="D136" s="5462"/>
      <c r="E136" s="5461"/>
      <c r="F136" s="5461"/>
      <c r="G136" s="5431" t="str">
        <f>INDEX(PT_DIFFERENTIATION_NTAR,MATCH(B136,PT_DIFFERENTIATION_NTAR_ID,0))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136" s="2184"/>
      <c r="I136" s="4633"/>
      <c r="J136" s="4634"/>
      <c r="K136" s="4727"/>
      <c r="L136" s="2184" t="s">
        <v>423</v>
      </c>
      <c r="M136" s="5349"/>
      <c r="N136" s="4636"/>
      <c r="O136" s="2221"/>
      <c r="P136" s="2221"/>
    </row>
    <row r="137" spans="1:16" s="2138" customFormat="1" ht="18.75" customHeight="1">
      <c r="A137" s="2299"/>
      <c r="B137" s="2299"/>
      <c r="C137" s="4632" t="s">
        <v>1184</v>
      </c>
      <c r="D137" s="5462"/>
      <c r="E137" s="5461"/>
      <c r="F137" s="5461"/>
      <c r="G137" s="5431"/>
      <c r="H137" s="4763"/>
      <c r="I137" s="4764" t="s">
        <v>1183</v>
      </c>
      <c r="J137" s="4765"/>
      <c r="K137" s="4766"/>
      <c r="L137" s="4767"/>
      <c r="M137" s="5349"/>
      <c r="N137" s="4636"/>
      <c r="O137" s="2221"/>
      <c r="P137" s="2221"/>
    </row>
    <row r="138" spans="1:16" s="2115" customFormat="1" ht="0.75" hidden="1" customHeight="1">
      <c r="A138" s="1688"/>
      <c r="B138" s="1688"/>
      <c r="C138" s="296" t="s">
        <v>1191</v>
      </c>
      <c r="D138" s="5460"/>
      <c r="E138" s="5268"/>
      <c r="F138" s="5402"/>
      <c r="G138" s="333"/>
      <c r="H138" s="1409"/>
      <c r="I138" s="571"/>
      <c r="J138" s="495"/>
      <c r="K138" s="1409"/>
      <c r="L138" s="135"/>
      <c r="M138" s="5226"/>
      <c r="N138" s="260"/>
      <c r="O138" s="1535"/>
      <c r="P138" s="1535"/>
    </row>
    <row r="139" spans="1:16" s="2115" customFormat="1" ht="45" hidden="1" customHeight="1">
      <c r="A139" s="1688" t="s">
        <v>219</v>
      </c>
      <c r="B139" s="1688" t="s">
        <v>220</v>
      </c>
      <c r="C139" s="296"/>
      <c r="D139" s="5460"/>
      <c r="E139" s="5268"/>
      <c r="F139" s="540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39" s="5431" t="str">
        <f>INDEX(PT_DIFFERENTIATION_NTAR,MATCH(B139,PT_DIFFERENTIATION_NTAR_ID,0))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H139" s="1770"/>
      <c r="I139" s="1646"/>
      <c r="J139" s="1681"/>
      <c r="K139" s="1686"/>
      <c r="L139" s="1770" t="s">
        <v>423</v>
      </c>
      <c r="M139" s="5227"/>
      <c r="N139" s="260"/>
      <c r="O139" s="1535"/>
      <c r="P139" s="1535"/>
    </row>
    <row r="140" spans="1:16" s="2115" customFormat="1" ht="18.75" hidden="1" customHeight="1">
      <c r="A140" s="1688"/>
      <c r="B140" s="1688"/>
      <c r="C140" s="296" t="s">
        <v>1184</v>
      </c>
      <c r="D140" s="5460"/>
      <c r="E140" s="5268"/>
      <c r="F140" s="5402"/>
      <c r="G140" s="5431"/>
      <c r="H140" s="1409"/>
      <c r="I140" s="571" t="s">
        <v>1183</v>
      </c>
      <c r="J140" s="495"/>
      <c r="K140" s="1409"/>
      <c r="L140" s="135"/>
      <c r="M140" s="1769"/>
      <c r="N140" s="260"/>
      <c r="O140" s="1535"/>
      <c r="P140" s="1535"/>
    </row>
    <row r="141" spans="1:16" s="2138" customFormat="1" ht="18.75" customHeight="1">
      <c r="A141" s="2299" t="s">
        <v>219</v>
      </c>
      <c r="B141" s="2299" t="s">
        <v>225</v>
      </c>
      <c r="C141" s="4632"/>
      <c r="D141" s="5462"/>
      <c r="E141" s="5461"/>
      <c r="F141" s="5461"/>
      <c r="G141" s="5431" t="str">
        <f>INDEX(PT_DIFFERENTIATION_NTAR,MATCH(B141,PT_DIFFERENTIATION_NTAR_ID,0))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H141" s="2184"/>
      <c r="I141" s="4633"/>
      <c r="J141" s="4634"/>
      <c r="K141" s="4727"/>
      <c r="L141" s="2184" t="s">
        <v>423</v>
      </c>
      <c r="M141" s="4056"/>
      <c r="N141" s="4636"/>
      <c r="O141" s="2221"/>
      <c r="P141" s="2221"/>
    </row>
    <row r="142" spans="1:16" s="2138" customFormat="1" ht="18.75" customHeight="1">
      <c r="A142" s="2299"/>
      <c r="B142" s="2299"/>
      <c r="C142" s="4632" t="s">
        <v>1184</v>
      </c>
      <c r="D142" s="5462"/>
      <c r="E142" s="5461"/>
      <c r="F142" s="5461"/>
      <c r="G142" s="5431"/>
      <c r="H142" s="4768"/>
      <c r="I142" s="4769" t="s">
        <v>1183</v>
      </c>
      <c r="J142" s="4770"/>
      <c r="K142" s="4771"/>
      <c r="L142" s="4772"/>
      <c r="M142" s="4056"/>
      <c r="N142" s="4636"/>
      <c r="O142" s="2221"/>
      <c r="P142" s="2221"/>
    </row>
    <row r="143" spans="1:16" s="2138" customFormat="1" ht="18.75" customHeight="1">
      <c r="A143" s="2299" t="s">
        <v>219</v>
      </c>
      <c r="B143" s="2299" t="s">
        <v>232</v>
      </c>
      <c r="C143" s="4632"/>
      <c r="D143" s="5462"/>
      <c r="E143" s="5461"/>
      <c r="F143" s="5461"/>
      <c r="G143" s="5431" t="str">
        <f>INDEX(PT_DIFFERENTIATION_NTAR,MATCH(B143,PT_DIFFERENTIATION_NTAR_ID,0))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143" s="2184"/>
      <c r="I143" s="4633"/>
      <c r="J143" s="4634"/>
      <c r="K143" s="4727"/>
      <c r="L143" s="2184" t="s">
        <v>423</v>
      </c>
      <c r="M143" s="4056"/>
      <c r="N143" s="4636"/>
      <c r="O143" s="2221"/>
      <c r="P143" s="2221"/>
    </row>
    <row r="144" spans="1:16" s="2138" customFormat="1" ht="18.75" customHeight="1">
      <c r="A144" s="2299"/>
      <c r="B144" s="2299"/>
      <c r="C144" s="4632" t="s">
        <v>1184</v>
      </c>
      <c r="D144" s="5462"/>
      <c r="E144" s="5461"/>
      <c r="F144" s="5461"/>
      <c r="G144" s="5431"/>
      <c r="H144" s="4773"/>
      <c r="I144" s="4774" t="s">
        <v>1183</v>
      </c>
      <c r="J144" s="4775"/>
      <c r="K144" s="4776"/>
      <c r="L144" s="4777"/>
      <c r="M144" s="4056"/>
      <c r="N144" s="4636"/>
      <c r="O144" s="2221"/>
      <c r="P144" s="2221"/>
    </row>
    <row r="145" spans="1:16" s="2138" customFormat="1" ht="18.75" customHeight="1">
      <c r="A145" s="2299" t="s">
        <v>219</v>
      </c>
      <c r="B145" s="2299" t="s">
        <v>237</v>
      </c>
      <c r="C145" s="4632"/>
      <c r="D145" s="5462"/>
      <c r="E145" s="5461"/>
      <c r="F145" s="5461"/>
      <c r="G145" s="5431" t="str">
        <f>INDEX(PT_DIFFERENTIATION_NTAR,MATCH(B145,PT_DIFFERENTIATION_NTAR_ID,0))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145" s="2184"/>
      <c r="I145" s="4633"/>
      <c r="J145" s="4634"/>
      <c r="K145" s="4727"/>
      <c r="L145" s="2184" t="s">
        <v>423</v>
      </c>
      <c r="M145" s="4056"/>
      <c r="N145" s="4636"/>
      <c r="O145" s="2221"/>
      <c r="P145" s="2221"/>
    </row>
    <row r="146" spans="1:16" s="2138" customFormat="1" ht="18.75" customHeight="1">
      <c r="A146" s="2299"/>
      <c r="B146" s="2299"/>
      <c r="C146" s="4632" t="s">
        <v>1184</v>
      </c>
      <c r="D146" s="5462"/>
      <c r="E146" s="5461"/>
      <c r="F146" s="5461"/>
      <c r="G146" s="5431"/>
      <c r="H146" s="4778"/>
      <c r="I146" s="4779" t="s">
        <v>1183</v>
      </c>
      <c r="J146" s="4780"/>
      <c r="K146" s="4781"/>
      <c r="L146" s="4782"/>
      <c r="M146" s="4056"/>
      <c r="N146" s="4636"/>
      <c r="O146" s="2221"/>
      <c r="P146" s="2221"/>
    </row>
    <row r="147" spans="1:16" s="2138" customFormat="1" ht="18.75" customHeight="1">
      <c r="A147" s="2299" t="s">
        <v>219</v>
      </c>
      <c r="B147" s="2299" t="s">
        <v>242</v>
      </c>
      <c r="C147" s="4632"/>
      <c r="D147" s="5462"/>
      <c r="E147" s="5461"/>
      <c r="F147" s="5461"/>
      <c r="G147" s="5431" t="str">
        <f>INDEX(PT_DIFFERENTIATION_NTAR,MATCH(B147,PT_DIFFERENTIATION_NTAR_ID,0))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147" s="2184"/>
      <c r="I147" s="4633"/>
      <c r="J147" s="4634"/>
      <c r="K147" s="4727"/>
      <c r="L147" s="2184" t="s">
        <v>423</v>
      </c>
      <c r="M147" s="4056"/>
      <c r="N147" s="4636"/>
      <c r="O147" s="2221"/>
      <c r="P147" s="2221"/>
    </row>
    <row r="148" spans="1:16" s="2138" customFormat="1" ht="18.75" customHeight="1">
      <c r="A148" s="2299"/>
      <c r="B148" s="2299"/>
      <c r="C148" s="4632" t="s">
        <v>1184</v>
      </c>
      <c r="D148" s="5462"/>
      <c r="E148" s="5461"/>
      <c r="F148" s="5461"/>
      <c r="G148" s="5431"/>
      <c r="H148" s="4783"/>
      <c r="I148" s="4784" t="s">
        <v>1183</v>
      </c>
      <c r="J148" s="4785"/>
      <c r="K148" s="4786"/>
      <c r="L148" s="4787"/>
      <c r="M148" s="4056"/>
      <c r="N148" s="4636"/>
      <c r="O148" s="2221"/>
      <c r="P148" s="2221"/>
    </row>
    <row r="149" spans="1:16" s="2115" customFormat="1" ht="0.75" hidden="1" customHeight="1">
      <c r="A149" s="1688"/>
      <c r="B149" s="1688"/>
      <c r="C149" s="296" t="s">
        <v>1191</v>
      </c>
      <c r="D149" s="5460"/>
      <c r="E149" s="5268"/>
      <c r="F149" s="5402"/>
      <c r="G149" s="333"/>
      <c r="H149" s="1409"/>
      <c r="I149" s="571"/>
      <c r="J149" s="495"/>
      <c r="K149" s="1409"/>
      <c r="L149" s="135"/>
      <c r="M149" s="267"/>
      <c r="N149" s="260"/>
      <c r="O149" s="1535"/>
      <c r="P149" s="1535"/>
    </row>
    <row r="150" spans="1:16" s="2115" customFormat="1" ht="45" hidden="1" customHeight="1">
      <c r="A150" s="1688" t="s">
        <v>249</v>
      </c>
      <c r="B150" s="1688" t="s">
        <v>250</v>
      </c>
      <c r="C150" s="296"/>
      <c r="D150" s="5460"/>
      <c r="E150" s="5268"/>
      <c r="F150" s="5402"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5431" t="str">
        <f>INDEX(PT_DIFFERENTIATION_NTAR,MATCH(B150,PT_DIFFERENTIATION_NTAR_ID,0))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150" s="1770"/>
      <c r="I150" s="1646"/>
      <c r="J150" s="1681"/>
      <c r="K150" s="1686"/>
      <c r="L150" s="1770" t="s">
        <v>423</v>
      </c>
      <c r="M150" s="267"/>
      <c r="N150" s="260"/>
      <c r="O150" s="1535"/>
      <c r="P150" s="1535"/>
    </row>
    <row r="151" spans="1:16" s="2115" customFormat="1" ht="18.75" hidden="1" customHeight="1">
      <c r="A151" s="1688"/>
      <c r="B151" s="1688"/>
      <c r="C151" s="296" t="s">
        <v>1184</v>
      </c>
      <c r="D151" s="5460"/>
      <c r="E151" s="5268"/>
      <c r="F151" s="5402"/>
      <c r="G151" s="5431"/>
      <c r="H151" s="1409"/>
      <c r="I151" s="571" t="s">
        <v>1183</v>
      </c>
      <c r="J151" s="495"/>
      <c r="K151" s="1409"/>
      <c r="L151" s="135"/>
      <c r="M151" s="267"/>
      <c r="N151" s="260"/>
      <c r="O151" s="1535"/>
      <c r="P151" s="1535"/>
    </row>
    <row r="152" spans="1:16" s="2138" customFormat="1" ht="18.75" customHeight="1">
      <c r="A152" s="2299" t="s">
        <v>249</v>
      </c>
      <c r="B152" s="2299" t="s">
        <v>259</v>
      </c>
      <c r="C152" s="4632"/>
      <c r="D152" s="5462"/>
      <c r="E152" s="5461"/>
      <c r="F152" s="5461"/>
      <c r="G152" s="5431" t="str">
        <f>INDEX(PT_DIFFERENTIATION_NTAR,MATCH(B152,PT_DIFFERENTIATION_NTAR_ID,0))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152" s="2184"/>
      <c r="I152" s="4633"/>
      <c r="J152" s="4634"/>
      <c r="K152" s="4727"/>
      <c r="L152" s="2184" t="s">
        <v>423</v>
      </c>
      <c r="M152" s="4056"/>
      <c r="N152" s="4636"/>
      <c r="O152" s="2221"/>
      <c r="P152" s="2221"/>
    </row>
    <row r="153" spans="1:16" s="2138" customFormat="1" ht="18.75" customHeight="1">
      <c r="A153" s="2299"/>
      <c r="B153" s="2299"/>
      <c r="C153" s="4632" t="s">
        <v>1184</v>
      </c>
      <c r="D153" s="5462"/>
      <c r="E153" s="5461"/>
      <c r="F153" s="5461"/>
      <c r="G153" s="5431"/>
      <c r="H153" s="4788"/>
      <c r="I153" s="4789" t="s">
        <v>1183</v>
      </c>
      <c r="J153" s="4790"/>
      <c r="K153" s="4791"/>
      <c r="L153" s="4792"/>
      <c r="M153" s="4056"/>
      <c r="N153" s="4636"/>
      <c r="O153" s="2221"/>
      <c r="P153" s="2221"/>
    </row>
    <row r="154" spans="1:16" s="2115" customFormat="1" ht="0.75" hidden="1" customHeight="1">
      <c r="A154" s="1688"/>
      <c r="B154" s="1688"/>
      <c r="C154" s="296" t="s">
        <v>1191</v>
      </c>
      <c r="D154" s="5460"/>
      <c r="E154" s="5268"/>
      <c r="F154" s="5402"/>
      <c r="G154" s="333"/>
      <c r="H154" s="1409"/>
      <c r="I154" s="571"/>
      <c r="J154" s="495"/>
      <c r="K154" s="1409"/>
      <c r="L154" s="135"/>
      <c r="M154" s="267"/>
      <c r="N154" s="260"/>
      <c r="O154" s="1535"/>
      <c r="P154" s="1535"/>
    </row>
    <row r="155" spans="1:16" s="2115" customFormat="1" ht="45" hidden="1" customHeight="1">
      <c r="A155" s="1688" t="s">
        <v>269</v>
      </c>
      <c r="B155" s="1688" t="s">
        <v>270</v>
      </c>
      <c r="C155" s="296"/>
      <c r="D155" s="5460"/>
      <c r="E155" s="5268"/>
      <c r="F155" s="54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5431" t="str">
        <f>INDEX(PT_DIFFERENTIATION_NTAR,MATCH(B155,PT_DIFFERENTIATION_NTAR_ID,0))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H155" s="1770"/>
      <c r="I155" s="1646"/>
      <c r="J155" s="1681"/>
      <c r="K155" s="1686"/>
      <c r="L155" s="1770" t="s">
        <v>423</v>
      </c>
      <c r="M155" s="267"/>
      <c r="N155" s="260"/>
      <c r="O155" s="1535"/>
      <c r="P155" s="1535"/>
    </row>
    <row r="156" spans="1:16" s="2115" customFormat="1" ht="18.75" hidden="1" customHeight="1">
      <c r="A156" s="1688"/>
      <c r="B156" s="1688"/>
      <c r="C156" s="296" t="s">
        <v>1184</v>
      </c>
      <c r="D156" s="5460"/>
      <c r="E156" s="5268"/>
      <c r="F156" s="5402"/>
      <c r="G156" s="5431"/>
      <c r="H156" s="1409"/>
      <c r="I156" s="571" t="s">
        <v>1183</v>
      </c>
      <c r="J156" s="495"/>
      <c r="K156" s="1409"/>
      <c r="L156" s="135"/>
      <c r="M156" s="267"/>
      <c r="N156" s="260"/>
      <c r="O156" s="1535"/>
      <c r="P156" s="1535"/>
    </row>
    <row r="157" spans="1:16" s="2138" customFormat="1" ht="18.75" customHeight="1">
      <c r="A157" s="2299" t="s">
        <v>269</v>
      </c>
      <c r="B157" s="2299" t="s">
        <v>275</v>
      </c>
      <c r="C157" s="4632"/>
      <c r="D157" s="5462"/>
      <c r="E157" s="5461"/>
      <c r="F157" s="5461"/>
      <c r="G157" s="5431" t="str">
        <f>INDEX(PT_DIFFERENTIATION_NTAR,MATCH(B157,PT_DIFFERENTIATION_NTAR_ID,0))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H157" s="2184"/>
      <c r="I157" s="4633"/>
      <c r="J157" s="4634"/>
      <c r="K157" s="4727"/>
      <c r="L157" s="2184" t="s">
        <v>423</v>
      </c>
      <c r="M157" s="4056"/>
      <c r="N157" s="4636"/>
      <c r="O157" s="2221"/>
      <c r="P157" s="2221"/>
    </row>
    <row r="158" spans="1:16" s="2138" customFormat="1" ht="18.75" customHeight="1">
      <c r="A158" s="2299"/>
      <c r="B158" s="2299"/>
      <c r="C158" s="4632" t="s">
        <v>1184</v>
      </c>
      <c r="D158" s="5462"/>
      <c r="E158" s="5461"/>
      <c r="F158" s="5461"/>
      <c r="G158" s="5431"/>
      <c r="H158" s="4793"/>
      <c r="I158" s="4794" t="s">
        <v>1183</v>
      </c>
      <c r="J158" s="4795"/>
      <c r="K158" s="4796"/>
      <c r="L158" s="4797"/>
      <c r="M158" s="4056"/>
      <c r="N158" s="4636"/>
      <c r="O158" s="2221"/>
      <c r="P158" s="2221"/>
    </row>
    <row r="159" spans="1:16" s="2138" customFormat="1" ht="18.75" customHeight="1">
      <c r="A159" s="2299" t="s">
        <v>269</v>
      </c>
      <c r="B159" s="2299" t="s">
        <v>280</v>
      </c>
      <c r="C159" s="4632"/>
      <c r="D159" s="5462"/>
      <c r="E159" s="5461"/>
      <c r="F159" s="5461"/>
      <c r="G159" s="5431" t="str">
        <f>INDEX(PT_DIFFERENTIATION_NTAR,MATCH(B159,PT_DIFFERENTIATION_NTAR_ID,0))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H159" s="2184"/>
      <c r="I159" s="4633"/>
      <c r="J159" s="4634"/>
      <c r="K159" s="4727"/>
      <c r="L159" s="2184" t="s">
        <v>423</v>
      </c>
      <c r="M159" s="4056"/>
      <c r="N159" s="4636"/>
      <c r="O159" s="2221"/>
      <c r="P159" s="2221"/>
    </row>
    <row r="160" spans="1:16" s="2138" customFormat="1" ht="18.75" customHeight="1">
      <c r="A160" s="2299"/>
      <c r="B160" s="2299"/>
      <c r="C160" s="4632" t="s">
        <v>1184</v>
      </c>
      <c r="D160" s="5462"/>
      <c r="E160" s="5461"/>
      <c r="F160" s="5461"/>
      <c r="G160" s="5431"/>
      <c r="H160" s="4798"/>
      <c r="I160" s="4799" t="s">
        <v>1183</v>
      </c>
      <c r="J160" s="4800"/>
      <c r="K160" s="4801"/>
      <c r="L160" s="4802"/>
      <c r="M160" s="4056"/>
      <c r="N160" s="4636"/>
      <c r="O160" s="2221"/>
      <c r="P160" s="2221"/>
    </row>
    <row r="161" spans="1:16" s="2138" customFormat="1" ht="18.75" customHeight="1">
      <c r="A161" s="2299" t="s">
        <v>269</v>
      </c>
      <c r="B161" s="2299" t="s">
        <v>285</v>
      </c>
      <c r="C161" s="4632"/>
      <c r="D161" s="5462"/>
      <c r="E161" s="5461"/>
      <c r="F161" s="5461"/>
      <c r="G161" s="5431" t="str">
        <f>INDEX(PT_DIFFERENTIATION_NTAR,MATCH(B161,PT_DIFFERENTIATION_NTAR_ID,0))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H161" s="2184"/>
      <c r="I161" s="4633"/>
      <c r="J161" s="4634"/>
      <c r="K161" s="4727"/>
      <c r="L161" s="2184" t="s">
        <v>423</v>
      </c>
      <c r="M161" s="4056"/>
      <c r="N161" s="4636"/>
      <c r="O161" s="2221"/>
      <c r="P161" s="2221"/>
    </row>
    <row r="162" spans="1:16" s="2138" customFormat="1" ht="18.75" customHeight="1">
      <c r="A162" s="2299"/>
      <c r="B162" s="2299"/>
      <c r="C162" s="4632" t="s">
        <v>1184</v>
      </c>
      <c r="D162" s="5462"/>
      <c r="E162" s="5461"/>
      <c r="F162" s="5461"/>
      <c r="G162" s="5431"/>
      <c r="H162" s="4803"/>
      <c r="I162" s="4804" t="s">
        <v>1183</v>
      </c>
      <c r="J162" s="4805"/>
      <c r="K162" s="4806"/>
      <c r="L162" s="4807"/>
      <c r="M162" s="4056"/>
      <c r="N162" s="4636"/>
      <c r="O162" s="2221"/>
      <c r="P162" s="2221"/>
    </row>
    <row r="163" spans="1:16" s="2138" customFormat="1" ht="18.75" customHeight="1">
      <c r="A163" s="2299" t="s">
        <v>269</v>
      </c>
      <c r="B163" s="2299" t="s">
        <v>290</v>
      </c>
      <c r="C163" s="4632"/>
      <c r="D163" s="5462"/>
      <c r="E163" s="5461"/>
      <c r="F163" s="5461"/>
      <c r="G163" s="5431" t="str">
        <f>INDEX(PT_DIFFERENTIATION_NTAR,MATCH(B163,PT_DIFFERENTIATION_NTAR_ID,0))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H163" s="2184"/>
      <c r="I163" s="4633"/>
      <c r="J163" s="4634"/>
      <c r="K163" s="4727"/>
      <c r="L163" s="2184" t="s">
        <v>423</v>
      </c>
      <c r="M163" s="4056"/>
      <c r="N163" s="4636"/>
      <c r="O163" s="2221"/>
      <c r="P163" s="2221"/>
    </row>
    <row r="164" spans="1:16" s="2138" customFormat="1" ht="18.75" customHeight="1">
      <c r="A164" s="2299"/>
      <c r="B164" s="2299"/>
      <c r="C164" s="4632" t="s">
        <v>1184</v>
      </c>
      <c r="D164" s="5462"/>
      <c r="E164" s="5461"/>
      <c r="F164" s="5461"/>
      <c r="G164" s="5431"/>
      <c r="H164" s="4808"/>
      <c r="I164" s="4809" t="s">
        <v>1183</v>
      </c>
      <c r="J164" s="4810"/>
      <c r="K164" s="4811"/>
      <c r="L164" s="4812"/>
      <c r="M164" s="4056"/>
      <c r="N164" s="4636"/>
      <c r="O164" s="2221"/>
      <c r="P164" s="2221"/>
    </row>
    <row r="165" spans="1:16" s="2138" customFormat="1" ht="18.75" customHeight="1">
      <c r="A165" s="2299" t="s">
        <v>269</v>
      </c>
      <c r="B165" s="2299" t="s">
        <v>295</v>
      </c>
      <c r="C165" s="4632"/>
      <c r="D165" s="5462"/>
      <c r="E165" s="5461"/>
      <c r="F165" s="5461"/>
      <c r="G165" s="5431" t="str">
        <f>INDEX(PT_DIFFERENTIATION_NTAR,MATCH(B165,PT_DIFFERENTIATION_NTAR_ID,0))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H165" s="2184"/>
      <c r="I165" s="4633"/>
      <c r="J165" s="4634"/>
      <c r="K165" s="4727"/>
      <c r="L165" s="2184" t="s">
        <v>423</v>
      </c>
      <c r="M165" s="4056"/>
      <c r="N165" s="4636"/>
      <c r="O165" s="2221"/>
      <c r="P165" s="2221"/>
    </row>
    <row r="166" spans="1:16" s="2138" customFormat="1" ht="18.75" customHeight="1">
      <c r="A166" s="2299"/>
      <c r="B166" s="2299"/>
      <c r="C166" s="4632" t="s">
        <v>1184</v>
      </c>
      <c r="D166" s="5462"/>
      <c r="E166" s="5461"/>
      <c r="F166" s="5461"/>
      <c r="G166" s="5431"/>
      <c r="H166" s="4813"/>
      <c r="I166" s="4814" t="s">
        <v>1183</v>
      </c>
      <c r="J166" s="4815"/>
      <c r="K166" s="4816"/>
      <c r="L166" s="4817"/>
      <c r="M166" s="4056"/>
      <c r="N166" s="4636"/>
      <c r="O166" s="2221"/>
      <c r="P166" s="2221"/>
    </row>
    <row r="167" spans="1:16" s="2115" customFormat="1" ht="0.75" hidden="1" customHeight="1">
      <c r="A167" s="1688"/>
      <c r="B167" s="1688"/>
      <c r="C167" s="296" t="s">
        <v>1191</v>
      </c>
      <c r="D167" s="5460"/>
      <c r="E167" s="5268"/>
      <c r="F167" s="5402"/>
      <c r="G167" s="333"/>
      <c r="H167" s="1409"/>
      <c r="I167" s="571"/>
      <c r="J167" s="495"/>
      <c r="K167" s="1409"/>
      <c r="L167" s="135"/>
      <c r="M167" s="267"/>
      <c r="N167" s="260"/>
      <c r="O167" s="1535"/>
      <c r="P167" s="1535"/>
    </row>
    <row r="168" spans="1:16" s="2115" customFormat="1" ht="18.75" hidden="1" customHeight="1">
      <c r="A168" s="1688" t="s">
        <v>302</v>
      </c>
      <c r="B168" s="1688" t="s">
        <v>303</v>
      </c>
      <c r="C168" s="296"/>
      <c r="D168" s="5460"/>
      <c r="E168" s="5268"/>
      <c r="F168" s="5402" t="str">
        <f>INDEX(PT_DIFFERENTIATION_VTAR,MATCH(A168,PT_DIFFERENTIATION_VTAR_ID,0))</f>
        <v>Тарифы на услуги по передаче тепловой энергии</v>
      </c>
      <c r="G168" s="5431" t="str">
        <f>INDEX(PT_DIFFERENTIATION_NTAR,MATCH(B168,PT_DIFFERENTIATION_NTAR_ID,0))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168" s="1770"/>
      <c r="I168" s="1646"/>
      <c r="J168" s="1681"/>
      <c r="K168" s="1686"/>
      <c r="L168" s="1770" t="s">
        <v>423</v>
      </c>
      <c r="M168" s="267"/>
      <c r="N168" s="260"/>
      <c r="O168" s="1535"/>
      <c r="P168" s="1535"/>
    </row>
    <row r="169" spans="1:16" s="2115" customFormat="1" ht="18.75" hidden="1" customHeight="1">
      <c r="A169" s="1688"/>
      <c r="B169" s="1688"/>
      <c r="C169" s="296" t="s">
        <v>1184</v>
      </c>
      <c r="D169" s="5460"/>
      <c r="E169" s="5268"/>
      <c r="F169" s="5402"/>
      <c r="G169" s="5431"/>
      <c r="H169" s="1409"/>
      <c r="I169" s="571" t="s">
        <v>1183</v>
      </c>
      <c r="J169" s="495"/>
      <c r="K169" s="1409"/>
      <c r="L169" s="135"/>
      <c r="M169" s="267"/>
      <c r="N169" s="260"/>
      <c r="O169" s="1535"/>
      <c r="P169" s="1535"/>
    </row>
    <row r="170" spans="1:16" s="2115" customFormat="1" ht="0.75" hidden="1" customHeight="1">
      <c r="A170" s="1688"/>
      <c r="B170" s="1688"/>
      <c r="C170" s="296" t="s">
        <v>1191</v>
      </c>
      <c r="D170" s="5460"/>
      <c r="E170" s="5268"/>
      <c r="F170" s="5402"/>
      <c r="G170" s="333"/>
      <c r="H170" s="1409"/>
      <c r="I170" s="571"/>
      <c r="J170" s="495"/>
      <c r="K170" s="1409"/>
      <c r="L170" s="135"/>
      <c r="M170" s="267"/>
      <c r="N170" s="260"/>
      <c r="O170" s="1535"/>
      <c r="P170" s="1535"/>
    </row>
    <row r="171" spans="1:16" s="2115" customFormat="1" ht="18.75" hidden="1" customHeight="1">
      <c r="A171" s="1688" t="s">
        <v>308</v>
      </c>
      <c r="B171" s="1688" t="s">
        <v>309</v>
      </c>
      <c r="C171" s="296"/>
      <c r="D171" s="5460"/>
      <c r="E171" s="5268"/>
      <c r="F171" s="5402" t="str">
        <f>INDEX(PT_DIFFERENTIATION_VTAR,MATCH(A171,PT_DIFFERENTIATION_VTAR_ID,0))</f>
        <v>Тарифы на услуги по передаче теплоносителя</v>
      </c>
      <c r="G171" s="5431" t="str">
        <f>INDEX(PT_DIFFERENTIATION_NTAR,MATCH(B171,PT_DIFFERENTIATION_NTAR_ID,0))</f>
        <v/>
      </c>
      <c r="H171" s="1770"/>
      <c r="I171" s="1646"/>
      <c r="J171" s="1681"/>
      <c r="K171" s="1686"/>
      <c r="L171" s="1770" t="s">
        <v>423</v>
      </c>
      <c r="M171" s="267"/>
      <c r="N171" s="260"/>
      <c r="O171" s="1535"/>
      <c r="P171" s="1535"/>
    </row>
    <row r="172" spans="1:16" s="2115" customFormat="1" ht="18.75" hidden="1" customHeight="1">
      <c r="A172" s="1688"/>
      <c r="B172" s="1688"/>
      <c r="C172" s="296" t="s">
        <v>1184</v>
      </c>
      <c r="D172" s="5460"/>
      <c r="E172" s="5268"/>
      <c r="F172" s="5402"/>
      <c r="G172" s="5431"/>
      <c r="H172" s="1409"/>
      <c r="I172" s="571" t="s">
        <v>1183</v>
      </c>
      <c r="J172" s="495"/>
      <c r="K172" s="1409"/>
      <c r="L172" s="135"/>
      <c r="M172" s="267"/>
      <c r="N172" s="260"/>
      <c r="O172" s="1535"/>
      <c r="P172" s="1535"/>
    </row>
    <row r="173" spans="1:16" s="2115" customFormat="1" ht="0.75" hidden="1" customHeight="1">
      <c r="A173" s="1688"/>
      <c r="B173" s="1688"/>
      <c r="C173" s="296" t="s">
        <v>1191</v>
      </c>
      <c r="D173" s="5460"/>
      <c r="E173" s="5268"/>
      <c r="F173" s="5402"/>
      <c r="G173" s="333"/>
      <c r="H173" s="1409"/>
      <c r="I173" s="571"/>
      <c r="J173" s="495"/>
      <c r="K173" s="1409"/>
      <c r="L173" s="135"/>
      <c r="M173" s="267"/>
      <c r="N173" s="260"/>
      <c r="O173" s="1535"/>
      <c r="P173" s="1535"/>
    </row>
    <row r="174" spans="1:16" s="2115" customFormat="1" ht="18.75" hidden="1" customHeight="1">
      <c r="A174" s="1688" t="s">
        <v>316</v>
      </c>
      <c r="B174" s="1688" t="s">
        <v>317</v>
      </c>
      <c r="C174" s="296"/>
      <c r="D174" s="5460"/>
      <c r="E174" s="5268"/>
      <c r="F174" s="5402" t="str">
        <f>INDEX(PT_DIFFERENTIATION_VTAR,MATCH(A174,PT_DIFFERENTIATION_VTAR_ID,0))</f>
        <v>Плата за услуги по поддержанию резервной тепловой мощности при отсутствии потребления тепловой энергии</v>
      </c>
      <c r="G174" s="5431" t="str">
        <f>INDEX(PT_DIFFERENTIATION_NTAR,MATCH(B174,PT_DIFFERENTIATION_NTAR_ID,0))</f>
        <v xml:space="preserve">Плата за услуги по поддержанию резервной тепловой мощности. </v>
      </c>
      <c r="H174" s="1770"/>
      <c r="I174" s="1646"/>
      <c r="J174" s="1681"/>
      <c r="K174" s="1686"/>
      <c r="L174" s="1770" t="s">
        <v>423</v>
      </c>
      <c r="M174" s="267"/>
      <c r="N174" s="260"/>
      <c r="O174" s="1535"/>
      <c r="P174" s="1535"/>
    </row>
    <row r="175" spans="1:16" s="2115" customFormat="1" ht="18.75" hidden="1" customHeight="1">
      <c r="A175" s="1688"/>
      <c r="B175" s="1688"/>
      <c r="C175" s="296" t="s">
        <v>1184</v>
      </c>
      <c r="D175" s="5460"/>
      <c r="E175" s="5268"/>
      <c r="F175" s="5402"/>
      <c r="G175" s="5431"/>
      <c r="H175" s="1409"/>
      <c r="I175" s="571" t="s">
        <v>1183</v>
      </c>
      <c r="J175" s="495"/>
      <c r="K175" s="1409"/>
      <c r="L175" s="135"/>
      <c r="M175" s="267"/>
      <c r="N175" s="260"/>
      <c r="O175" s="1535"/>
      <c r="P175" s="1535"/>
    </row>
    <row r="176" spans="1:16" s="2115" customFormat="1" ht="0.75" hidden="1" customHeight="1">
      <c r="A176" s="1688"/>
      <c r="B176" s="1688"/>
      <c r="C176" s="296" t="s">
        <v>1191</v>
      </c>
      <c r="D176" s="5460"/>
      <c r="E176" s="5268"/>
      <c r="F176" s="5402"/>
      <c r="G176" s="333"/>
      <c r="H176" s="1409"/>
      <c r="I176" s="571"/>
      <c r="J176" s="495"/>
      <c r="K176" s="1409"/>
      <c r="L176" s="135"/>
      <c r="M176" s="267"/>
      <c r="N176" s="260"/>
      <c r="O176" s="1535"/>
      <c r="P176" s="1535"/>
    </row>
    <row r="177" spans="1:16" s="2115" customFormat="1" ht="18.75" hidden="1" customHeight="1">
      <c r="A177" s="1688" t="s">
        <v>328</v>
      </c>
      <c r="B177" s="1688" t="s">
        <v>329</v>
      </c>
      <c r="C177" s="296"/>
      <c r="D177" s="5460"/>
      <c r="E177" s="5268"/>
      <c r="F177" s="5402" t="str">
        <f>INDEX(PT_DIFFERENTIATION_VTAR,MATCH(A177,PT_DIFFERENTIATION_VTAR_ID,0))</f>
        <v>Плата за подключение (технологическое присоединение) к системе теплоснабжения</v>
      </c>
      <c r="G177" s="5431" t="str">
        <f>INDEX(PT_DIFFERENTIATION_NTAR,MATCH(B177,PT_DIFFERENTIATION_NTAR_ID,0))</f>
        <v/>
      </c>
      <c r="H177" s="1770"/>
      <c r="I177" s="1646"/>
      <c r="J177" s="1681"/>
      <c r="K177" s="1686"/>
      <c r="L177" s="1770" t="s">
        <v>423</v>
      </c>
      <c r="M177" s="267"/>
      <c r="N177" s="260"/>
      <c r="O177" s="1535"/>
      <c r="P177" s="1535"/>
    </row>
    <row r="178" spans="1:16" s="2115" customFormat="1" ht="18.75" hidden="1" customHeight="1">
      <c r="A178" s="1688"/>
      <c r="B178" s="1688"/>
      <c r="C178" s="296" t="s">
        <v>1184</v>
      </c>
      <c r="D178" s="5460"/>
      <c r="E178" s="5268"/>
      <c r="F178" s="5402"/>
      <c r="G178" s="5431"/>
      <c r="H178" s="1409"/>
      <c r="I178" s="571" t="s">
        <v>1183</v>
      </c>
      <c r="J178" s="495"/>
      <c r="K178" s="1409"/>
      <c r="L178" s="135"/>
      <c r="M178" s="267"/>
      <c r="N178" s="260"/>
      <c r="O178" s="1535"/>
      <c r="P178" s="1535"/>
    </row>
    <row r="179" spans="1:16" s="2115" customFormat="1" ht="0.75" hidden="1" customHeight="1">
      <c r="A179" s="1688"/>
      <c r="B179" s="1688"/>
      <c r="C179" s="296" t="s">
        <v>1191</v>
      </c>
      <c r="D179" s="5460"/>
      <c r="E179" s="5268"/>
      <c r="F179" s="5402"/>
      <c r="G179" s="333"/>
      <c r="H179" s="1409"/>
      <c r="I179" s="571"/>
      <c r="J179" s="495"/>
      <c r="K179" s="1409"/>
      <c r="L179" s="135"/>
      <c r="M179" s="267"/>
      <c r="N179" s="260"/>
      <c r="O179" s="1535"/>
      <c r="P179" s="1535"/>
    </row>
    <row r="180" spans="1:16" s="2115" customFormat="1" ht="18.75" hidden="1" customHeight="1">
      <c r="A180" s="1688" t="s">
        <v>342</v>
      </c>
      <c r="B180" s="1688" t="s">
        <v>343</v>
      </c>
      <c r="C180" s="296"/>
      <c r="D180" s="5460"/>
      <c r="E180" s="5268"/>
      <c r="F180" s="5402" t="str">
        <f>INDEX(PT_DIFFERENTIATION_VTAR,MATCH(A180,PT_DIFFERENTIATION_VTAR_ID,0))</f>
        <v>Тариф на питьевую воду (питьевое водоснабжение)</v>
      </c>
      <c r="G180" s="5431" t="str">
        <f>INDEX(PT_DIFFERENTIATION_NTAR,MATCH(B180,PT_DIFFERENTIATION_NTAR_ID,0))</f>
        <v/>
      </c>
      <c r="H180" s="1770"/>
      <c r="I180" s="1646"/>
      <c r="J180" s="1681"/>
      <c r="K180" s="1686"/>
      <c r="L180" s="1770" t="s">
        <v>423</v>
      </c>
      <c r="M180" s="267"/>
      <c r="N180" s="260"/>
      <c r="O180" s="1535"/>
      <c r="P180" s="1535"/>
    </row>
    <row r="181" spans="1:16" s="2115" customFormat="1" ht="18.75" hidden="1" customHeight="1">
      <c r="A181" s="1688"/>
      <c r="B181" s="1688"/>
      <c r="C181" s="296" t="s">
        <v>1184</v>
      </c>
      <c r="D181" s="5460"/>
      <c r="E181" s="5268"/>
      <c r="F181" s="5402"/>
      <c r="G181" s="5431"/>
      <c r="H181" s="1409"/>
      <c r="I181" s="571" t="s">
        <v>1183</v>
      </c>
      <c r="J181" s="495"/>
      <c r="K181" s="1409"/>
      <c r="L181" s="135"/>
      <c r="M181" s="267"/>
      <c r="N181" s="260"/>
      <c r="O181" s="1535"/>
      <c r="P181" s="1535"/>
    </row>
    <row r="182" spans="1:16" s="2115" customFormat="1" ht="0.75" hidden="1" customHeight="1">
      <c r="A182" s="1688"/>
      <c r="B182" s="1688"/>
      <c r="C182" s="296" t="s">
        <v>1191</v>
      </c>
      <c r="D182" s="5460"/>
      <c r="E182" s="5268"/>
      <c r="F182" s="5402"/>
      <c r="G182" s="333"/>
      <c r="H182" s="1409"/>
      <c r="I182" s="571"/>
      <c r="J182" s="495"/>
      <c r="K182" s="1409"/>
      <c r="L182" s="135"/>
      <c r="M182" s="267"/>
      <c r="N182" s="260"/>
      <c r="O182" s="1535"/>
      <c r="P182" s="1535"/>
    </row>
    <row r="183" spans="1:16" s="2115" customFormat="1" ht="18.75" hidden="1" customHeight="1">
      <c r="A183" s="1688" t="s">
        <v>347</v>
      </c>
      <c r="B183" s="1688" t="s">
        <v>348</v>
      </c>
      <c r="C183" s="296"/>
      <c r="D183" s="5460"/>
      <c r="E183" s="5268"/>
      <c r="F183" s="5402" t="str">
        <f>INDEX(PT_DIFFERENTIATION_VTAR,MATCH(A183,PT_DIFFERENTIATION_VTAR_ID,0))</f>
        <v>Тариф на техническую воду</v>
      </c>
      <c r="G183" s="5431" t="str">
        <f>INDEX(PT_DIFFERENTIATION_NTAR,MATCH(B183,PT_DIFFERENTIATION_NTAR_ID,0))</f>
        <v/>
      </c>
      <c r="H183" s="1770"/>
      <c r="I183" s="1646"/>
      <c r="J183" s="1681"/>
      <c r="K183" s="1686"/>
      <c r="L183" s="1770" t="s">
        <v>423</v>
      </c>
      <c r="M183" s="267"/>
      <c r="N183" s="260"/>
      <c r="O183" s="1535"/>
      <c r="P183" s="1535"/>
    </row>
    <row r="184" spans="1:16" s="2115" customFormat="1" ht="18.75" hidden="1" customHeight="1">
      <c r="A184" s="1688"/>
      <c r="B184" s="1688"/>
      <c r="C184" s="296" t="s">
        <v>1184</v>
      </c>
      <c r="D184" s="5460"/>
      <c r="E184" s="5268"/>
      <c r="F184" s="5402"/>
      <c r="G184" s="5431"/>
      <c r="H184" s="1409"/>
      <c r="I184" s="571" t="s">
        <v>1183</v>
      </c>
      <c r="J184" s="495"/>
      <c r="K184" s="1409"/>
      <c r="L184" s="135"/>
      <c r="M184" s="267"/>
      <c r="N184" s="260"/>
      <c r="O184" s="1535"/>
      <c r="P184" s="1535"/>
    </row>
    <row r="185" spans="1:16" s="2115" customFormat="1" ht="0.75" hidden="1" customHeight="1">
      <c r="A185" s="1688"/>
      <c r="B185" s="1688"/>
      <c r="C185" s="296" t="s">
        <v>1191</v>
      </c>
      <c r="D185" s="5460"/>
      <c r="E185" s="5268"/>
      <c r="F185" s="5402"/>
      <c r="G185" s="333"/>
      <c r="H185" s="1409"/>
      <c r="I185" s="571"/>
      <c r="J185" s="495"/>
      <c r="K185" s="1409"/>
      <c r="L185" s="135"/>
      <c r="M185" s="267"/>
      <c r="N185" s="260"/>
      <c r="O185" s="1535"/>
      <c r="P185" s="1535"/>
    </row>
    <row r="186" spans="1:16" s="2115" customFormat="1" ht="18.75" hidden="1" customHeight="1">
      <c r="A186" s="1688" t="s">
        <v>352</v>
      </c>
      <c r="B186" s="1688" t="s">
        <v>353</v>
      </c>
      <c r="C186" s="296"/>
      <c r="D186" s="5460"/>
      <c r="E186" s="5268"/>
      <c r="F186" s="5402" t="str">
        <f>INDEX(PT_DIFFERENTIATION_VTAR,MATCH(A186,PT_DIFFERENTIATION_VTAR_ID,0))</f>
        <v>Тариф на транспортировку воды</v>
      </c>
      <c r="G186" s="5431" t="str">
        <f>INDEX(PT_DIFFERENTIATION_NTAR,MATCH(B186,PT_DIFFERENTIATION_NTAR_ID,0))</f>
        <v/>
      </c>
      <c r="H186" s="1770"/>
      <c r="I186" s="1646"/>
      <c r="J186" s="1681"/>
      <c r="K186" s="1686"/>
      <c r="L186" s="1770" t="s">
        <v>423</v>
      </c>
      <c r="M186" s="267"/>
      <c r="N186" s="260"/>
      <c r="O186" s="1535"/>
      <c r="P186" s="1535"/>
    </row>
    <row r="187" spans="1:16" s="2115" customFormat="1" ht="18.75" hidden="1" customHeight="1">
      <c r="A187" s="1688"/>
      <c r="B187" s="1688"/>
      <c r="C187" s="296" t="s">
        <v>1184</v>
      </c>
      <c r="D187" s="5460"/>
      <c r="E187" s="5268"/>
      <c r="F187" s="5402"/>
      <c r="G187" s="5431"/>
      <c r="H187" s="1409"/>
      <c r="I187" s="571" t="s">
        <v>1183</v>
      </c>
      <c r="J187" s="495"/>
      <c r="K187" s="1409"/>
      <c r="L187" s="135"/>
      <c r="M187" s="267"/>
      <c r="N187" s="260"/>
      <c r="O187" s="1535"/>
      <c r="P187" s="1535"/>
    </row>
    <row r="188" spans="1:16" s="2115" customFormat="1" ht="0.75" hidden="1" customHeight="1">
      <c r="A188" s="1688"/>
      <c r="B188" s="1688"/>
      <c r="C188" s="296" t="s">
        <v>1191</v>
      </c>
      <c r="D188" s="5460"/>
      <c r="E188" s="5268"/>
      <c r="F188" s="5402"/>
      <c r="G188" s="333"/>
      <c r="H188" s="1409"/>
      <c r="I188" s="571"/>
      <c r="J188" s="495"/>
      <c r="K188" s="1409"/>
      <c r="L188" s="135"/>
      <c r="M188" s="267"/>
      <c r="N188" s="260"/>
      <c r="O188" s="1535"/>
      <c r="P188" s="1535"/>
    </row>
    <row r="189" spans="1:16" s="2115" customFormat="1" ht="18.75" hidden="1" customHeight="1">
      <c r="A189" s="1688" t="s">
        <v>357</v>
      </c>
      <c r="B189" s="1688" t="s">
        <v>358</v>
      </c>
      <c r="C189" s="296"/>
      <c r="D189" s="5460"/>
      <c r="E189" s="5268"/>
      <c r="F189" s="5402" t="str">
        <f>INDEX(PT_DIFFERENTIATION_VTAR,MATCH(A189,PT_DIFFERENTIATION_VTAR_ID,0))</f>
        <v>Тариф на подвоз воды</v>
      </c>
      <c r="G189" s="5431" t="str">
        <f>INDEX(PT_DIFFERENTIATION_NTAR,MATCH(B189,PT_DIFFERENTIATION_NTAR_ID,0))</f>
        <v/>
      </c>
      <c r="H189" s="1770"/>
      <c r="I189" s="1646"/>
      <c r="J189" s="1681"/>
      <c r="K189" s="1686"/>
      <c r="L189" s="1770" t="s">
        <v>423</v>
      </c>
      <c r="M189" s="267"/>
      <c r="N189" s="260"/>
      <c r="O189" s="1535"/>
      <c r="P189" s="1535"/>
    </row>
    <row r="190" spans="1:16" s="2115" customFormat="1" ht="18.75" hidden="1" customHeight="1">
      <c r="A190" s="1688"/>
      <c r="B190" s="1688"/>
      <c r="C190" s="296" t="s">
        <v>1184</v>
      </c>
      <c r="D190" s="5460"/>
      <c r="E190" s="5268"/>
      <c r="F190" s="5402"/>
      <c r="G190" s="5431"/>
      <c r="H190" s="1409"/>
      <c r="I190" s="571" t="s">
        <v>1183</v>
      </c>
      <c r="J190" s="495"/>
      <c r="K190" s="1409"/>
      <c r="L190" s="135"/>
      <c r="M190" s="267"/>
      <c r="N190" s="260"/>
      <c r="O190" s="1535"/>
      <c r="P190" s="1535"/>
    </row>
    <row r="191" spans="1:16" s="2115" customFormat="1" ht="0.75" hidden="1" customHeight="1">
      <c r="A191" s="1688"/>
      <c r="B191" s="1688"/>
      <c r="C191" s="296" t="s">
        <v>1191</v>
      </c>
      <c r="D191" s="5460"/>
      <c r="E191" s="5268"/>
      <c r="F191" s="5402"/>
      <c r="G191" s="333"/>
      <c r="H191" s="1409"/>
      <c r="I191" s="571"/>
      <c r="J191" s="495"/>
      <c r="K191" s="1409"/>
      <c r="L191" s="135"/>
      <c r="M191" s="267"/>
      <c r="N191" s="260"/>
      <c r="O191" s="1535"/>
      <c r="P191" s="1535"/>
    </row>
    <row r="192" spans="1:16" s="2115" customFormat="1" ht="18.75" hidden="1" customHeight="1">
      <c r="A192" s="1688" t="s">
        <v>362</v>
      </c>
      <c r="B192" s="1688" t="s">
        <v>363</v>
      </c>
      <c r="C192" s="296"/>
      <c r="D192" s="5460"/>
      <c r="E192" s="5268"/>
      <c r="F192" s="5402" t="str">
        <f>INDEX(PT_DIFFERENTIATION_VTAR,MATCH(A192,PT_DIFFERENTIATION_VTAR_ID,0))</f>
        <v>Тариф на подключение (технологическое присоединение) к централизованной системе холодного водоснабжения</v>
      </c>
      <c r="G192" s="5431" t="str">
        <f>INDEX(PT_DIFFERENTIATION_NTAR,MATCH(B192,PT_DIFFERENTIATION_NTAR_ID,0))</f>
        <v/>
      </c>
      <c r="H192" s="1770"/>
      <c r="I192" s="1646"/>
      <c r="J192" s="1681"/>
      <c r="K192" s="1686"/>
      <c r="L192" s="1770" t="s">
        <v>423</v>
      </c>
      <c r="M192" s="267"/>
      <c r="N192" s="260"/>
      <c r="O192" s="1535"/>
      <c r="P192" s="1535"/>
    </row>
    <row r="193" spans="1:16" s="2115" customFormat="1" ht="18.75" hidden="1" customHeight="1">
      <c r="A193" s="1688"/>
      <c r="B193" s="1688"/>
      <c r="C193" s="296" t="s">
        <v>1184</v>
      </c>
      <c r="D193" s="5460"/>
      <c r="E193" s="5268"/>
      <c r="F193" s="5402"/>
      <c r="G193" s="5431"/>
      <c r="H193" s="1409"/>
      <c r="I193" s="571" t="s">
        <v>1183</v>
      </c>
      <c r="J193" s="495"/>
      <c r="K193" s="1409"/>
      <c r="L193" s="135"/>
      <c r="M193" s="267"/>
      <c r="N193" s="260"/>
      <c r="O193" s="1535"/>
      <c r="P193" s="1535"/>
    </row>
    <row r="194" spans="1:16" s="2115" customFormat="1" ht="0.75" hidden="1" customHeight="1">
      <c r="A194" s="1688"/>
      <c r="B194" s="1688"/>
      <c r="C194" s="296" t="s">
        <v>1191</v>
      </c>
      <c r="D194" s="5460"/>
      <c r="E194" s="5268"/>
      <c r="F194" s="5402"/>
      <c r="G194" s="333"/>
      <c r="H194" s="1409"/>
      <c r="I194" s="571"/>
      <c r="J194" s="495"/>
      <c r="K194" s="1409"/>
      <c r="L194" s="135"/>
      <c r="M194" s="267"/>
      <c r="N194" s="260"/>
      <c r="O194" s="1535"/>
      <c r="P194" s="1535"/>
    </row>
    <row r="195" spans="1:16" s="2115" customFormat="1" ht="18.75" hidden="1" customHeight="1">
      <c r="A195" s="1688" t="s">
        <v>367</v>
      </c>
      <c r="B195" s="1688" t="s">
        <v>368</v>
      </c>
      <c r="C195" s="296"/>
      <c r="D195" s="5460"/>
      <c r="E195" s="5268"/>
      <c r="F195" s="5402" t="str">
        <f>INDEX(PT_DIFFERENTIATION_VTAR,MATCH(A195,PT_DIFFERENTIATION_VTAR_ID,0))</f>
        <v>Тариф на горячую воду (горячее водоснабжение)</v>
      </c>
      <c r="G195" s="5431" t="str">
        <f>INDEX(PT_DIFFERENTIATION_NTAR,MATCH(B195,PT_DIFFERENTIATION_NTAR_ID,0))</f>
        <v/>
      </c>
      <c r="H195" s="1770"/>
      <c r="I195" s="1646"/>
      <c r="J195" s="1681"/>
      <c r="K195" s="1686"/>
      <c r="L195" s="1770" t="s">
        <v>423</v>
      </c>
      <c r="M195" s="267"/>
      <c r="N195" s="260"/>
      <c r="O195" s="1535"/>
      <c r="P195" s="1535"/>
    </row>
    <row r="196" spans="1:16" s="2115" customFormat="1" ht="18.75" hidden="1" customHeight="1">
      <c r="A196" s="1688"/>
      <c r="B196" s="1688"/>
      <c r="C196" s="296" t="s">
        <v>1184</v>
      </c>
      <c r="D196" s="5460"/>
      <c r="E196" s="5268"/>
      <c r="F196" s="5402"/>
      <c r="G196" s="5431"/>
      <c r="H196" s="1409"/>
      <c r="I196" s="571" t="s">
        <v>1183</v>
      </c>
      <c r="J196" s="495"/>
      <c r="K196" s="1409"/>
      <c r="L196" s="135"/>
      <c r="M196" s="267"/>
      <c r="N196" s="260"/>
      <c r="O196" s="1535"/>
      <c r="P196" s="1535"/>
    </row>
    <row r="197" spans="1:16" s="2115" customFormat="1" ht="0.75" hidden="1" customHeight="1">
      <c r="A197" s="1688"/>
      <c r="B197" s="1688"/>
      <c r="C197" s="296" t="s">
        <v>1191</v>
      </c>
      <c r="D197" s="5460"/>
      <c r="E197" s="5268"/>
      <c r="F197" s="5402"/>
      <c r="G197" s="333"/>
      <c r="H197" s="1409"/>
      <c r="I197" s="571"/>
      <c r="J197" s="495"/>
      <c r="K197" s="1409"/>
      <c r="L197" s="135"/>
      <c r="M197" s="267"/>
      <c r="N197" s="260"/>
      <c r="O197" s="1535"/>
      <c r="P197" s="1535"/>
    </row>
    <row r="198" spans="1:16" s="2115" customFormat="1" ht="18.75" hidden="1" customHeight="1">
      <c r="A198" s="1688" t="s">
        <v>372</v>
      </c>
      <c r="B198" s="1688" t="s">
        <v>373</v>
      </c>
      <c r="C198" s="296"/>
      <c r="D198" s="5460"/>
      <c r="E198" s="5268"/>
      <c r="F198" s="5402" t="str">
        <f>INDEX(PT_DIFFERENTIATION_VTAR,MATCH(A198,PT_DIFFERENTIATION_VTAR_ID,0))</f>
        <v>Тариф на транспортировку горячей воды</v>
      </c>
      <c r="G198" s="5431" t="str">
        <f>INDEX(PT_DIFFERENTIATION_NTAR,MATCH(B198,PT_DIFFERENTIATION_NTAR_ID,0))</f>
        <v/>
      </c>
      <c r="H198" s="1770"/>
      <c r="I198" s="1646"/>
      <c r="J198" s="1681"/>
      <c r="K198" s="1686"/>
      <c r="L198" s="1770" t="s">
        <v>423</v>
      </c>
      <c r="M198" s="267"/>
      <c r="N198" s="260"/>
      <c r="O198" s="1535"/>
      <c r="P198" s="1535"/>
    </row>
    <row r="199" spans="1:16" s="2115" customFormat="1" ht="18.75" hidden="1" customHeight="1">
      <c r="A199" s="1688"/>
      <c r="B199" s="1688"/>
      <c r="C199" s="296" t="s">
        <v>1184</v>
      </c>
      <c r="D199" s="5460"/>
      <c r="E199" s="5268"/>
      <c r="F199" s="5402"/>
      <c r="G199" s="5431"/>
      <c r="H199" s="1409"/>
      <c r="I199" s="571" t="s">
        <v>1183</v>
      </c>
      <c r="J199" s="495"/>
      <c r="K199" s="1409"/>
      <c r="L199" s="135"/>
      <c r="M199" s="267"/>
      <c r="N199" s="260"/>
      <c r="O199" s="1535"/>
      <c r="P199" s="1535"/>
    </row>
    <row r="200" spans="1:16" s="2115" customFormat="1" ht="0.75" hidden="1" customHeight="1">
      <c r="A200" s="1688"/>
      <c r="B200" s="1688"/>
      <c r="C200" s="296" t="s">
        <v>1191</v>
      </c>
      <c r="D200" s="5460"/>
      <c r="E200" s="5268"/>
      <c r="F200" s="5402"/>
      <c r="G200" s="333"/>
      <c r="H200" s="1409"/>
      <c r="I200" s="571"/>
      <c r="J200" s="495"/>
      <c r="K200" s="1409"/>
      <c r="L200" s="135"/>
      <c r="M200" s="267"/>
      <c r="N200" s="260"/>
      <c r="O200" s="1535"/>
      <c r="P200" s="1535"/>
    </row>
    <row r="201" spans="1:16" s="2115" customFormat="1" ht="18.75" hidden="1" customHeight="1">
      <c r="A201" s="1688" t="s">
        <v>377</v>
      </c>
      <c r="B201" s="1688" t="s">
        <v>378</v>
      </c>
      <c r="C201" s="296"/>
      <c r="D201" s="5460"/>
      <c r="E201" s="5268"/>
      <c r="F201" s="5402" t="str">
        <f>INDEX(PT_DIFFERENTIATION_VTAR,MATCH(A201,PT_DIFFERENTIATION_VTAR_ID,0))</f>
        <v>Тариф на подключение (технологическое присоединение) к централизованной системе горячего водоснабжения</v>
      </c>
      <c r="G201" s="5431" t="str">
        <f>INDEX(PT_DIFFERENTIATION_NTAR,MATCH(B201,PT_DIFFERENTIATION_NTAR_ID,0))</f>
        <v/>
      </c>
      <c r="H201" s="1770"/>
      <c r="I201" s="1646"/>
      <c r="J201" s="1681"/>
      <c r="K201" s="1686"/>
      <c r="L201" s="1770" t="s">
        <v>423</v>
      </c>
      <c r="M201" s="267"/>
      <c r="N201" s="260"/>
      <c r="O201" s="1535"/>
      <c r="P201" s="1535"/>
    </row>
    <row r="202" spans="1:16" s="2115" customFormat="1" ht="18.75" hidden="1" customHeight="1">
      <c r="A202" s="1688"/>
      <c r="B202" s="1688"/>
      <c r="C202" s="296" t="s">
        <v>1184</v>
      </c>
      <c r="D202" s="5460"/>
      <c r="E202" s="5268"/>
      <c r="F202" s="5402"/>
      <c r="G202" s="5431"/>
      <c r="H202" s="1409"/>
      <c r="I202" s="571" t="s">
        <v>1183</v>
      </c>
      <c r="J202" s="495"/>
      <c r="K202" s="1409"/>
      <c r="L202" s="135"/>
      <c r="M202" s="267"/>
      <c r="N202" s="260"/>
      <c r="O202" s="1535"/>
      <c r="P202" s="1535"/>
    </row>
    <row r="203" spans="1:16" s="2115" customFormat="1" ht="0.75" hidden="1" customHeight="1">
      <c r="A203" s="1688"/>
      <c r="B203" s="1688"/>
      <c r="C203" s="296" t="s">
        <v>1191</v>
      </c>
      <c r="D203" s="5460"/>
      <c r="E203" s="5268"/>
      <c r="F203" s="5402"/>
      <c r="G203" s="333"/>
      <c r="H203" s="1409"/>
      <c r="I203" s="571"/>
      <c r="J203" s="495"/>
      <c r="K203" s="1409"/>
      <c r="L203" s="135"/>
      <c r="M203" s="267"/>
      <c r="N203" s="260"/>
      <c r="O203" s="1535"/>
      <c r="P203" s="1535"/>
    </row>
    <row r="204" spans="1:16" s="2115" customFormat="1" ht="18.75" hidden="1" customHeight="1">
      <c r="A204" s="1688" t="s">
        <v>382</v>
      </c>
      <c r="B204" s="1688" t="s">
        <v>383</v>
      </c>
      <c r="C204" s="296"/>
      <c r="D204" s="5460"/>
      <c r="E204" s="5268"/>
      <c r="F204" s="5402" t="str">
        <f>INDEX(PT_DIFFERENTIATION_VTAR,MATCH(A204,PT_DIFFERENTIATION_VTAR_ID,0))</f>
        <v>Тариф на водоотведение</v>
      </c>
      <c r="G204" s="5431" t="str">
        <f>INDEX(PT_DIFFERENTIATION_NTAR,MATCH(B204,PT_DIFFERENTIATION_NTAR_ID,0))</f>
        <v/>
      </c>
      <c r="H204" s="1770"/>
      <c r="I204" s="1646"/>
      <c r="J204" s="1681"/>
      <c r="K204" s="1686"/>
      <c r="L204" s="1770" t="s">
        <v>423</v>
      </c>
      <c r="M204" s="267"/>
      <c r="N204" s="260"/>
      <c r="O204" s="1535"/>
      <c r="P204" s="1535"/>
    </row>
    <row r="205" spans="1:16" s="2115" customFormat="1" ht="18.75" hidden="1" customHeight="1">
      <c r="A205" s="1688"/>
      <c r="B205" s="1688"/>
      <c r="C205" s="296" t="s">
        <v>1184</v>
      </c>
      <c r="D205" s="5460"/>
      <c r="E205" s="5268"/>
      <c r="F205" s="5402"/>
      <c r="G205" s="5431"/>
      <c r="H205" s="1409"/>
      <c r="I205" s="571" t="s">
        <v>1183</v>
      </c>
      <c r="J205" s="495"/>
      <c r="K205" s="1409"/>
      <c r="L205" s="135"/>
      <c r="M205" s="267"/>
      <c r="N205" s="260"/>
      <c r="O205" s="1535"/>
      <c r="P205" s="1535"/>
    </row>
    <row r="206" spans="1:16" s="2115" customFormat="1" ht="0.75" hidden="1" customHeight="1">
      <c r="A206" s="1688"/>
      <c r="B206" s="1688"/>
      <c r="C206" s="296" t="s">
        <v>1191</v>
      </c>
      <c r="D206" s="5460"/>
      <c r="E206" s="5268"/>
      <c r="F206" s="5402"/>
      <c r="G206" s="333"/>
      <c r="H206" s="1409"/>
      <c r="I206" s="571"/>
      <c r="J206" s="495"/>
      <c r="K206" s="1409"/>
      <c r="L206" s="135"/>
      <c r="M206" s="267"/>
      <c r="N206" s="260"/>
      <c r="O206" s="1535"/>
      <c r="P206" s="1535"/>
    </row>
    <row r="207" spans="1:16" s="2115" customFormat="1" ht="18.75" hidden="1" customHeight="1">
      <c r="A207" s="1688" t="s">
        <v>387</v>
      </c>
      <c r="B207" s="1688" t="s">
        <v>388</v>
      </c>
      <c r="C207" s="296"/>
      <c r="D207" s="5460"/>
      <c r="E207" s="5268"/>
      <c r="F207" s="5402" t="str">
        <f>INDEX(PT_DIFFERENTIATION_VTAR,MATCH(A207,PT_DIFFERENTIATION_VTAR_ID,0))</f>
        <v>Тариф на транспортировку сточных вод</v>
      </c>
      <c r="G207" s="5431" t="str">
        <f>INDEX(PT_DIFFERENTIATION_NTAR,MATCH(B207,PT_DIFFERENTIATION_NTAR_ID,0))</f>
        <v/>
      </c>
      <c r="H207" s="1770"/>
      <c r="I207" s="1646"/>
      <c r="J207" s="1681"/>
      <c r="K207" s="1686"/>
      <c r="L207" s="1770" t="s">
        <v>423</v>
      </c>
      <c r="M207" s="267"/>
      <c r="N207" s="260"/>
      <c r="O207" s="1535"/>
      <c r="P207" s="1535"/>
    </row>
    <row r="208" spans="1:16" s="2115" customFormat="1" ht="18.75" hidden="1" customHeight="1">
      <c r="A208" s="1688"/>
      <c r="B208" s="1688"/>
      <c r="C208" s="296" t="s">
        <v>1184</v>
      </c>
      <c r="D208" s="5460"/>
      <c r="E208" s="5268"/>
      <c r="F208" s="5402"/>
      <c r="G208" s="5431"/>
      <c r="H208" s="1409"/>
      <c r="I208" s="571" t="s">
        <v>1183</v>
      </c>
      <c r="J208" s="495"/>
      <c r="K208" s="1409"/>
      <c r="L208" s="135"/>
      <c r="M208" s="267"/>
      <c r="N208" s="260"/>
      <c r="O208" s="1535"/>
      <c r="P208" s="1535"/>
    </row>
    <row r="209" spans="1:16" s="2115" customFormat="1" ht="0.75" hidden="1" customHeight="1">
      <c r="A209" s="1688"/>
      <c r="B209" s="1688"/>
      <c r="C209" s="296" t="s">
        <v>1191</v>
      </c>
      <c r="D209" s="5460"/>
      <c r="E209" s="5268"/>
      <c r="F209" s="5402"/>
      <c r="G209" s="333"/>
      <c r="H209" s="1409"/>
      <c r="I209" s="571"/>
      <c r="J209" s="495"/>
      <c r="K209" s="1409"/>
      <c r="L209" s="135"/>
      <c r="M209" s="267"/>
      <c r="N209" s="260"/>
      <c r="O209" s="1535"/>
      <c r="P209" s="1535"/>
    </row>
    <row r="210" spans="1:16" s="2115" customFormat="1" ht="18.75" hidden="1" customHeight="1">
      <c r="A210" s="1688" t="s">
        <v>392</v>
      </c>
      <c r="B210" s="1688" t="s">
        <v>393</v>
      </c>
      <c r="C210" s="296"/>
      <c r="D210" s="5460"/>
      <c r="E210" s="5268"/>
      <c r="F210" s="5402" t="str">
        <f>INDEX(PT_DIFFERENTIATION_VTAR,MATCH(A210,PT_DIFFERENTIATION_VTAR_ID,0))</f>
        <v>Тариф на подключение (технологическое присоединение) к централизованной системе водоотведения</v>
      </c>
      <c r="G210" s="5431" t="str">
        <f>INDEX(PT_DIFFERENTIATION_NTAR,MATCH(B210,PT_DIFFERENTIATION_NTAR_ID,0))</f>
        <v/>
      </c>
      <c r="H210" s="1770"/>
      <c r="I210" s="1646"/>
      <c r="J210" s="1681"/>
      <c r="K210" s="1686"/>
      <c r="L210" s="1770" t="s">
        <v>423</v>
      </c>
      <c r="M210" s="267"/>
      <c r="N210" s="260"/>
      <c r="O210" s="1535"/>
      <c r="P210" s="1535"/>
    </row>
    <row r="211" spans="1:16" s="2115" customFormat="1" ht="18.75" hidden="1" customHeight="1">
      <c r="A211" s="1688"/>
      <c r="B211" s="1688"/>
      <c r="C211" s="296" t="s">
        <v>1184</v>
      </c>
      <c r="D211" s="5460"/>
      <c r="E211" s="5268"/>
      <c r="F211" s="5402"/>
      <c r="G211" s="5431"/>
      <c r="H211" s="1409"/>
      <c r="I211" s="571" t="s">
        <v>1183</v>
      </c>
      <c r="J211" s="495"/>
      <c r="K211" s="1409"/>
      <c r="L211" s="135"/>
      <c r="M211" s="267"/>
      <c r="N211" s="260"/>
      <c r="O211" s="1535"/>
      <c r="P211" s="1535"/>
    </row>
    <row r="212" spans="1:16" s="2115" customFormat="1" ht="0.75" customHeight="1">
      <c r="A212" s="1688"/>
      <c r="B212" s="1688"/>
      <c r="C212" s="296" t="s">
        <v>1191</v>
      </c>
      <c r="D212" s="5460"/>
      <c r="E212" s="5268"/>
      <c r="F212" s="5402"/>
      <c r="G212" s="333"/>
      <c r="H212" s="1409"/>
      <c r="I212" s="571"/>
      <c r="J212" s="495"/>
      <c r="K212" s="1409"/>
      <c r="L212" s="135"/>
      <c r="M212" s="267"/>
      <c r="N212" s="260"/>
      <c r="O212" s="1535"/>
      <c r="P212" s="1535"/>
    </row>
    <row r="213" spans="1:16" ht="18.75" customHeight="1">
      <c r="A213" s="1688"/>
      <c r="B213" s="1688"/>
      <c r="D213" s="304"/>
      <c r="E213" s="71" t="s">
        <v>86</v>
      </c>
      <c r="F213" s="54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213" s="5459"/>
      <c r="H213" s="5459"/>
      <c r="I213" s="5459"/>
      <c r="J213" s="5459"/>
      <c r="K213" s="5459"/>
      <c r="L213" s="5459"/>
      <c r="M213" s="215"/>
      <c r="N213" s="260"/>
    </row>
    <row r="214" spans="1:16" s="2115" customFormat="1" ht="60.75" hidden="1" customHeight="1">
      <c r="A214" s="1688" t="s">
        <v>163</v>
      </c>
      <c r="B214" s="1688" t="s">
        <v>164</v>
      </c>
      <c r="C214" s="296"/>
      <c r="D214" s="5460"/>
      <c r="E214" s="5268"/>
      <c r="F214" s="5402" t="str">
        <f>INDEX(PT_DIFFERENTIATION_VTAR,MATCH(A214,PT_DIFFERENTIATION_VTAR_ID,0))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4" s="5431" t="str">
        <f>INDEX(PT_DIFFERENTIATION_NTAR,MATCH(B214,PT_DIFFERENTIATION_NTAR_ID,0))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214" s="1770"/>
      <c r="I214" s="1646"/>
      <c r="J214" s="1681"/>
      <c r="K214" s="1686"/>
      <c r="L214" s="1770" t="s">
        <v>423</v>
      </c>
      <c r="M214" s="5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214" s="260"/>
      <c r="O214" s="1535"/>
      <c r="P214" s="1535"/>
    </row>
    <row r="215" spans="1:16" s="2115" customFormat="1" ht="18.75" hidden="1" customHeight="1">
      <c r="A215" s="1688"/>
      <c r="B215" s="1688"/>
      <c r="C215" s="296" t="s">
        <v>1184</v>
      </c>
      <c r="D215" s="5460"/>
      <c r="E215" s="5268"/>
      <c r="F215" s="5402"/>
      <c r="G215" s="5431"/>
      <c r="H215" s="1409"/>
      <c r="I215" s="571" t="s">
        <v>1183</v>
      </c>
      <c r="J215" s="495"/>
      <c r="K215" s="1409"/>
      <c r="L215" s="135"/>
      <c r="M215" s="5226"/>
      <c r="N215" s="260"/>
      <c r="O215" s="1535"/>
      <c r="P215" s="1535"/>
    </row>
    <row r="216" spans="1:16" s="2138" customFormat="1" ht="18.75" customHeight="1">
      <c r="A216" s="2299" t="s">
        <v>163</v>
      </c>
      <c r="B216" s="2299" t="s">
        <v>176</v>
      </c>
      <c r="C216" s="4632"/>
      <c r="D216" s="5462"/>
      <c r="E216" s="5461"/>
      <c r="F216" s="5461"/>
      <c r="G216" s="5431" t="str">
        <f>INDEX(PT_DIFFERENTIATION_NTAR,MATCH(B216,PT_DIFFERENTIATION_NTAR_ID,0))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H216" s="2184"/>
      <c r="I216" s="4633"/>
      <c r="J216" s="4634"/>
      <c r="K216" s="4727"/>
      <c r="L216" s="2184" t="s">
        <v>423</v>
      </c>
      <c r="M216" s="5349"/>
      <c r="N216" s="4636"/>
      <c r="O216" s="2221"/>
      <c r="P216" s="2221"/>
    </row>
    <row r="217" spans="1:16" s="2138" customFormat="1" ht="18.75" customHeight="1">
      <c r="A217" s="2299"/>
      <c r="B217" s="2299"/>
      <c r="C217" s="4632" t="s">
        <v>1184</v>
      </c>
      <c r="D217" s="5462"/>
      <c r="E217" s="5461"/>
      <c r="F217" s="5461"/>
      <c r="G217" s="5431"/>
      <c r="H217" s="4818"/>
      <c r="I217" s="4819" t="s">
        <v>1183</v>
      </c>
      <c r="J217" s="4820"/>
      <c r="K217" s="4821"/>
      <c r="L217" s="4822"/>
      <c r="M217" s="5349"/>
      <c r="N217" s="4636"/>
      <c r="O217" s="2221"/>
      <c r="P217" s="2221"/>
    </row>
    <row r="218" spans="1:16" s="2138" customFormat="1" ht="18.75" customHeight="1">
      <c r="A218" s="2299" t="s">
        <v>163</v>
      </c>
      <c r="B218" s="2299" t="s">
        <v>181</v>
      </c>
      <c r="C218" s="4632"/>
      <c r="D218" s="5462"/>
      <c r="E218" s="5461"/>
      <c r="F218" s="5461"/>
      <c r="G218" s="5431" t="str">
        <f>INDEX(PT_DIFFERENTIATION_NTAR,MATCH(B218,PT_DIFFERENTIATION_NTAR_ID,0))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218" s="2184"/>
      <c r="I218" s="4633"/>
      <c r="J218" s="4634"/>
      <c r="K218" s="4727"/>
      <c r="L218" s="2184" t="s">
        <v>423</v>
      </c>
      <c r="M218" s="5349"/>
      <c r="N218" s="4636"/>
      <c r="O218" s="2221"/>
      <c r="P218" s="2221"/>
    </row>
    <row r="219" spans="1:16" s="2138" customFormat="1" ht="18.75" customHeight="1">
      <c r="A219" s="2299"/>
      <c r="B219" s="2299"/>
      <c r="C219" s="4632" t="s">
        <v>1184</v>
      </c>
      <c r="D219" s="5462"/>
      <c r="E219" s="5461"/>
      <c r="F219" s="5461"/>
      <c r="G219" s="5431"/>
      <c r="H219" s="4823"/>
      <c r="I219" s="4824" t="s">
        <v>1183</v>
      </c>
      <c r="J219" s="4825"/>
      <c r="K219" s="4826"/>
      <c r="L219" s="4827"/>
      <c r="M219" s="5349"/>
      <c r="N219" s="4636"/>
      <c r="O219" s="2221"/>
      <c r="P219" s="2221"/>
    </row>
    <row r="220" spans="1:16" s="2138" customFormat="1" ht="18.75" customHeight="1">
      <c r="A220" s="2299" t="s">
        <v>163</v>
      </c>
      <c r="B220" s="2299" t="s">
        <v>186</v>
      </c>
      <c r="C220" s="4632"/>
      <c r="D220" s="5462"/>
      <c r="E220" s="5461"/>
      <c r="F220" s="5461"/>
      <c r="G220" s="5431" t="str">
        <f>INDEX(PT_DIFFERENTIATION_NTAR,MATCH(B220,PT_DIFFERENTIATION_NTAR_ID,0))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220" s="2184"/>
      <c r="I220" s="4633"/>
      <c r="J220" s="4634"/>
      <c r="K220" s="4727"/>
      <c r="L220" s="2184" t="s">
        <v>423</v>
      </c>
      <c r="M220" s="5349"/>
      <c r="N220" s="4636"/>
      <c r="O220" s="2221"/>
      <c r="P220" s="2221"/>
    </row>
    <row r="221" spans="1:16" s="2138" customFormat="1" ht="18.75" customHeight="1">
      <c r="A221" s="2299"/>
      <c r="B221" s="2299"/>
      <c r="C221" s="4632" t="s">
        <v>1184</v>
      </c>
      <c r="D221" s="5462"/>
      <c r="E221" s="5461"/>
      <c r="F221" s="5461"/>
      <c r="G221" s="5431"/>
      <c r="H221" s="4828"/>
      <c r="I221" s="4829" t="s">
        <v>1183</v>
      </c>
      <c r="J221" s="4830"/>
      <c r="K221" s="4831"/>
      <c r="L221" s="4832"/>
      <c r="M221" s="5349"/>
      <c r="N221" s="4636"/>
      <c r="O221" s="2221"/>
      <c r="P221" s="2221"/>
    </row>
    <row r="222" spans="1:16" s="2138" customFormat="1" ht="18.75" customHeight="1">
      <c r="A222" s="2299" t="s">
        <v>163</v>
      </c>
      <c r="B222" s="2299" t="s">
        <v>191</v>
      </c>
      <c r="C222" s="4632"/>
      <c r="D222" s="5462"/>
      <c r="E222" s="5461"/>
      <c r="F222" s="5461"/>
      <c r="G222" s="5431" t="str">
        <f>INDEX(PT_DIFFERENTIATION_NTAR,MATCH(B222,PT_DIFFERENTIATION_NTAR_ID,0))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H222" s="2184"/>
      <c r="I222" s="4633"/>
      <c r="J222" s="4634"/>
      <c r="K222" s="4727"/>
      <c r="L222" s="2184" t="s">
        <v>423</v>
      </c>
      <c r="M222" s="5349"/>
      <c r="N222" s="4636"/>
      <c r="O222" s="2221"/>
      <c r="P222" s="2221"/>
    </row>
    <row r="223" spans="1:16" s="2138" customFormat="1" ht="18.75" customHeight="1">
      <c r="A223" s="2299"/>
      <c r="B223" s="2299"/>
      <c r="C223" s="4632" t="s">
        <v>1184</v>
      </c>
      <c r="D223" s="5462"/>
      <c r="E223" s="5461"/>
      <c r="F223" s="5461"/>
      <c r="G223" s="5431"/>
      <c r="H223" s="4833"/>
      <c r="I223" s="4834" t="s">
        <v>1183</v>
      </c>
      <c r="J223" s="4835"/>
      <c r="K223" s="4836"/>
      <c r="L223" s="4837"/>
      <c r="M223" s="5349"/>
      <c r="N223" s="4636"/>
      <c r="O223" s="2221"/>
      <c r="P223" s="2221"/>
    </row>
    <row r="224" spans="1:16" s="2138" customFormat="1" ht="18.75" customHeight="1">
      <c r="A224" s="2299" t="s">
        <v>163</v>
      </c>
      <c r="B224" s="2299" t="s">
        <v>196</v>
      </c>
      <c r="C224" s="4632"/>
      <c r="D224" s="5462"/>
      <c r="E224" s="5461"/>
      <c r="F224" s="5461"/>
      <c r="G224" s="5431" t="str">
        <f>INDEX(PT_DIFFERENTIATION_NTAR,MATCH(B224,PT_DIFFERENTIATION_NTAR_ID,0))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224" s="2184"/>
      <c r="I224" s="4633"/>
      <c r="J224" s="4634"/>
      <c r="K224" s="4727"/>
      <c r="L224" s="2184" t="s">
        <v>423</v>
      </c>
      <c r="M224" s="5349"/>
      <c r="N224" s="4636"/>
      <c r="O224" s="2221"/>
      <c r="P224" s="2221"/>
    </row>
    <row r="225" spans="1:16" s="2138" customFormat="1" ht="18.75" customHeight="1">
      <c r="A225" s="2299"/>
      <c r="B225" s="2299"/>
      <c r="C225" s="4632" t="s">
        <v>1184</v>
      </c>
      <c r="D225" s="5462"/>
      <c r="E225" s="5461"/>
      <c r="F225" s="5461"/>
      <c r="G225" s="5431"/>
      <c r="H225" s="4838"/>
      <c r="I225" s="4839" t="s">
        <v>1183</v>
      </c>
      <c r="J225" s="4840"/>
      <c r="K225" s="4841"/>
      <c r="L225" s="4842"/>
      <c r="M225" s="5349"/>
      <c r="N225" s="4636"/>
      <c r="O225" s="2221"/>
      <c r="P225" s="2221"/>
    </row>
    <row r="226" spans="1:16" s="2138" customFormat="1" ht="18.75" customHeight="1">
      <c r="A226" s="2299" t="s">
        <v>163</v>
      </c>
      <c r="B226" s="2299" t="s">
        <v>201</v>
      </c>
      <c r="C226" s="4632"/>
      <c r="D226" s="5462"/>
      <c r="E226" s="5461"/>
      <c r="F226" s="5461"/>
      <c r="G226" s="5431" t="str">
        <f>INDEX(PT_DIFFERENTIATION_NTAR,MATCH(B226,PT_DIFFERENTIATION_NTAR_ID,0))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226" s="2184"/>
      <c r="I226" s="4633"/>
      <c r="J226" s="4634"/>
      <c r="K226" s="4727"/>
      <c r="L226" s="2184" t="s">
        <v>423</v>
      </c>
      <c r="M226" s="5349"/>
      <c r="N226" s="4636"/>
      <c r="O226" s="2221"/>
      <c r="P226" s="2221"/>
    </row>
    <row r="227" spans="1:16" s="2138" customFormat="1" ht="18.75" customHeight="1">
      <c r="A227" s="2299"/>
      <c r="B227" s="2299"/>
      <c r="C227" s="4632" t="s">
        <v>1184</v>
      </c>
      <c r="D227" s="5462"/>
      <c r="E227" s="5461"/>
      <c r="F227" s="5461"/>
      <c r="G227" s="5431"/>
      <c r="H227" s="4843"/>
      <c r="I227" s="4844" t="s">
        <v>1183</v>
      </c>
      <c r="J227" s="4845"/>
      <c r="K227" s="4846"/>
      <c r="L227" s="4847"/>
      <c r="M227" s="5349"/>
      <c r="N227" s="4636"/>
      <c r="O227" s="2221"/>
      <c r="P227" s="2221"/>
    </row>
    <row r="228" spans="1:16" s="2138" customFormat="1" ht="18.75" customHeight="1">
      <c r="A228" s="2299" t="s">
        <v>163</v>
      </c>
      <c r="B228" s="2299" t="s">
        <v>206</v>
      </c>
      <c r="C228" s="4632"/>
      <c r="D228" s="5462"/>
      <c r="E228" s="5461"/>
      <c r="F228" s="5461"/>
      <c r="G228" s="5431" t="str">
        <f>INDEX(PT_DIFFERENTIATION_NTAR,MATCH(B228,PT_DIFFERENTIATION_NTAR_ID,0))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228" s="2184"/>
      <c r="I228" s="4633"/>
      <c r="J228" s="4634"/>
      <c r="K228" s="4727"/>
      <c r="L228" s="2184" t="s">
        <v>423</v>
      </c>
      <c r="M228" s="5349"/>
      <c r="N228" s="4636"/>
      <c r="O228" s="2221"/>
      <c r="P228" s="2221"/>
    </row>
    <row r="229" spans="1:16" s="2138" customFormat="1" ht="18.75" customHeight="1">
      <c r="A229" s="2299"/>
      <c r="B229" s="2299"/>
      <c r="C229" s="4632" t="s">
        <v>1184</v>
      </c>
      <c r="D229" s="5462"/>
      <c r="E229" s="5461"/>
      <c r="F229" s="5461"/>
      <c r="G229" s="5431"/>
      <c r="H229" s="4848"/>
      <c r="I229" s="4849" t="s">
        <v>1183</v>
      </c>
      <c r="J229" s="4850"/>
      <c r="K229" s="4851"/>
      <c r="L229" s="4852"/>
      <c r="M229" s="5349"/>
      <c r="N229" s="4636"/>
      <c r="O229" s="2221"/>
      <c r="P229" s="2221"/>
    </row>
    <row r="230" spans="1:16" s="2138" customFormat="1" ht="18.75" customHeight="1">
      <c r="A230" s="2299" t="s">
        <v>163</v>
      </c>
      <c r="B230" s="2299" t="s">
        <v>211</v>
      </c>
      <c r="C230" s="4632"/>
      <c r="D230" s="5462"/>
      <c r="E230" s="5461"/>
      <c r="F230" s="5461"/>
      <c r="G230" s="5431" t="str">
        <f>INDEX(PT_DIFFERENTIATION_NTAR,MATCH(B230,PT_DIFFERENTIATION_NTAR_ID,0))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230" s="2184"/>
      <c r="I230" s="4633"/>
      <c r="J230" s="4634"/>
      <c r="K230" s="4727"/>
      <c r="L230" s="2184" t="s">
        <v>423</v>
      </c>
      <c r="M230" s="5349"/>
      <c r="N230" s="4636"/>
      <c r="O230" s="2221"/>
      <c r="P230" s="2221"/>
    </row>
    <row r="231" spans="1:16" s="2138" customFormat="1" ht="18.75" customHeight="1">
      <c r="A231" s="2299"/>
      <c r="B231" s="2299"/>
      <c r="C231" s="4632" t="s">
        <v>1184</v>
      </c>
      <c r="D231" s="5462"/>
      <c r="E231" s="5461"/>
      <c r="F231" s="5461"/>
      <c r="G231" s="5431"/>
      <c r="H231" s="4853"/>
      <c r="I231" s="4854" t="s">
        <v>1183</v>
      </c>
      <c r="J231" s="4855"/>
      <c r="K231" s="4856"/>
      <c r="L231" s="4857"/>
      <c r="M231" s="5349"/>
      <c r="N231" s="4636"/>
      <c r="O231" s="2221"/>
      <c r="P231" s="2221"/>
    </row>
    <row r="232" spans="1:16" s="2115" customFormat="1" ht="0.75" hidden="1" customHeight="1">
      <c r="A232" s="1688"/>
      <c r="B232" s="1688"/>
      <c r="C232" s="296" t="s">
        <v>1191</v>
      </c>
      <c r="D232" s="5460"/>
      <c r="E232" s="5268"/>
      <c r="F232" s="5402"/>
      <c r="G232" s="333"/>
      <c r="H232" s="1409"/>
      <c r="I232" s="571"/>
      <c r="J232" s="495"/>
      <c r="K232" s="1409"/>
      <c r="L232" s="135"/>
      <c r="M232" s="5226"/>
      <c r="N232" s="260"/>
      <c r="O232" s="1535"/>
      <c r="P232" s="1535"/>
    </row>
    <row r="233" spans="1:16" s="2115" customFormat="1" ht="45" hidden="1" customHeight="1">
      <c r="A233" s="1688" t="s">
        <v>219</v>
      </c>
      <c r="B233" s="1688" t="s">
        <v>220</v>
      </c>
      <c r="C233" s="296"/>
      <c r="D233" s="5460"/>
      <c r="E233" s="5268"/>
      <c r="F233" s="5402" t="str">
        <f>INDEX(PT_DIFFERENTIATION_VTAR,MATCH(A233,PT_DIFFERENTIATION_VTAR_ID,0))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3" s="5431" t="str">
        <f>INDEX(PT_DIFFERENTIATION_NTAR,MATCH(B233,PT_DIFFERENTIATION_NTAR_ID,0))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H233" s="1770"/>
      <c r="I233" s="1646"/>
      <c r="J233" s="1681"/>
      <c r="K233" s="1686"/>
      <c r="L233" s="1770" t="s">
        <v>423</v>
      </c>
      <c r="M233" s="5227"/>
      <c r="N233" s="260"/>
      <c r="O233" s="1535"/>
      <c r="P233" s="1535"/>
    </row>
    <row r="234" spans="1:16" s="2115" customFormat="1" ht="18.75" hidden="1" customHeight="1">
      <c r="A234" s="1688"/>
      <c r="B234" s="1688"/>
      <c r="C234" s="296" t="s">
        <v>1184</v>
      </c>
      <c r="D234" s="5460"/>
      <c r="E234" s="5268"/>
      <c r="F234" s="5402"/>
      <c r="G234" s="5431"/>
      <c r="H234" s="1409"/>
      <c r="I234" s="571" t="s">
        <v>1183</v>
      </c>
      <c r="J234" s="495"/>
      <c r="K234" s="1409"/>
      <c r="L234" s="135"/>
      <c r="M234" s="1769"/>
      <c r="N234" s="260"/>
      <c r="O234" s="1535"/>
      <c r="P234" s="1535"/>
    </row>
    <row r="235" spans="1:16" s="2138" customFormat="1" ht="18.75" customHeight="1">
      <c r="A235" s="2299" t="s">
        <v>219</v>
      </c>
      <c r="B235" s="2299" t="s">
        <v>225</v>
      </c>
      <c r="C235" s="4632"/>
      <c r="D235" s="5462"/>
      <c r="E235" s="5461"/>
      <c r="F235" s="5461"/>
      <c r="G235" s="5431" t="str">
        <f>INDEX(PT_DIFFERENTIATION_NTAR,MATCH(B235,PT_DIFFERENTIATION_NTAR_ID,0))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H235" s="2184"/>
      <c r="I235" s="4633"/>
      <c r="J235" s="4634"/>
      <c r="K235" s="4727"/>
      <c r="L235" s="2184" t="s">
        <v>423</v>
      </c>
      <c r="M235" s="4056"/>
      <c r="N235" s="4636"/>
      <c r="O235" s="2221"/>
      <c r="P235" s="2221"/>
    </row>
    <row r="236" spans="1:16" s="2138" customFormat="1" ht="18.75" customHeight="1">
      <c r="A236" s="2299"/>
      <c r="B236" s="2299"/>
      <c r="C236" s="4632" t="s">
        <v>1184</v>
      </c>
      <c r="D236" s="5462"/>
      <c r="E236" s="5461"/>
      <c r="F236" s="5461"/>
      <c r="G236" s="5431"/>
      <c r="H236" s="4858"/>
      <c r="I236" s="4859" t="s">
        <v>1183</v>
      </c>
      <c r="J236" s="4860"/>
      <c r="K236" s="4861"/>
      <c r="L236" s="4862"/>
      <c r="M236" s="4056"/>
      <c r="N236" s="4636"/>
      <c r="O236" s="2221"/>
      <c r="P236" s="2221"/>
    </row>
    <row r="237" spans="1:16" s="2138" customFormat="1" ht="18.75" customHeight="1">
      <c r="A237" s="2299" t="s">
        <v>219</v>
      </c>
      <c r="B237" s="2299" t="s">
        <v>232</v>
      </c>
      <c r="C237" s="4632"/>
      <c r="D237" s="5462"/>
      <c r="E237" s="5461"/>
      <c r="F237" s="5461"/>
      <c r="G237" s="5431" t="str">
        <f>INDEX(PT_DIFFERENTIATION_NTAR,MATCH(B237,PT_DIFFERENTIATION_NTAR_ID,0))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237" s="2184"/>
      <c r="I237" s="4633"/>
      <c r="J237" s="4634"/>
      <c r="K237" s="4727"/>
      <c r="L237" s="2184" t="s">
        <v>423</v>
      </c>
      <c r="M237" s="4056"/>
      <c r="N237" s="4636"/>
      <c r="O237" s="2221"/>
      <c r="P237" s="2221"/>
    </row>
    <row r="238" spans="1:16" s="2138" customFormat="1" ht="18.75" customHeight="1">
      <c r="A238" s="2299"/>
      <c r="B238" s="2299"/>
      <c r="C238" s="4632" t="s">
        <v>1184</v>
      </c>
      <c r="D238" s="5462"/>
      <c r="E238" s="5461"/>
      <c r="F238" s="5461"/>
      <c r="G238" s="5431"/>
      <c r="H238" s="4863"/>
      <c r="I238" s="4864" t="s">
        <v>1183</v>
      </c>
      <c r="J238" s="4865"/>
      <c r="K238" s="4866"/>
      <c r="L238" s="4867"/>
      <c r="M238" s="4056"/>
      <c r="N238" s="4636"/>
      <c r="O238" s="2221"/>
      <c r="P238" s="2221"/>
    </row>
    <row r="239" spans="1:16" s="2138" customFormat="1" ht="18.75" customHeight="1">
      <c r="A239" s="2299" t="s">
        <v>219</v>
      </c>
      <c r="B239" s="2299" t="s">
        <v>237</v>
      </c>
      <c r="C239" s="4632"/>
      <c r="D239" s="5462"/>
      <c r="E239" s="5461"/>
      <c r="F239" s="5461"/>
      <c r="G239" s="5431" t="str">
        <f>INDEX(PT_DIFFERENTIATION_NTAR,MATCH(B239,PT_DIFFERENTIATION_NTAR_ID,0))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239" s="2184"/>
      <c r="I239" s="4633"/>
      <c r="J239" s="4634"/>
      <c r="K239" s="4727"/>
      <c r="L239" s="2184" t="s">
        <v>423</v>
      </c>
      <c r="M239" s="4056"/>
      <c r="N239" s="4636"/>
      <c r="O239" s="2221"/>
      <c r="P239" s="2221"/>
    </row>
    <row r="240" spans="1:16" s="2138" customFormat="1" ht="18.75" customHeight="1">
      <c r="A240" s="2299"/>
      <c r="B240" s="2299"/>
      <c r="C240" s="4632" t="s">
        <v>1184</v>
      </c>
      <c r="D240" s="5462"/>
      <c r="E240" s="5461"/>
      <c r="F240" s="5461"/>
      <c r="G240" s="5431"/>
      <c r="H240" s="4868"/>
      <c r="I240" s="4869" t="s">
        <v>1183</v>
      </c>
      <c r="J240" s="4870"/>
      <c r="K240" s="4871"/>
      <c r="L240" s="4872"/>
      <c r="M240" s="4056"/>
      <c r="N240" s="4636"/>
      <c r="O240" s="2221"/>
      <c r="P240" s="2221"/>
    </row>
    <row r="241" spans="1:16" s="2138" customFormat="1" ht="18.75" customHeight="1">
      <c r="A241" s="2299" t="s">
        <v>219</v>
      </c>
      <c r="B241" s="2299" t="s">
        <v>242</v>
      </c>
      <c r="C241" s="4632"/>
      <c r="D241" s="5462"/>
      <c r="E241" s="5461"/>
      <c r="F241" s="5461"/>
      <c r="G241" s="5431" t="str">
        <f>INDEX(PT_DIFFERENTIATION_NTAR,MATCH(B241,PT_DIFFERENTIATION_NTAR_ID,0))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241" s="2184"/>
      <c r="I241" s="4633"/>
      <c r="J241" s="4634"/>
      <c r="K241" s="4727"/>
      <c r="L241" s="2184" t="s">
        <v>423</v>
      </c>
      <c r="M241" s="4056"/>
      <c r="N241" s="4636"/>
      <c r="O241" s="2221"/>
      <c r="P241" s="2221"/>
    </row>
    <row r="242" spans="1:16" s="2138" customFormat="1" ht="18.75" customHeight="1">
      <c r="A242" s="2299"/>
      <c r="B242" s="2299"/>
      <c r="C242" s="4632" t="s">
        <v>1184</v>
      </c>
      <c r="D242" s="5462"/>
      <c r="E242" s="5461"/>
      <c r="F242" s="5461"/>
      <c r="G242" s="5431"/>
      <c r="H242" s="4873"/>
      <c r="I242" s="4874" t="s">
        <v>1183</v>
      </c>
      <c r="J242" s="4875"/>
      <c r="K242" s="4876"/>
      <c r="L242" s="4877"/>
      <c r="M242" s="4056"/>
      <c r="N242" s="4636"/>
      <c r="O242" s="2221"/>
      <c r="P242" s="2221"/>
    </row>
    <row r="243" spans="1:16" s="2115" customFormat="1" ht="0.75" hidden="1" customHeight="1">
      <c r="A243" s="1688"/>
      <c r="B243" s="1688"/>
      <c r="C243" s="296" t="s">
        <v>1191</v>
      </c>
      <c r="D243" s="5460"/>
      <c r="E243" s="5268"/>
      <c r="F243" s="5402"/>
      <c r="G243" s="333"/>
      <c r="H243" s="1409"/>
      <c r="I243" s="571"/>
      <c r="J243" s="495"/>
      <c r="K243" s="1409"/>
      <c r="L243" s="135"/>
      <c r="M243" s="267"/>
      <c r="N243" s="260"/>
      <c r="O243" s="1535"/>
      <c r="P243" s="1535"/>
    </row>
    <row r="244" spans="1:16" s="2115" customFormat="1" ht="45" hidden="1" customHeight="1">
      <c r="A244" s="1688" t="s">
        <v>249</v>
      </c>
      <c r="B244" s="1688" t="s">
        <v>250</v>
      </c>
      <c r="C244" s="296"/>
      <c r="D244" s="5460"/>
      <c r="E244" s="5268"/>
      <c r="F244" s="5402" t="str">
        <f>INDEX(PT_DIFFERENTIATION_VTAR,MATCH(A244,PT_DIFFERENTIATION_VTAR_ID,0))</f>
        <v>Тарифы на теплоноситель, поставляемый теплоснабжающими организациями потребителям, другим теплоснабжающим организациям</v>
      </c>
      <c r="G244" s="5431" t="str">
        <f>INDEX(PT_DIFFERENTIATION_NTAR,MATCH(B244,PT_DIFFERENTIATION_NTAR_ID,0))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244" s="1770"/>
      <c r="I244" s="1646"/>
      <c r="J244" s="1681"/>
      <c r="K244" s="1686"/>
      <c r="L244" s="1770" t="s">
        <v>423</v>
      </c>
      <c r="M244" s="267"/>
      <c r="N244" s="260"/>
      <c r="O244" s="1535"/>
      <c r="P244" s="1535"/>
    </row>
    <row r="245" spans="1:16" s="2115" customFormat="1" ht="18.75" hidden="1" customHeight="1">
      <c r="A245" s="1688"/>
      <c r="B245" s="1688"/>
      <c r="C245" s="296" t="s">
        <v>1184</v>
      </c>
      <c r="D245" s="5460"/>
      <c r="E245" s="5268"/>
      <c r="F245" s="5402"/>
      <c r="G245" s="5431"/>
      <c r="H245" s="1409"/>
      <c r="I245" s="571" t="s">
        <v>1183</v>
      </c>
      <c r="J245" s="495"/>
      <c r="K245" s="1409"/>
      <c r="L245" s="135"/>
      <c r="M245" s="267"/>
      <c r="N245" s="260"/>
      <c r="O245" s="1535"/>
      <c r="P245" s="1535"/>
    </row>
    <row r="246" spans="1:16" s="2138" customFormat="1" ht="18.75" customHeight="1">
      <c r="A246" s="2299" t="s">
        <v>249</v>
      </c>
      <c r="B246" s="2299" t="s">
        <v>259</v>
      </c>
      <c r="C246" s="4632"/>
      <c r="D246" s="5462"/>
      <c r="E246" s="5461"/>
      <c r="F246" s="5461"/>
      <c r="G246" s="5431" t="str">
        <f>INDEX(PT_DIFFERENTIATION_NTAR,MATCH(B246,PT_DIFFERENTIATION_NTAR_ID,0))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246" s="2184"/>
      <c r="I246" s="4633"/>
      <c r="J246" s="4634"/>
      <c r="K246" s="4727"/>
      <c r="L246" s="2184" t="s">
        <v>423</v>
      </c>
      <c r="M246" s="4056"/>
      <c r="N246" s="4636"/>
      <c r="O246" s="2221"/>
      <c r="P246" s="2221"/>
    </row>
    <row r="247" spans="1:16" s="2138" customFormat="1" ht="18.75" customHeight="1">
      <c r="A247" s="2299"/>
      <c r="B247" s="2299"/>
      <c r="C247" s="4632" t="s">
        <v>1184</v>
      </c>
      <c r="D247" s="5462"/>
      <c r="E247" s="5461"/>
      <c r="F247" s="5461"/>
      <c r="G247" s="5431"/>
      <c r="H247" s="4878"/>
      <c r="I247" s="4879" t="s">
        <v>1183</v>
      </c>
      <c r="J247" s="4880"/>
      <c r="K247" s="4881"/>
      <c r="L247" s="4882"/>
      <c r="M247" s="4056"/>
      <c r="N247" s="4636"/>
      <c r="O247" s="2221"/>
      <c r="P247" s="2221"/>
    </row>
    <row r="248" spans="1:16" s="2115" customFormat="1" ht="0.75" hidden="1" customHeight="1">
      <c r="A248" s="1688"/>
      <c r="B248" s="1688"/>
      <c r="C248" s="296" t="s">
        <v>1191</v>
      </c>
      <c r="D248" s="5460"/>
      <c r="E248" s="5268"/>
      <c r="F248" s="5402"/>
      <c r="G248" s="333"/>
      <c r="H248" s="1409"/>
      <c r="I248" s="571"/>
      <c r="J248" s="495"/>
      <c r="K248" s="1409"/>
      <c r="L248" s="135"/>
      <c r="M248" s="267"/>
      <c r="N248" s="260"/>
      <c r="O248" s="1535"/>
      <c r="P248" s="1535"/>
    </row>
    <row r="249" spans="1:16" s="2115" customFormat="1" ht="45" hidden="1" customHeight="1">
      <c r="A249" s="1688" t="s">
        <v>269</v>
      </c>
      <c r="B249" s="1688" t="s">
        <v>270</v>
      </c>
      <c r="C249" s="296"/>
      <c r="D249" s="5460"/>
      <c r="E249" s="5268"/>
      <c r="F249" s="5402" t="str">
        <f>INDEX(PT_DIFFERENTIATION_VTAR,MATCH(A249,PT_DIFFERENTIATION_VTAR_ID,0))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9" s="5431" t="str">
        <f>INDEX(PT_DIFFERENTIATION_NTAR,MATCH(B249,PT_DIFFERENTIATION_NTAR_ID,0))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H249" s="1770"/>
      <c r="I249" s="1646"/>
      <c r="J249" s="1681"/>
      <c r="K249" s="1686"/>
      <c r="L249" s="1770" t="s">
        <v>423</v>
      </c>
      <c r="M249" s="267"/>
      <c r="N249" s="260"/>
      <c r="O249" s="1535"/>
      <c r="P249" s="1535"/>
    </row>
    <row r="250" spans="1:16" s="2115" customFormat="1" ht="18.75" hidden="1" customHeight="1">
      <c r="A250" s="1688"/>
      <c r="B250" s="1688"/>
      <c r="C250" s="296" t="s">
        <v>1184</v>
      </c>
      <c r="D250" s="5460"/>
      <c r="E250" s="5268"/>
      <c r="F250" s="5402"/>
      <c r="G250" s="5431"/>
      <c r="H250" s="1409"/>
      <c r="I250" s="571" t="s">
        <v>1183</v>
      </c>
      <c r="J250" s="495"/>
      <c r="K250" s="1409"/>
      <c r="L250" s="135"/>
      <c r="M250" s="267"/>
      <c r="N250" s="260"/>
      <c r="O250" s="1535"/>
      <c r="P250" s="1535"/>
    </row>
    <row r="251" spans="1:16" s="2138" customFormat="1" ht="18.75" customHeight="1">
      <c r="A251" s="2299" t="s">
        <v>269</v>
      </c>
      <c r="B251" s="2299" t="s">
        <v>275</v>
      </c>
      <c r="C251" s="4632"/>
      <c r="D251" s="5462"/>
      <c r="E251" s="5461"/>
      <c r="F251" s="5461"/>
      <c r="G251" s="5431" t="str">
        <f>INDEX(PT_DIFFERENTIATION_NTAR,MATCH(B251,PT_DIFFERENTIATION_NTAR_ID,0))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H251" s="2184"/>
      <c r="I251" s="4633"/>
      <c r="J251" s="4634"/>
      <c r="K251" s="4727"/>
      <c r="L251" s="2184" t="s">
        <v>423</v>
      </c>
      <c r="M251" s="4056"/>
      <c r="N251" s="4636"/>
      <c r="O251" s="2221"/>
      <c r="P251" s="2221"/>
    </row>
    <row r="252" spans="1:16" s="2138" customFormat="1" ht="18.75" customHeight="1">
      <c r="A252" s="2299"/>
      <c r="B252" s="2299"/>
      <c r="C252" s="4632" t="s">
        <v>1184</v>
      </c>
      <c r="D252" s="5462"/>
      <c r="E252" s="5461"/>
      <c r="F252" s="5461"/>
      <c r="G252" s="5431"/>
      <c r="H252" s="4883"/>
      <c r="I252" s="4884" t="s">
        <v>1183</v>
      </c>
      <c r="J252" s="4885"/>
      <c r="K252" s="4886"/>
      <c r="L252" s="4887"/>
      <c r="M252" s="4056"/>
      <c r="N252" s="4636"/>
      <c r="O252" s="2221"/>
      <c r="P252" s="2221"/>
    </row>
    <row r="253" spans="1:16" s="2138" customFormat="1" ht="18.75" customHeight="1">
      <c r="A253" s="2299" t="s">
        <v>269</v>
      </c>
      <c r="B253" s="2299" t="s">
        <v>280</v>
      </c>
      <c r="C253" s="4632"/>
      <c r="D253" s="5462"/>
      <c r="E253" s="5461"/>
      <c r="F253" s="5461"/>
      <c r="G253" s="5431" t="str">
        <f>INDEX(PT_DIFFERENTIATION_NTAR,MATCH(B253,PT_DIFFERENTIATION_NTAR_ID,0))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H253" s="2184"/>
      <c r="I253" s="4633"/>
      <c r="J253" s="4634"/>
      <c r="K253" s="4727"/>
      <c r="L253" s="2184" t="s">
        <v>423</v>
      </c>
      <c r="M253" s="4056"/>
      <c r="N253" s="4636"/>
      <c r="O253" s="2221"/>
      <c r="P253" s="2221"/>
    </row>
    <row r="254" spans="1:16" s="2138" customFormat="1" ht="18.75" customHeight="1">
      <c r="A254" s="2299"/>
      <c r="B254" s="2299"/>
      <c r="C254" s="4632" t="s">
        <v>1184</v>
      </c>
      <c r="D254" s="5462"/>
      <c r="E254" s="5461"/>
      <c r="F254" s="5461"/>
      <c r="G254" s="5431"/>
      <c r="H254" s="4888"/>
      <c r="I254" s="4889" t="s">
        <v>1183</v>
      </c>
      <c r="J254" s="4890"/>
      <c r="K254" s="4891"/>
      <c r="L254" s="4892"/>
      <c r="M254" s="4056"/>
      <c r="N254" s="4636"/>
      <c r="O254" s="2221"/>
      <c r="P254" s="2221"/>
    </row>
    <row r="255" spans="1:16" s="2138" customFormat="1" ht="18.75" customHeight="1">
      <c r="A255" s="2299" t="s">
        <v>269</v>
      </c>
      <c r="B255" s="2299" t="s">
        <v>285</v>
      </c>
      <c r="C255" s="4632"/>
      <c r="D255" s="5462"/>
      <c r="E255" s="5461"/>
      <c r="F255" s="5461"/>
      <c r="G255" s="5431" t="str">
        <f>INDEX(PT_DIFFERENTIATION_NTAR,MATCH(B255,PT_DIFFERENTIATION_NTAR_ID,0))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H255" s="2184"/>
      <c r="I255" s="4633"/>
      <c r="J255" s="4634"/>
      <c r="K255" s="4727"/>
      <c r="L255" s="2184" t="s">
        <v>423</v>
      </c>
      <c r="M255" s="4056"/>
      <c r="N255" s="4636"/>
      <c r="O255" s="2221"/>
      <c r="P255" s="2221"/>
    </row>
    <row r="256" spans="1:16" s="2138" customFormat="1" ht="18.75" customHeight="1">
      <c r="A256" s="2299"/>
      <c r="B256" s="2299"/>
      <c r="C256" s="4632" t="s">
        <v>1184</v>
      </c>
      <c r="D256" s="5462"/>
      <c r="E256" s="5461"/>
      <c r="F256" s="5461"/>
      <c r="G256" s="5431"/>
      <c r="H256" s="4893"/>
      <c r="I256" s="4894" t="s">
        <v>1183</v>
      </c>
      <c r="J256" s="4895"/>
      <c r="K256" s="4896"/>
      <c r="L256" s="4897"/>
      <c r="M256" s="4056"/>
      <c r="N256" s="4636"/>
      <c r="O256" s="2221"/>
      <c r="P256" s="2221"/>
    </row>
    <row r="257" spans="1:16" s="2138" customFormat="1" ht="18.75" customHeight="1">
      <c r="A257" s="2299" t="s">
        <v>269</v>
      </c>
      <c r="B257" s="2299" t="s">
        <v>290</v>
      </c>
      <c r="C257" s="4632"/>
      <c r="D257" s="5462"/>
      <c r="E257" s="5461"/>
      <c r="F257" s="5461"/>
      <c r="G257" s="5431" t="str">
        <f>INDEX(PT_DIFFERENTIATION_NTAR,MATCH(B257,PT_DIFFERENTIATION_NTAR_ID,0))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H257" s="2184"/>
      <c r="I257" s="4633"/>
      <c r="J257" s="4634"/>
      <c r="K257" s="4727"/>
      <c r="L257" s="2184" t="s">
        <v>423</v>
      </c>
      <c r="M257" s="4056"/>
      <c r="N257" s="4636"/>
      <c r="O257" s="2221"/>
      <c r="P257" s="2221"/>
    </row>
    <row r="258" spans="1:16" s="2138" customFormat="1" ht="18.75" customHeight="1">
      <c r="A258" s="2299"/>
      <c r="B258" s="2299"/>
      <c r="C258" s="4632" t="s">
        <v>1184</v>
      </c>
      <c r="D258" s="5462"/>
      <c r="E258" s="5461"/>
      <c r="F258" s="5461"/>
      <c r="G258" s="5431"/>
      <c r="H258" s="4898"/>
      <c r="I258" s="4899" t="s">
        <v>1183</v>
      </c>
      <c r="J258" s="4900"/>
      <c r="K258" s="4901"/>
      <c r="L258" s="4902"/>
      <c r="M258" s="4056"/>
      <c r="N258" s="4636"/>
      <c r="O258" s="2221"/>
      <c r="P258" s="2221"/>
    </row>
    <row r="259" spans="1:16" s="2138" customFormat="1" ht="18.75" customHeight="1">
      <c r="A259" s="2299" t="s">
        <v>269</v>
      </c>
      <c r="B259" s="2299" t="s">
        <v>295</v>
      </c>
      <c r="C259" s="4632"/>
      <c r="D259" s="5462"/>
      <c r="E259" s="5461"/>
      <c r="F259" s="5461"/>
      <c r="G259" s="5431" t="str">
        <f>INDEX(PT_DIFFERENTIATION_NTAR,MATCH(B259,PT_DIFFERENTIATION_NTAR_ID,0))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H259" s="2184"/>
      <c r="I259" s="4633"/>
      <c r="J259" s="4634"/>
      <c r="K259" s="4727"/>
      <c r="L259" s="2184" t="s">
        <v>423</v>
      </c>
      <c r="M259" s="4056"/>
      <c r="N259" s="4636"/>
      <c r="O259" s="2221"/>
      <c r="P259" s="2221"/>
    </row>
    <row r="260" spans="1:16" s="2138" customFormat="1" ht="18.75" customHeight="1">
      <c r="A260" s="2299"/>
      <c r="B260" s="2299"/>
      <c r="C260" s="4632" t="s">
        <v>1184</v>
      </c>
      <c r="D260" s="5462"/>
      <c r="E260" s="5461"/>
      <c r="F260" s="5461"/>
      <c r="G260" s="5431"/>
      <c r="H260" s="4903"/>
      <c r="I260" s="4904" t="s">
        <v>1183</v>
      </c>
      <c r="J260" s="4905"/>
      <c r="K260" s="4906"/>
      <c r="L260" s="4907"/>
      <c r="M260" s="4056"/>
      <c r="N260" s="4636"/>
      <c r="O260" s="2221"/>
      <c r="P260" s="2221"/>
    </row>
    <row r="261" spans="1:16" s="2115" customFormat="1" ht="0.75" hidden="1" customHeight="1">
      <c r="A261" s="1688"/>
      <c r="B261" s="1688"/>
      <c r="C261" s="296" t="s">
        <v>1191</v>
      </c>
      <c r="D261" s="5460"/>
      <c r="E261" s="5268"/>
      <c r="F261" s="5402"/>
      <c r="G261" s="333"/>
      <c r="H261" s="1409"/>
      <c r="I261" s="571"/>
      <c r="J261" s="495"/>
      <c r="K261" s="1409"/>
      <c r="L261" s="135"/>
      <c r="M261" s="267"/>
      <c r="N261" s="260"/>
      <c r="O261" s="1535"/>
      <c r="P261" s="1535"/>
    </row>
    <row r="262" spans="1:16" s="2115" customFormat="1" ht="18.75" hidden="1" customHeight="1">
      <c r="A262" s="1688" t="s">
        <v>302</v>
      </c>
      <c r="B262" s="1688" t="s">
        <v>303</v>
      </c>
      <c r="C262" s="296"/>
      <c r="D262" s="5460"/>
      <c r="E262" s="5268"/>
      <c r="F262" s="5402" t="str">
        <f>INDEX(PT_DIFFERENTIATION_VTAR,MATCH(A262,PT_DIFFERENTIATION_VTAR_ID,0))</f>
        <v>Тарифы на услуги по передаче тепловой энергии</v>
      </c>
      <c r="G262" s="5431" t="str">
        <f>INDEX(PT_DIFFERENTIATION_NTAR,MATCH(B262,PT_DIFFERENTIATION_NTAR_ID,0))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262" s="1770"/>
      <c r="I262" s="1646"/>
      <c r="J262" s="1681"/>
      <c r="K262" s="1686"/>
      <c r="L262" s="1770" t="s">
        <v>423</v>
      </c>
      <c r="M262" s="267"/>
      <c r="N262" s="260"/>
      <c r="O262" s="1535"/>
      <c r="P262" s="1535"/>
    </row>
    <row r="263" spans="1:16" s="2115" customFormat="1" ht="18.75" hidden="1" customHeight="1">
      <c r="A263" s="1688"/>
      <c r="B263" s="1688"/>
      <c r="C263" s="296" t="s">
        <v>1184</v>
      </c>
      <c r="D263" s="5460"/>
      <c r="E263" s="5268"/>
      <c r="F263" s="5402"/>
      <c r="G263" s="5431"/>
      <c r="H263" s="1409"/>
      <c r="I263" s="571" t="s">
        <v>1183</v>
      </c>
      <c r="J263" s="495"/>
      <c r="K263" s="1409"/>
      <c r="L263" s="135"/>
      <c r="M263" s="267"/>
      <c r="N263" s="260"/>
      <c r="O263" s="1535"/>
      <c r="P263" s="1535"/>
    </row>
    <row r="264" spans="1:16" s="2115" customFormat="1" ht="0.75" hidden="1" customHeight="1">
      <c r="A264" s="1688"/>
      <c r="B264" s="1688"/>
      <c r="C264" s="296" t="s">
        <v>1191</v>
      </c>
      <c r="D264" s="5460"/>
      <c r="E264" s="5268"/>
      <c r="F264" s="5402"/>
      <c r="G264" s="333"/>
      <c r="H264" s="1409"/>
      <c r="I264" s="571"/>
      <c r="J264" s="495"/>
      <c r="K264" s="1409"/>
      <c r="L264" s="135"/>
      <c r="M264" s="267"/>
      <c r="N264" s="260"/>
      <c r="O264" s="1535"/>
      <c r="P264" s="1535"/>
    </row>
    <row r="265" spans="1:16" s="2115" customFormat="1" ht="18.75" hidden="1" customHeight="1">
      <c r="A265" s="1688" t="s">
        <v>308</v>
      </c>
      <c r="B265" s="1688" t="s">
        <v>309</v>
      </c>
      <c r="C265" s="296"/>
      <c r="D265" s="5460"/>
      <c r="E265" s="5268"/>
      <c r="F265" s="5402" t="str">
        <f>INDEX(PT_DIFFERENTIATION_VTAR,MATCH(A265,PT_DIFFERENTIATION_VTAR_ID,0))</f>
        <v>Тарифы на услуги по передаче теплоносителя</v>
      </c>
      <c r="G265" s="5431" t="str">
        <f>INDEX(PT_DIFFERENTIATION_NTAR,MATCH(B265,PT_DIFFERENTIATION_NTAR_ID,0))</f>
        <v/>
      </c>
      <c r="H265" s="1770"/>
      <c r="I265" s="1646"/>
      <c r="J265" s="1681"/>
      <c r="K265" s="1686"/>
      <c r="L265" s="1770" t="s">
        <v>423</v>
      </c>
      <c r="M265" s="267"/>
      <c r="N265" s="260"/>
      <c r="O265" s="1535"/>
      <c r="P265" s="1535"/>
    </row>
    <row r="266" spans="1:16" s="2115" customFormat="1" ht="18.75" hidden="1" customHeight="1">
      <c r="A266" s="1688"/>
      <c r="B266" s="1688"/>
      <c r="C266" s="296" t="s">
        <v>1184</v>
      </c>
      <c r="D266" s="5460"/>
      <c r="E266" s="5268"/>
      <c r="F266" s="5402"/>
      <c r="G266" s="5431"/>
      <c r="H266" s="1409"/>
      <c r="I266" s="571" t="s">
        <v>1183</v>
      </c>
      <c r="J266" s="495"/>
      <c r="K266" s="1409"/>
      <c r="L266" s="135"/>
      <c r="M266" s="267"/>
      <c r="N266" s="260"/>
      <c r="O266" s="1535"/>
      <c r="P266" s="1535"/>
    </row>
    <row r="267" spans="1:16" s="2115" customFormat="1" ht="0.75" hidden="1" customHeight="1">
      <c r="A267" s="1688"/>
      <c r="B267" s="1688"/>
      <c r="C267" s="296" t="s">
        <v>1191</v>
      </c>
      <c r="D267" s="5460"/>
      <c r="E267" s="5268"/>
      <c r="F267" s="5402"/>
      <c r="G267" s="333"/>
      <c r="H267" s="1409"/>
      <c r="I267" s="571"/>
      <c r="J267" s="495"/>
      <c r="K267" s="1409"/>
      <c r="L267" s="135"/>
      <c r="M267" s="267"/>
      <c r="N267" s="260"/>
      <c r="O267" s="1535"/>
      <c r="P267" s="1535"/>
    </row>
    <row r="268" spans="1:16" s="2115" customFormat="1" ht="18.75" hidden="1" customHeight="1">
      <c r="A268" s="1688" t="s">
        <v>316</v>
      </c>
      <c r="B268" s="1688" t="s">
        <v>317</v>
      </c>
      <c r="C268" s="296"/>
      <c r="D268" s="5460"/>
      <c r="E268" s="5268"/>
      <c r="F268" s="5402" t="str">
        <f>INDEX(PT_DIFFERENTIATION_VTAR,MATCH(A268,PT_DIFFERENTIATION_VTAR_ID,0))</f>
        <v>Плата за услуги по поддержанию резервной тепловой мощности при отсутствии потребления тепловой энергии</v>
      </c>
      <c r="G268" s="5431" t="str">
        <f>INDEX(PT_DIFFERENTIATION_NTAR,MATCH(B268,PT_DIFFERENTIATION_NTAR_ID,0))</f>
        <v xml:space="preserve">Плата за услуги по поддержанию резервной тепловой мощности. </v>
      </c>
      <c r="H268" s="1770"/>
      <c r="I268" s="1646"/>
      <c r="J268" s="1681"/>
      <c r="K268" s="1686"/>
      <c r="L268" s="1770" t="s">
        <v>423</v>
      </c>
      <c r="M268" s="267"/>
      <c r="N268" s="260"/>
      <c r="O268" s="1535"/>
      <c r="P268" s="1535"/>
    </row>
    <row r="269" spans="1:16" s="2115" customFormat="1" ht="18.75" hidden="1" customHeight="1">
      <c r="A269" s="1688"/>
      <c r="B269" s="1688"/>
      <c r="C269" s="296" t="s">
        <v>1184</v>
      </c>
      <c r="D269" s="5460"/>
      <c r="E269" s="5268"/>
      <c r="F269" s="5402"/>
      <c r="G269" s="5431"/>
      <c r="H269" s="1409"/>
      <c r="I269" s="571" t="s">
        <v>1183</v>
      </c>
      <c r="J269" s="495"/>
      <c r="K269" s="1409"/>
      <c r="L269" s="135"/>
      <c r="M269" s="267"/>
      <c r="N269" s="260"/>
      <c r="O269" s="1535"/>
      <c r="P269" s="1535"/>
    </row>
    <row r="270" spans="1:16" s="2115" customFormat="1" ht="0.75" hidden="1" customHeight="1">
      <c r="A270" s="1688"/>
      <c r="B270" s="1688"/>
      <c r="C270" s="296" t="s">
        <v>1191</v>
      </c>
      <c r="D270" s="5460"/>
      <c r="E270" s="5268"/>
      <c r="F270" s="5402"/>
      <c r="G270" s="333"/>
      <c r="H270" s="1409"/>
      <c r="I270" s="571"/>
      <c r="J270" s="495"/>
      <c r="K270" s="1409"/>
      <c r="L270" s="135"/>
      <c r="M270" s="267"/>
      <c r="N270" s="260"/>
      <c r="O270" s="1535"/>
      <c r="P270" s="1535"/>
    </row>
    <row r="271" spans="1:16" s="2115" customFormat="1" ht="18.75" hidden="1" customHeight="1">
      <c r="A271" s="1688" t="s">
        <v>328</v>
      </c>
      <c r="B271" s="1688" t="s">
        <v>329</v>
      </c>
      <c r="C271" s="296"/>
      <c r="D271" s="5460"/>
      <c r="E271" s="5268"/>
      <c r="F271" s="5402" t="str">
        <f>INDEX(PT_DIFFERENTIATION_VTAR,MATCH(A271,PT_DIFFERENTIATION_VTAR_ID,0))</f>
        <v>Плата за подключение (технологическое присоединение) к системе теплоснабжения</v>
      </c>
      <c r="G271" s="5431" t="str">
        <f>INDEX(PT_DIFFERENTIATION_NTAR,MATCH(B271,PT_DIFFERENTIATION_NTAR_ID,0))</f>
        <v/>
      </c>
      <c r="H271" s="1770"/>
      <c r="I271" s="1646"/>
      <c r="J271" s="1681"/>
      <c r="K271" s="1686"/>
      <c r="L271" s="1770" t="s">
        <v>423</v>
      </c>
      <c r="M271" s="267"/>
      <c r="N271" s="260"/>
      <c r="O271" s="1535"/>
      <c r="P271" s="1535"/>
    </row>
    <row r="272" spans="1:16" s="2115" customFormat="1" ht="18.75" hidden="1" customHeight="1">
      <c r="A272" s="1688"/>
      <c r="B272" s="1688"/>
      <c r="C272" s="296" t="s">
        <v>1184</v>
      </c>
      <c r="D272" s="5460"/>
      <c r="E272" s="5268"/>
      <c r="F272" s="5402"/>
      <c r="G272" s="5431"/>
      <c r="H272" s="1409"/>
      <c r="I272" s="571" t="s">
        <v>1183</v>
      </c>
      <c r="J272" s="495"/>
      <c r="K272" s="1409"/>
      <c r="L272" s="135"/>
      <c r="M272" s="267"/>
      <c r="N272" s="260"/>
      <c r="O272" s="1535"/>
      <c r="P272" s="1535"/>
    </row>
    <row r="273" spans="1:16" s="2115" customFormat="1" ht="0.75" hidden="1" customHeight="1">
      <c r="A273" s="1688"/>
      <c r="B273" s="1688"/>
      <c r="C273" s="296" t="s">
        <v>1191</v>
      </c>
      <c r="D273" s="5460"/>
      <c r="E273" s="5268"/>
      <c r="F273" s="5402"/>
      <c r="G273" s="333"/>
      <c r="H273" s="1409"/>
      <c r="I273" s="571"/>
      <c r="J273" s="495"/>
      <c r="K273" s="1409"/>
      <c r="L273" s="135"/>
      <c r="M273" s="267"/>
      <c r="N273" s="260"/>
      <c r="O273" s="1535"/>
      <c r="P273" s="1535"/>
    </row>
    <row r="274" spans="1:16" s="2115" customFormat="1" ht="18.75" hidden="1" customHeight="1">
      <c r="A274" s="1688" t="s">
        <v>342</v>
      </c>
      <c r="B274" s="1688" t="s">
        <v>343</v>
      </c>
      <c r="C274" s="296"/>
      <c r="D274" s="5460"/>
      <c r="E274" s="5268"/>
      <c r="F274" s="5402" t="str">
        <f>INDEX(PT_DIFFERENTIATION_VTAR,MATCH(A274,PT_DIFFERENTIATION_VTAR_ID,0))</f>
        <v>Тариф на питьевую воду (питьевое водоснабжение)</v>
      </c>
      <c r="G274" s="5431" t="str">
        <f>INDEX(PT_DIFFERENTIATION_NTAR,MATCH(B274,PT_DIFFERENTIATION_NTAR_ID,0))</f>
        <v/>
      </c>
      <c r="H274" s="1770"/>
      <c r="I274" s="1646"/>
      <c r="J274" s="1681"/>
      <c r="K274" s="1686"/>
      <c r="L274" s="1770" t="s">
        <v>423</v>
      </c>
      <c r="M274" s="267"/>
      <c r="N274" s="260"/>
      <c r="O274" s="1535"/>
      <c r="P274" s="1535"/>
    </row>
    <row r="275" spans="1:16" s="2115" customFormat="1" ht="18.75" hidden="1" customHeight="1">
      <c r="A275" s="1688"/>
      <c r="B275" s="1688"/>
      <c r="C275" s="296" t="s">
        <v>1184</v>
      </c>
      <c r="D275" s="5460"/>
      <c r="E275" s="5268"/>
      <c r="F275" s="5402"/>
      <c r="G275" s="5431"/>
      <c r="H275" s="1409"/>
      <c r="I275" s="571" t="s">
        <v>1183</v>
      </c>
      <c r="J275" s="495"/>
      <c r="K275" s="1409"/>
      <c r="L275" s="135"/>
      <c r="M275" s="267"/>
      <c r="N275" s="260"/>
      <c r="O275" s="1535"/>
      <c r="P275" s="1535"/>
    </row>
    <row r="276" spans="1:16" s="2115" customFormat="1" ht="0.75" hidden="1" customHeight="1">
      <c r="A276" s="1688"/>
      <c r="B276" s="1688"/>
      <c r="C276" s="296" t="s">
        <v>1191</v>
      </c>
      <c r="D276" s="5460"/>
      <c r="E276" s="5268"/>
      <c r="F276" s="5402"/>
      <c r="G276" s="333"/>
      <c r="H276" s="1409"/>
      <c r="I276" s="571"/>
      <c r="J276" s="495"/>
      <c r="K276" s="1409"/>
      <c r="L276" s="135"/>
      <c r="M276" s="267"/>
      <c r="N276" s="260"/>
      <c r="O276" s="1535"/>
      <c r="P276" s="1535"/>
    </row>
    <row r="277" spans="1:16" s="2115" customFormat="1" ht="18.75" hidden="1" customHeight="1">
      <c r="A277" s="1688" t="s">
        <v>347</v>
      </c>
      <c r="B277" s="1688" t="s">
        <v>348</v>
      </c>
      <c r="C277" s="296"/>
      <c r="D277" s="5460"/>
      <c r="E277" s="5268"/>
      <c r="F277" s="5402" t="str">
        <f>INDEX(PT_DIFFERENTIATION_VTAR,MATCH(A277,PT_DIFFERENTIATION_VTAR_ID,0))</f>
        <v>Тариф на техническую воду</v>
      </c>
      <c r="G277" s="5431" t="str">
        <f>INDEX(PT_DIFFERENTIATION_NTAR,MATCH(B277,PT_DIFFERENTIATION_NTAR_ID,0))</f>
        <v/>
      </c>
      <c r="H277" s="1770"/>
      <c r="I277" s="1646"/>
      <c r="J277" s="1681"/>
      <c r="K277" s="1686"/>
      <c r="L277" s="1770" t="s">
        <v>423</v>
      </c>
      <c r="M277" s="267"/>
      <c r="N277" s="260"/>
      <c r="O277" s="1535"/>
      <c r="P277" s="1535"/>
    </row>
    <row r="278" spans="1:16" s="2115" customFormat="1" ht="18.75" hidden="1" customHeight="1">
      <c r="A278" s="1688"/>
      <c r="B278" s="1688"/>
      <c r="C278" s="296" t="s">
        <v>1184</v>
      </c>
      <c r="D278" s="5460"/>
      <c r="E278" s="5268"/>
      <c r="F278" s="5402"/>
      <c r="G278" s="5431"/>
      <c r="H278" s="1409"/>
      <c r="I278" s="571" t="s">
        <v>1183</v>
      </c>
      <c r="J278" s="495"/>
      <c r="K278" s="1409"/>
      <c r="L278" s="135"/>
      <c r="M278" s="267"/>
      <c r="N278" s="260"/>
      <c r="O278" s="1535"/>
      <c r="P278" s="1535"/>
    </row>
    <row r="279" spans="1:16" s="2115" customFormat="1" ht="0.75" hidden="1" customHeight="1">
      <c r="A279" s="1688"/>
      <c r="B279" s="1688"/>
      <c r="C279" s="296" t="s">
        <v>1191</v>
      </c>
      <c r="D279" s="5460"/>
      <c r="E279" s="5268"/>
      <c r="F279" s="5402"/>
      <c r="G279" s="333"/>
      <c r="H279" s="1409"/>
      <c r="I279" s="571"/>
      <c r="J279" s="495"/>
      <c r="K279" s="1409"/>
      <c r="L279" s="135"/>
      <c r="M279" s="267"/>
      <c r="N279" s="260"/>
      <c r="O279" s="1535"/>
      <c r="P279" s="1535"/>
    </row>
    <row r="280" spans="1:16" s="2115" customFormat="1" ht="18.75" hidden="1" customHeight="1">
      <c r="A280" s="1688" t="s">
        <v>352</v>
      </c>
      <c r="B280" s="1688" t="s">
        <v>353</v>
      </c>
      <c r="C280" s="296"/>
      <c r="D280" s="5460"/>
      <c r="E280" s="5268"/>
      <c r="F280" s="5402" t="str">
        <f>INDEX(PT_DIFFERENTIATION_VTAR,MATCH(A280,PT_DIFFERENTIATION_VTAR_ID,0))</f>
        <v>Тариф на транспортировку воды</v>
      </c>
      <c r="G280" s="5431" t="str">
        <f>INDEX(PT_DIFFERENTIATION_NTAR,MATCH(B280,PT_DIFFERENTIATION_NTAR_ID,0))</f>
        <v/>
      </c>
      <c r="H280" s="1770"/>
      <c r="I280" s="1646"/>
      <c r="J280" s="1681"/>
      <c r="K280" s="1686"/>
      <c r="L280" s="1770" t="s">
        <v>423</v>
      </c>
      <c r="M280" s="267"/>
      <c r="N280" s="260"/>
      <c r="O280" s="1535"/>
      <c r="P280" s="1535"/>
    </row>
    <row r="281" spans="1:16" s="2115" customFormat="1" ht="18.75" hidden="1" customHeight="1">
      <c r="A281" s="1688"/>
      <c r="B281" s="1688"/>
      <c r="C281" s="296" t="s">
        <v>1184</v>
      </c>
      <c r="D281" s="5460"/>
      <c r="E281" s="5268"/>
      <c r="F281" s="5402"/>
      <c r="G281" s="5431"/>
      <c r="H281" s="1409"/>
      <c r="I281" s="571" t="s">
        <v>1183</v>
      </c>
      <c r="J281" s="495"/>
      <c r="K281" s="1409"/>
      <c r="L281" s="135"/>
      <c r="M281" s="267"/>
      <c r="N281" s="260"/>
      <c r="O281" s="1535"/>
      <c r="P281" s="1535"/>
    </row>
    <row r="282" spans="1:16" s="2115" customFormat="1" ht="0.75" hidden="1" customHeight="1">
      <c r="A282" s="1688"/>
      <c r="B282" s="1688"/>
      <c r="C282" s="296" t="s">
        <v>1191</v>
      </c>
      <c r="D282" s="5460"/>
      <c r="E282" s="5268"/>
      <c r="F282" s="5402"/>
      <c r="G282" s="333"/>
      <c r="H282" s="1409"/>
      <c r="I282" s="571"/>
      <c r="J282" s="495"/>
      <c r="K282" s="1409"/>
      <c r="L282" s="135"/>
      <c r="M282" s="267"/>
      <c r="N282" s="260"/>
      <c r="O282" s="1535"/>
      <c r="P282" s="1535"/>
    </row>
    <row r="283" spans="1:16" s="2115" customFormat="1" ht="18.75" hidden="1" customHeight="1">
      <c r="A283" s="1688" t="s">
        <v>357</v>
      </c>
      <c r="B283" s="1688" t="s">
        <v>358</v>
      </c>
      <c r="C283" s="296"/>
      <c r="D283" s="5460"/>
      <c r="E283" s="5268"/>
      <c r="F283" s="5402" t="str">
        <f>INDEX(PT_DIFFERENTIATION_VTAR,MATCH(A283,PT_DIFFERENTIATION_VTAR_ID,0))</f>
        <v>Тариф на подвоз воды</v>
      </c>
      <c r="G283" s="5431" t="str">
        <f>INDEX(PT_DIFFERENTIATION_NTAR,MATCH(B283,PT_DIFFERENTIATION_NTAR_ID,0))</f>
        <v/>
      </c>
      <c r="H283" s="1770"/>
      <c r="I283" s="1646"/>
      <c r="J283" s="1681"/>
      <c r="K283" s="1686"/>
      <c r="L283" s="1770" t="s">
        <v>423</v>
      </c>
      <c r="M283" s="267"/>
      <c r="N283" s="260"/>
      <c r="O283" s="1535"/>
      <c r="P283" s="1535"/>
    </row>
    <row r="284" spans="1:16" s="2115" customFormat="1" ht="18.75" hidden="1" customHeight="1">
      <c r="A284" s="1688"/>
      <c r="B284" s="1688"/>
      <c r="C284" s="296" t="s">
        <v>1184</v>
      </c>
      <c r="D284" s="5460"/>
      <c r="E284" s="5268"/>
      <c r="F284" s="5402"/>
      <c r="G284" s="5431"/>
      <c r="H284" s="1409"/>
      <c r="I284" s="571" t="s">
        <v>1183</v>
      </c>
      <c r="J284" s="495"/>
      <c r="K284" s="1409"/>
      <c r="L284" s="135"/>
      <c r="M284" s="267"/>
      <c r="N284" s="260"/>
      <c r="O284" s="1535"/>
      <c r="P284" s="1535"/>
    </row>
    <row r="285" spans="1:16" s="2115" customFormat="1" ht="0.75" hidden="1" customHeight="1">
      <c r="A285" s="1688"/>
      <c r="B285" s="1688"/>
      <c r="C285" s="296" t="s">
        <v>1191</v>
      </c>
      <c r="D285" s="5460"/>
      <c r="E285" s="5268"/>
      <c r="F285" s="5402"/>
      <c r="G285" s="333"/>
      <c r="H285" s="1409"/>
      <c r="I285" s="571"/>
      <c r="J285" s="495"/>
      <c r="K285" s="1409"/>
      <c r="L285" s="135"/>
      <c r="M285" s="267"/>
      <c r="N285" s="260"/>
      <c r="O285" s="1535"/>
      <c r="P285" s="1535"/>
    </row>
    <row r="286" spans="1:16" s="2115" customFormat="1" ht="18.75" hidden="1" customHeight="1">
      <c r="A286" s="1688" t="s">
        <v>362</v>
      </c>
      <c r="B286" s="1688" t="s">
        <v>363</v>
      </c>
      <c r="C286" s="296"/>
      <c r="D286" s="5460"/>
      <c r="E286" s="5268"/>
      <c r="F286" s="5402" t="str">
        <f>INDEX(PT_DIFFERENTIATION_VTAR,MATCH(A286,PT_DIFFERENTIATION_VTAR_ID,0))</f>
        <v>Тариф на подключение (технологическое присоединение) к централизованной системе холодного водоснабжения</v>
      </c>
      <c r="G286" s="5431" t="str">
        <f>INDEX(PT_DIFFERENTIATION_NTAR,MATCH(B286,PT_DIFFERENTIATION_NTAR_ID,0))</f>
        <v/>
      </c>
      <c r="H286" s="1770"/>
      <c r="I286" s="1646"/>
      <c r="J286" s="1681"/>
      <c r="K286" s="1686"/>
      <c r="L286" s="1770" t="s">
        <v>423</v>
      </c>
      <c r="M286" s="267"/>
      <c r="N286" s="260"/>
      <c r="O286" s="1535"/>
      <c r="P286" s="1535"/>
    </row>
    <row r="287" spans="1:16" s="2115" customFormat="1" ht="18.75" hidden="1" customHeight="1">
      <c r="A287" s="1688"/>
      <c r="B287" s="1688"/>
      <c r="C287" s="296" t="s">
        <v>1184</v>
      </c>
      <c r="D287" s="5460"/>
      <c r="E287" s="5268"/>
      <c r="F287" s="5402"/>
      <c r="G287" s="5431"/>
      <c r="H287" s="1409"/>
      <c r="I287" s="571" t="s">
        <v>1183</v>
      </c>
      <c r="J287" s="495"/>
      <c r="K287" s="1409"/>
      <c r="L287" s="135"/>
      <c r="M287" s="267"/>
      <c r="N287" s="260"/>
      <c r="O287" s="1535"/>
      <c r="P287" s="1535"/>
    </row>
    <row r="288" spans="1:16" s="2115" customFormat="1" ht="0.75" hidden="1" customHeight="1">
      <c r="A288" s="1688"/>
      <c r="B288" s="1688"/>
      <c r="C288" s="296" t="s">
        <v>1191</v>
      </c>
      <c r="D288" s="5460"/>
      <c r="E288" s="5268"/>
      <c r="F288" s="5402"/>
      <c r="G288" s="333"/>
      <c r="H288" s="1409"/>
      <c r="I288" s="571"/>
      <c r="J288" s="495"/>
      <c r="K288" s="1409"/>
      <c r="L288" s="135"/>
      <c r="M288" s="267"/>
      <c r="N288" s="260"/>
      <c r="O288" s="1535"/>
      <c r="P288" s="1535"/>
    </row>
    <row r="289" spans="1:16" s="2115" customFormat="1" ht="18.75" hidden="1" customHeight="1">
      <c r="A289" s="1688" t="s">
        <v>367</v>
      </c>
      <c r="B289" s="1688" t="s">
        <v>368</v>
      </c>
      <c r="C289" s="296"/>
      <c r="D289" s="5460"/>
      <c r="E289" s="5268"/>
      <c r="F289" s="5402" t="str">
        <f>INDEX(PT_DIFFERENTIATION_VTAR,MATCH(A289,PT_DIFFERENTIATION_VTAR_ID,0))</f>
        <v>Тариф на горячую воду (горячее водоснабжение)</v>
      </c>
      <c r="G289" s="5431" t="str">
        <f>INDEX(PT_DIFFERENTIATION_NTAR,MATCH(B289,PT_DIFFERENTIATION_NTAR_ID,0))</f>
        <v/>
      </c>
      <c r="H289" s="1770"/>
      <c r="I289" s="1646"/>
      <c r="J289" s="1681"/>
      <c r="K289" s="1686"/>
      <c r="L289" s="1770" t="s">
        <v>423</v>
      </c>
      <c r="M289" s="267"/>
      <c r="N289" s="260"/>
      <c r="O289" s="1535"/>
      <c r="P289" s="1535"/>
    </row>
    <row r="290" spans="1:16" s="2115" customFormat="1" ht="18.75" hidden="1" customHeight="1">
      <c r="A290" s="1688"/>
      <c r="B290" s="1688"/>
      <c r="C290" s="296" t="s">
        <v>1184</v>
      </c>
      <c r="D290" s="5460"/>
      <c r="E290" s="5268"/>
      <c r="F290" s="5402"/>
      <c r="G290" s="5431"/>
      <c r="H290" s="1409"/>
      <c r="I290" s="571" t="s">
        <v>1183</v>
      </c>
      <c r="J290" s="495"/>
      <c r="K290" s="1409"/>
      <c r="L290" s="135"/>
      <c r="M290" s="267"/>
      <c r="N290" s="260"/>
      <c r="O290" s="1535"/>
      <c r="P290" s="1535"/>
    </row>
    <row r="291" spans="1:16" s="2115" customFormat="1" ht="0.75" hidden="1" customHeight="1">
      <c r="A291" s="1688"/>
      <c r="B291" s="1688"/>
      <c r="C291" s="296" t="s">
        <v>1191</v>
      </c>
      <c r="D291" s="5460"/>
      <c r="E291" s="5268"/>
      <c r="F291" s="5402"/>
      <c r="G291" s="333"/>
      <c r="H291" s="1409"/>
      <c r="I291" s="571"/>
      <c r="J291" s="495"/>
      <c r="K291" s="1409"/>
      <c r="L291" s="135"/>
      <c r="M291" s="267"/>
      <c r="N291" s="260"/>
      <c r="O291" s="1535"/>
      <c r="P291" s="1535"/>
    </row>
    <row r="292" spans="1:16" s="2115" customFormat="1" ht="18.75" hidden="1" customHeight="1">
      <c r="A292" s="1688" t="s">
        <v>372</v>
      </c>
      <c r="B292" s="1688" t="s">
        <v>373</v>
      </c>
      <c r="C292" s="296"/>
      <c r="D292" s="5460"/>
      <c r="E292" s="5268"/>
      <c r="F292" s="5402" t="str">
        <f>INDEX(PT_DIFFERENTIATION_VTAR,MATCH(A292,PT_DIFFERENTIATION_VTAR_ID,0))</f>
        <v>Тариф на транспортировку горячей воды</v>
      </c>
      <c r="G292" s="5431" t="str">
        <f>INDEX(PT_DIFFERENTIATION_NTAR,MATCH(B292,PT_DIFFERENTIATION_NTAR_ID,0))</f>
        <v/>
      </c>
      <c r="H292" s="1770"/>
      <c r="I292" s="1646"/>
      <c r="J292" s="1681"/>
      <c r="K292" s="1686"/>
      <c r="L292" s="1770" t="s">
        <v>423</v>
      </c>
      <c r="M292" s="267"/>
      <c r="N292" s="260"/>
      <c r="O292" s="1535"/>
      <c r="P292" s="1535"/>
    </row>
    <row r="293" spans="1:16" s="2115" customFormat="1" ht="18.75" hidden="1" customHeight="1">
      <c r="A293" s="1688"/>
      <c r="B293" s="1688"/>
      <c r="C293" s="296" t="s">
        <v>1184</v>
      </c>
      <c r="D293" s="5460"/>
      <c r="E293" s="5268"/>
      <c r="F293" s="5402"/>
      <c r="G293" s="5431"/>
      <c r="H293" s="1409"/>
      <c r="I293" s="571" t="s">
        <v>1183</v>
      </c>
      <c r="J293" s="495"/>
      <c r="K293" s="1409"/>
      <c r="L293" s="135"/>
      <c r="M293" s="267"/>
      <c r="N293" s="260"/>
      <c r="O293" s="1535"/>
      <c r="P293" s="1535"/>
    </row>
    <row r="294" spans="1:16" s="2115" customFormat="1" ht="0.75" hidden="1" customHeight="1">
      <c r="A294" s="1688"/>
      <c r="B294" s="1688"/>
      <c r="C294" s="296" t="s">
        <v>1191</v>
      </c>
      <c r="D294" s="5460"/>
      <c r="E294" s="5268"/>
      <c r="F294" s="5402"/>
      <c r="G294" s="333"/>
      <c r="H294" s="1409"/>
      <c r="I294" s="571"/>
      <c r="J294" s="495"/>
      <c r="K294" s="1409"/>
      <c r="L294" s="135"/>
      <c r="M294" s="267"/>
      <c r="N294" s="260"/>
      <c r="O294" s="1535"/>
      <c r="P294" s="1535"/>
    </row>
    <row r="295" spans="1:16" s="2115" customFormat="1" ht="18.75" hidden="1" customHeight="1">
      <c r="A295" s="1688" t="s">
        <v>377</v>
      </c>
      <c r="B295" s="1688" t="s">
        <v>378</v>
      </c>
      <c r="C295" s="296"/>
      <c r="D295" s="5460"/>
      <c r="E295" s="5268"/>
      <c r="F295" s="5402" t="str">
        <f>INDEX(PT_DIFFERENTIATION_VTAR,MATCH(A295,PT_DIFFERENTIATION_VTAR_ID,0))</f>
        <v>Тариф на подключение (технологическое присоединение) к централизованной системе горячего водоснабжения</v>
      </c>
      <c r="G295" s="5431" t="str">
        <f>INDEX(PT_DIFFERENTIATION_NTAR,MATCH(B295,PT_DIFFERENTIATION_NTAR_ID,0))</f>
        <v/>
      </c>
      <c r="H295" s="1770"/>
      <c r="I295" s="1646"/>
      <c r="J295" s="1681"/>
      <c r="K295" s="1686"/>
      <c r="L295" s="1770" t="s">
        <v>423</v>
      </c>
      <c r="M295" s="267"/>
      <c r="N295" s="260"/>
      <c r="O295" s="1535"/>
      <c r="P295" s="1535"/>
    </row>
    <row r="296" spans="1:16" s="2115" customFormat="1" ht="18.75" hidden="1" customHeight="1">
      <c r="A296" s="1688"/>
      <c r="B296" s="1688"/>
      <c r="C296" s="296" t="s">
        <v>1184</v>
      </c>
      <c r="D296" s="5460"/>
      <c r="E296" s="5268"/>
      <c r="F296" s="5402"/>
      <c r="G296" s="5431"/>
      <c r="H296" s="1409"/>
      <c r="I296" s="571" t="s">
        <v>1183</v>
      </c>
      <c r="J296" s="495"/>
      <c r="K296" s="1409"/>
      <c r="L296" s="135"/>
      <c r="M296" s="267"/>
      <c r="N296" s="260"/>
      <c r="O296" s="1535"/>
      <c r="P296" s="1535"/>
    </row>
    <row r="297" spans="1:16" s="2115" customFormat="1" ht="0.75" hidden="1" customHeight="1">
      <c r="A297" s="1688"/>
      <c r="B297" s="1688"/>
      <c r="C297" s="296" t="s">
        <v>1191</v>
      </c>
      <c r="D297" s="5460"/>
      <c r="E297" s="5268"/>
      <c r="F297" s="5402"/>
      <c r="G297" s="333"/>
      <c r="H297" s="1409"/>
      <c r="I297" s="571"/>
      <c r="J297" s="495"/>
      <c r="K297" s="1409"/>
      <c r="L297" s="135"/>
      <c r="M297" s="267"/>
      <c r="N297" s="260"/>
      <c r="O297" s="1535"/>
      <c r="P297" s="1535"/>
    </row>
    <row r="298" spans="1:16" s="2115" customFormat="1" ht="18.75" hidden="1" customHeight="1">
      <c r="A298" s="1688" t="s">
        <v>382</v>
      </c>
      <c r="B298" s="1688" t="s">
        <v>383</v>
      </c>
      <c r="C298" s="296"/>
      <c r="D298" s="5460"/>
      <c r="E298" s="5268"/>
      <c r="F298" s="5402" t="str">
        <f>INDEX(PT_DIFFERENTIATION_VTAR,MATCH(A298,PT_DIFFERENTIATION_VTAR_ID,0))</f>
        <v>Тариф на водоотведение</v>
      </c>
      <c r="G298" s="5431" t="str">
        <f>INDEX(PT_DIFFERENTIATION_NTAR,MATCH(B298,PT_DIFFERENTIATION_NTAR_ID,0))</f>
        <v/>
      </c>
      <c r="H298" s="1770"/>
      <c r="I298" s="1646"/>
      <c r="J298" s="1681"/>
      <c r="K298" s="1686"/>
      <c r="L298" s="1770" t="s">
        <v>423</v>
      </c>
      <c r="M298" s="267"/>
      <c r="N298" s="260"/>
      <c r="O298" s="1535"/>
      <c r="P298" s="1535"/>
    </row>
    <row r="299" spans="1:16" s="2115" customFormat="1" ht="18.75" hidden="1" customHeight="1">
      <c r="A299" s="1688"/>
      <c r="B299" s="1688"/>
      <c r="C299" s="296" t="s">
        <v>1184</v>
      </c>
      <c r="D299" s="5460"/>
      <c r="E299" s="5268"/>
      <c r="F299" s="5402"/>
      <c r="G299" s="5431"/>
      <c r="H299" s="1409"/>
      <c r="I299" s="571" t="s">
        <v>1183</v>
      </c>
      <c r="J299" s="495"/>
      <c r="K299" s="1409"/>
      <c r="L299" s="135"/>
      <c r="M299" s="267"/>
      <c r="N299" s="260"/>
      <c r="O299" s="1535"/>
      <c r="P299" s="1535"/>
    </row>
    <row r="300" spans="1:16" s="2115" customFormat="1" ht="0.75" hidden="1" customHeight="1">
      <c r="A300" s="1688"/>
      <c r="B300" s="1688"/>
      <c r="C300" s="296" t="s">
        <v>1191</v>
      </c>
      <c r="D300" s="5460"/>
      <c r="E300" s="5268"/>
      <c r="F300" s="5402"/>
      <c r="G300" s="333"/>
      <c r="H300" s="1409"/>
      <c r="I300" s="571"/>
      <c r="J300" s="495"/>
      <c r="K300" s="1409"/>
      <c r="L300" s="135"/>
      <c r="M300" s="267"/>
      <c r="N300" s="260"/>
      <c r="O300" s="1535"/>
      <c r="P300" s="1535"/>
    </row>
    <row r="301" spans="1:16" s="2115" customFormat="1" ht="18.75" hidden="1" customHeight="1">
      <c r="A301" s="1688" t="s">
        <v>387</v>
      </c>
      <c r="B301" s="1688" t="s">
        <v>388</v>
      </c>
      <c r="C301" s="296"/>
      <c r="D301" s="5460"/>
      <c r="E301" s="5268"/>
      <c r="F301" s="5402" t="str">
        <f>INDEX(PT_DIFFERENTIATION_VTAR,MATCH(A301,PT_DIFFERENTIATION_VTAR_ID,0))</f>
        <v>Тариф на транспортировку сточных вод</v>
      </c>
      <c r="G301" s="5431" t="str">
        <f>INDEX(PT_DIFFERENTIATION_NTAR,MATCH(B301,PT_DIFFERENTIATION_NTAR_ID,0))</f>
        <v/>
      </c>
      <c r="H301" s="1770"/>
      <c r="I301" s="1646"/>
      <c r="J301" s="1681"/>
      <c r="K301" s="1686"/>
      <c r="L301" s="1770" t="s">
        <v>423</v>
      </c>
      <c r="M301" s="267"/>
      <c r="N301" s="260"/>
      <c r="O301" s="1535"/>
      <c r="P301" s="1535"/>
    </row>
    <row r="302" spans="1:16" s="2115" customFormat="1" ht="18.75" hidden="1" customHeight="1">
      <c r="A302" s="1688"/>
      <c r="B302" s="1688"/>
      <c r="C302" s="296" t="s">
        <v>1184</v>
      </c>
      <c r="D302" s="5460"/>
      <c r="E302" s="5268"/>
      <c r="F302" s="5402"/>
      <c r="G302" s="5431"/>
      <c r="H302" s="1409"/>
      <c r="I302" s="571" t="s">
        <v>1183</v>
      </c>
      <c r="J302" s="495"/>
      <c r="K302" s="1409"/>
      <c r="L302" s="135"/>
      <c r="M302" s="267"/>
      <c r="N302" s="260"/>
      <c r="O302" s="1535"/>
      <c r="P302" s="1535"/>
    </row>
    <row r="303" spans="1:16" s="2115" customFormat="1" ht="0.75" hidden="1" customHeight="1">
      <c r="A303" s="1688"/>
      <c r="B303" s="1688"/>
      <c r="C303" s="296" t="s">
        <v>1191</v>
      </c>
      <c r="D303" s="5460"/>
      <c r="E303" s="5268"/>
      <c r="F303" s="5402"/>
      <c r="G303" s="333"/>
      <c r="H303" s="1409"/>
      <c r="I303" s="571"/>
      <c r="J303" s="495"/>
      <c r="K303" s="1409"/>
      <c r="L303" s="135"/>
      <c r="M303" s="267"/>
      <c r="N303" s="260"/>
      <c r="O303" s="1535"/>
      <c r="P303" s="1535"/>
    </row>
    <row r="304" spans="1:16" s="2115" customFormat="1" ht="18.75" hidden="1" customHeight="1">
      <c r="A304" s="1688" t="s">
        <v>392</v>
      </c>
      <c r="B304" s="1688" t="s">
        <v>393</v>
      </c>
      <c r="C304" s="296"/>
      <c r="D304" s="5460"/>
      <c r="E304" s="5268"/>
      <c r="F304" s="5402" t="str">
        <f>INDEX(PT_DIFFERENTIATION_VTAR,MATCH(A304,PT_DIFFERENTIATION_VTAR_ID,0))</f>
        <v>Тариф на подключение (технологическое присоединение) к централизованной системе водоотведения</v>
      </c>
      <c r="G304" s="5431" t="str">
        <f>INDEX(PT_DIFFERENTIATION_NTAR,MATCH(B304,PT_DIFFERENTIATION_NTAR_ID,0))</f>
        <v/>
      </c>
      <c r="H304" s="1770"/>
      <c r="I304" s="1646"/>
      <c r="J304" s="1681"/>
      <c r="K304" s="1686"/>
      <c r="L304" s="1770" t="s">
        <v>423</v>
      </c>
      <c r="M304" s="267"/>
      <c r="N304" s="260"/>
      <c r="O304" s="1535"/>
      <c r="P304" s="1535"/>
    </row>
    <row r="305" spans="1:16" s="2115" customFormat="1" ht="18.75" hidden="1" customHeight="1">
      <c r="A305" s="1688"/>
      <c r="B305" s="1688"/>
      <c r="C305" s="296" t="s">
        <v>1184</v>
      </c>
      <c r="D305" s="5460"/>
      <c r="E305" s="5268"/>
      <c r="F305" s="5402"/>
      <c r="G305" s="5431"/>
      <c r="H305" s="1409"/>
      <c r="I305" s="571" t="s">
        <v>1183</v>
      </c>
      <c r="J305" s="495"/>
      <c r="K305" s="1409"/>
      <c r="L305" s="135"/>
      <c r="M305" s="267"/>
      <c r="N305" s="260"/>
      <c r="O305" s="1535"/>
      <c r="P305" s="1535"/>
    </row>
    <row r="306" spans="1:16" s="2115" customFormat="1" ht="0.75" customHeight="1">
      <c r="A306" s="1688"/>
      <c r="B306" s="1688"/>
      <c r="C306" s="296" t="s">
        <v>1191</v>
      </c>
      <c r="D306" s="5460"/>
      <c r="E306" s="5268"/>
      <c r="F306" s="5402"/>
      <c r="G306" s="333"/>
      <c r="H306" s="1409"/>
      <c r="I306" s="571"/>
      <c r="J306" s="495"/>
      <c r="K306" s="1409"/>
      <c r="L306" s="135"/>
      <c r="M306" s="267"/>
      <c r="N306" s="260"/>
      <c r="O306" s="1535"/>
      <c r="P306" s="1535"/>
    </row>
    <row r="307" spans="1:16" ht="26.25" customHeight="1">
      <c r="A307" s="1688"/>
      <c r="B307" s="1688"/>
      <c r="D307" s="304"/>
      <c r="E307" s="71" t="s">
        <v>115</v>
      </c>
      <c r="F307" s="54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307" s="5459"/>
      <c r="H307" s="5459"/>
      <c r="I307" s="5459"/>
      <c r="J307" s="5459"/>
      <c r="K307" s="5459"/>
      <c r="L307" s="5459"/>
      <c r="M307" s="215"/>
      <c r="N307" s="260"/>
    </row>
    <row r="308" spans="1:16" s="2115" customFormat="1" ht="60.75" hidden="1" customHeight="1">
      <c r="A308" s="1688" t="s">
        <v>163</v>
      </c>
      <c r="B308" s="1688" t="s">
        <v>164</v>
      </c>
      <c r="C308" s="296"/>
      <c r="D308" s="5460"/>
      <c r="E308" s="5268"/>
      <c r="F308" s="5402" t="str">
        <f>INDEX(PT_DIFFERENTIATION_VTAR,MATCH(A308,PT_DIFFERENTIATION_VTAR_ID,0))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8" s="5431" t="str">
        <f>INDEX(PT_DIFFERENTIATION_NTAR,MATCH(B308,PT_DIFFERENTIATION_NTAR_ID,0))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308" s="1770"/>
      <c r="I308" s="1646"/>
      <c r="J308" s="1681"/>
      <c r="K308" s="1686"/>
      <c r="L308" s="1770" t="s">
        <v>423</v>
      </c>
      <c r="M308" s="5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308" s="260"/>
      <c r="O308" s="1535"/>
      <c r="P308" s="1535"/>
    </row>
    <row r="309" spans="1:16" s="2115" customFormat="1" ht="18.75" hidden="1" customHeight="1">
      <c r="A309" s="1688"/>
      <c r="B309" s="1688"/>
      <c r="C309" s="296" t="s">
        <v>1184</v>
      </c>
      <c r="D309" s="5460"/>
      <c r="E309" s="5268"/>
      <c r="F309" s="5402"/>
      <c r="G309" s="5431"/>
      <c r="H309" s="1409"/>
      <c r="I309" s="571" t="s">
        <v>1183</v>
      </c>
      <c r="J309" s="495"/>
      <c r="K309" s="1409"/>
      <c r="L309" s="135"/>
      <c r="M309" s="5226"/>
      <c r="N309" s="260"/>
      <c r="O309" s="1535"/>
      <c r="P309" s="1535"/>
    </row>
    <row r="310" spans="1:16" s="2138" customFormat="1" ht="18.75" customHeight="1">
      <c r="A310" s="2299" t="s">
        <v>163</v>
      </c>
      <c r="B310" s="2299" t="s">
        <v>176</v>
      </c>
      <c r="C310" s="4632"/>
      <c r="D310" s="5462"/>
      <c r="E310" s="5461"/>
      <c r="F310" s="5461"/>
      <c r="G310" s="5431" t="str">
        <f>INDEX(PT_DIFFERENTIATION_NTAR,MATCH(B310,PT_DIFFERENTIATION_NTAR_ID,0))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H310" s="2184"/>
      <c r="I310" s="4633"/>
      <c r="J310" s="4634"/>
      <c r="K310" s="4727"/>
      <c r="L310" s="2184" t="s">
        <v>423</v>
      </c>
      <c r="M310" s="5349"/>
      <c r="N310" s="4636"/>
      <c r="O310" s="2221"/>
      <c r="P310" s="2221"/>
    </row>
    <row r="311" spans="1:16" s="2138" customFormat="1" ht="18.75" customHeight="1">
      <c r="A311" s="2299"/>
      <c r="B311" s="2299"/>
      <c r="C311" s="4632" t="s">
        <v>1184</v>
      </c>
      <c r="D311" s="5462"/>
      <c r="E311" s="5461"/>
      <c r="F311" s="5461"/>
      <c r="G311" s="5431"/>
      <c r="H311" s="4908"/>
      <c r="I311" s="4909" t="s">
        <v>1183</v>
      </c>
      <c r="J311" s="4910"/>
      <c r="K311" s="4911"/>
      <c r="L311" s="4912"/>
      <c r="M311" s="5349"/>
      <c r="N311" s="4636"/>
      <c r="O311" s="2221"/>
      <c r="P311" s="2221"/>
    </row>
    <row r="312" spans="1:16" s="2138" customFormat="1" ht="18.75" customHeight="1">
      <c r="A312" s="2299" t="s">
        <v>163</v>
      </c>
      <c r="B312" s="2299" t="s">
        <v>181</v>
      </c>
      <c r="C312" s="4632"/>
      <c r="D312" s="5462"/>
      <c r="E312" s="5461"/>
      <c r="F312" s="5461"/>
      <c r="G312" s="5431" t="str">
        <f>INDEX(PT_DIFFERENTIATION_NTAR,MATCH(B312,PT_DIFFERENTIATION_NTAR_ID,0))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312" s="2184"/>
      <c r="I312" s="4633"/>
      <c r="J312" s="4634"/>
      <c r="K312" s="4727"/>
      <c r="L312" s="2184" t="s">
        <v>423</v>
      </c>
      <c r="M312" s="5349"/>
      <c r="N312" s="4636"/>
      <c r="O312" s="2221"/>
      <c r="P312" s="2221"/>
    </row>
    <row r="313" spans="1:16" s="2138" customFormat="1" ht="18.75" customHeight="1">
      <c r="A313" s="2299"/>
      <c r="B313" s="2299"/>
      <c r="C313" s="4632" t="s">
        <v>1184</v>
      </c>
      <c r="D313" s="5462"/>
      <c r="E313" s="5461"/>
      <c r="F313" s="5461"/>
      <c r="G313" s="5431"/>
      <c r="H313" s="4913"/>
      <c r="I313" s="4914" t="s">
        <v>1183</v>
      </c>
      <c r="J313" s="4915"/>
      <c r="K313" s="4916"/>
      <c r="L313" s="4917"/>
      <c r="M313" s="5349"/>
      <c r="N313" s="4636"/>
      <c r="O313" s="2221"/>
      <c r="P313" s="2221"/>
    </row>
    <row r="314" spans="1:16" s="2138" customFormat="1" ht="18.75" customHeight="1">
      <c r="A314" s="2299" t="s">
        <v>163</v>
      </c>
      <c r="B314" s="2299" t="s">
        <v>186</v>
      </c>
      <c r="C314" s="4632"/>
      <c r="D314" s="5462"/>
      <c r="E314" s="5461"/>
      <c r="F314" s="5461"/>
      <c r="G314" s="5431" t="str">
        <f>INDEX(PT_DIFFERENTIATION_NTAR,MATCH(B314,PT_DIFFERENTIATION_NTAR_ID,0))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314" s="2184"/>
      <c r="I314" s="4633"/>
      <c r="J314" s="4634"/>
      <c r="K314" s="4727"/>
      <c r="L314" s="2184" t="s">
        <v>423</v>
      </c>
      <c r="M314" s="5349"/>
      <c r="N314" s="4636"/>
      <c r="O314" s="2221"/>
      <c r="P314" s="2221"/>
    </row>
    <row r="315" spans="1:16" s="2138" customFormat="1" ht="18.75" customHeight="1">
      <c r="A315" s="2299"/>
      <c r="B315" s="2299"/>
      <c r="C315" s="4632" t="s">
        <v>1184</v>
      </c>
      <c r="D315" s="5462"/>
      <c r="E315" s="5461"/>
      <c r="F315" s="5461"/>
      <c r="G315" s="5431"/>
      <c r="H315" s="4918"/>
      <c r="I315" s="4919" t="s">
        <v>1183</v>
      </c>
      <c r="J315" s="4920"/>
      <c r="K315" s="4921"/>
      <c r="L315" s="4922"/>
      <c r="M315" s="5349"/>
      <c r="N315" s="4636"/>
      <c r="O315" s="2221"/>
      <c r="P315" s="2221"/>
    </row>
    <row r="316" spans="1:16" s="2138" customFormat="1" ht="18.75" customHeight="1">
      <c r="A316" s="2299" t="s">
        <v>163</v>
      </c>
      <c r="B316" s="2299" t="s">
        <v>191</v>
      </c>
      <c r="C316" s="4632"/>
      <c r="D316" s="5462"/>
      <c r="E316" s="5461"/>
      <c r="F316" s="5461"/>
      <c r="G316" s="5431" t="str">
        <f>INDEX(PT_DIFFERENTIATION_NTAR,MATCH(B316,PT_DIFFERENTIATION_NTAR_ID,0))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H316" s="2184"/>
      <c r="I316" s="4633"/>
      <c r="J316" s="4634"/>
      <c r="K316" s="4727"/>
      <c r="L316" s="2184" t="s">
        <v>423</v>
      </c>
      <c r="M316" s="5349"/>
      <c r="N316" s="4636"/>
      <c r="O316" s="2221"/>
      <c r="P316" s="2221"/>
    </row>
    <row r="317" spans="1:16" s="2138" customFormat="1" ht="18.75" customHeight="1">
      <c r="A317" s="2299"/>
      <c r="B317" s="2299"/>
      <c r="C317" s="4632" t="s">
        <v>1184</v>
      </c>
      <c r="D317" s="5462"/>
      <c r="E317" s="5461"/>
      <c r="F317" s="5461"/>
      <c r="G317" s="5431"/>
      <c r="H317" s="4923"/>
      <c r="I317" s="4924" t="s">
        <v>1183</v>
      </c>
      <c r="J317" s="4925"/>
      <c r="K317" s="4926"/>
      <c r="L317" s="4927"/>
      <c r="M317" s="5349"/>
      <c r="N317" s="4636"/>
      <c r="O317" s="2221"/>
      <c r="P317" s="2221"/>
    </row>
    <row r="318" spans="1:16" s="2138" customFormat="1" ht="18.75" customHeight="1">
      <c r="A318" s="2299" t="s">
        <v>163</v>
      </c>
      <c r="B318" s="2299" t="s">
        <v>196</v>
      </c>
      <c r="C318" s="4632"/>
      <c r="D318" s="5462"/>
      <c r="E318" s="5461"/>
      <c r="F318" s="5461"/>
      <c r="G318" s="5431" t="str">
        <f>INDEX(PT_DIFFERENTIATION_NTAR,MATCH(B318,PT_DIFFERENTIATION_NTAR_ID,0))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318" s="2184"/>
      <c r="I318" s="4633"/>
      <c r="J318" s="4634"/>
      <c r="K318" s="4727"/>
      <c r="L318" s="2184" t="s">
        <v>423</v>
      </c>
      <c r="M318" s="5349"/>
      <c r="N318" s="4636"/>
      <c r="O318" s="2221"/>
      <c r="P318" s="2221"/>
    </row>
    <row r="319" spans="1:16" s="2138" customFormat="1" ht="18.75" customHeight="1">
      <c r="A319" s="2299"/>
      <c r="B319" s="2299"/>
      <c r="C319" s="4632" t="s">
        <v>1184</v>
      </c>
      <c r="D319" s="5462"/>
      <c r="E319" s="5461"/>
      <c r="F319" s="5461"/>
      <c r="G319" s="5431"/>
      <c r="H319" s="4928"/>
      <c r="I319" s="4929" t="s">
        <v>1183</v>
      </c>
      <c r="J319" s="4930"/>
      <c r="K319" s="4931"/>
      <c r="L319" s="4932"/>
      <c r="M319" s="5349"/>
      <c r="N319" s="4636"/>
      <c r="O319" s="2221"/>
      <c r="P319" s="2221"/>
    </row>
    <row r="320" spans="1:16" s="2138" customFormat="1" ht="18.75" customHeight="1">
      <c r="A320" s="2299" t="s">
        <v>163</v>
      </c>
      <c r="B320" s="2299" t="s">
        <v>201</v>
      </c>
      <c r="C320" s="4632"/>
      <c r="D320" s="5462"/>
      <c r="E320" s="5461"/>
      <c r="F320" s="5461"/>
      <c r="G320" s="5431" t="str">
        <f>INDEX(PT_DIFFERENTIATION_NTAR,MATCH(B320,PT_DIFFERENTIATION_NTAR_ID,0))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320" s="2184"/>
      <c r="I320" s="4633"/>
      <c r="J320" s="4634"/>
      <c r="K320" s="4727"/>
      <c r="L320" s="2184" t="s">
        <v>423</v>
      </c>
      <c r="M320" s="5349"/>
      <c r="N320" s="4636"/>
      <c r="O320" s="2221"/>
      <c r="P320" s="2221"/>
    </row>
    <row r="321" spans="1:16" s="2138" customFormat="1" ht="18.75" customHeight="1">
      <c r="A321" s="2299"/>
      <c r="B321" s="2299"/>
      <c r="C321" s="4632" t="s">
        <v>1184</v>
      </c>
      <c r="D321" s="5462"/>
      <c r="E321" s="5461"/>
      <c r="F321" s="5461"/>
      <c r="G321" s="5431"/>
      <c r="H321" s="4933"/>
      <c r="I321" s="4934" t="s">
        <v>1183</v>
      </c>
      <c r="J321" s="4935"/>
      <c r="K321" s="4936"/>
      <c r="L321" s="4937"/>
      <c r="M321" s="5349"/>
      <c r="N321" s="4636"/>
      <c r="O321" s="2221"/>
      <c r="P321" s="2221"/>
    </row>
    <row r="322" spans="1:16" s="2138" customFormat="1" ht="18.75" customHeight="1">
      <c r="A322" s="2299" t="s">
        <v>163</v>
      </c>
      <c r="B322" s="2299" t="s">
        <v>206</v>
      </c>
      <c r="C322" s="4632"/>
      <c r="D322" s="5462"/>
      <c r="E322" s="5461"/>
      <c r="F322" s="5461"/>
      <c r="G322" s="5431" t="str">
        <f>INDEX(PT_DIFFERENTIATION_NTAR,MATCH(B322,PT_DIFFERENTIATION_NTAR_ID,0))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322" s="2184"/>
      <c r="I322" s="4633"/>
      <c r="J322" s="4634"/>
      <c r="K322" s="4727"/>
      <c r="L322" s="2184" t="s">
        <v>423</v>
      </c>
      <c r="M322" s="5349"/>
      <c r="N322" s="4636"/>
      <c r="O322" s="2221"/>
      <c r="P322" s="2221"/>
    </row>
    <row r="323" spans="1:16" s="2138" customFormat="1" ht="18.75" customHeight="1">
      <c r="A323" s="2299"/>
      <c r="B323" s="2299"/>
      <c r="C323" s="4632" t="s">
        <v>1184</v>
      </c>
      <c r="D323" s="5462"/>
      <c r="E323" s="5461"/>
      <c r="F323" s="5461"/>
      <c r="G323" s="5431"/>
      <c r="H323" s="4938"/>
      <c r="I323" s="4939" t="s">
        <v>1183</v>
      </c>
      <c r="J323" s="4940"/>
      <c r="K323" s="4941"/>
      <c r="L323" s="4942"/>
      <c r="M323" s="5349"/>
      <c r="N323" s="4636"/>
      <c r="O323" s="2221"/>
      <c r="P323" s="2221"/>
    </row>
    <row r="324" spans="1:16" s="2138" customFormat="1" ht="18.75" customHeight="1">
      <c r="A324" s="2299" t="s">
        <v>163</v>
      </c>
      <c r="B324" s="2299" t="s">
        <v>211</v>
      </c>
      <c r="C324" s="4632"/>
      <c r="D324" s="5462"/>
      <c r="E324" s="5461"/>
      <c r="F324" s="5461"/>
      <c r="G324" s="5431" t="str">
        <f>INDEX(PT_DIFFERENTIATION_NTAR,MATCH(B324,PT_DIFFERENTIATION_NTAR_ID,0))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324" s="2184"/>
      <c r="I324" s="4633"/>
      <c r="J324" s="4634"/>
      <c r="K324" s="4727"/>
      <c r="L324" s="2184" t="s">
        <v>423</v>
      </c>
      <c r="M324" s="5349"/>
      <c r="N324" s="4636"/>
      <c r="O324" s="2221"/>
      <c r="P324" s="2221"/>
    </row>
    <row r="325" spans="1:16" s="2138" customFormat="1" ht="18.75" customHeight="1">
      <c r="A325" s="2299"/>
      <c r="B325" s="2299"/>
      <c r="C325" s="4632" t="s">
        <v>1184</v>
      </c>
      <c r="D325" s="5462"/>
      <c r="E325" s="5461"/>
      <c r="F325" s="5461"/>
      <c r="G325" s="5431"/>
      <c r="H325" s="4943"/>
      <c r="I325" s="4944" t="s">
        <v>1183</v>
      </c>
      <c r="J325" s="4945"/>
      <c r="K325" s="4946"/>
      <c r="L325" s="4947"/>
      <c r="M325" s="5349"/>
      <c r="N325" s="4636"/>
      <c r="O325" s="2221"/>
      <c r="P325" s="2221"/>
    </row>
    <row r="326" spans="1:16" s="2115" customFormat="1" ht="0.75" hidden="1" customHeight="1">
      <c r="A326" s="1688"/>
      <c r="B326" s="1688"/>
      <c r="C326" s="296" t="s">
        <v>1191</v>
      </c>
      <c r="D326" s="5460"/>
      <c r="E326" s="5268"/>
      <c r="F326" s="5402"/>
      <c r="G326" s="333"/>
      <c r="H326" s="1409"/>
      <c r="I326" s="571"/>
      <c r="J326" s="495"/>
      <c r="K326" s="1409"/>
      <c r="L326" s="135"/>
      <c r="M326" s="5226"/>
      <c r="N326" s="260"/>
      <c r="O326" s="1535"/>
      <c r="P326" s="1535"/>
    </row>
    <row r="327" spans="1:16" s="2115" customFormat="1" ht="45" hidden="1" customHeight="1">
      <c r="A327" s="1688" t="s">
        <v>219</v>
      </c>
      <c r="B327" s="1688" t="s">
        <v>220</v>
      </c>
      <c r="C327" s="296"/>
      <c r="D327" s="5460"/>
      <c r="E327" s="5268"/>
      <c r="F327" s="5402" t="str">
        <f>INDEX(PT_DIFFERENTIATION_VTAR,MATCH(A327,PT_DIFFERENTIATION_VTAR_ID,0))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27" s="5431" t="str">
        <f>INDEX(PT_DIFFERENTIATION_NTAR,MATCH(B327,PT_DIFFERENTIATION_NTAR_ID,0))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H327" s="1770"/>
      <c r="I327" s="1646"/>
      <c r="J327" s="1681"/>
      <c r="K327" s="1686"/>
      <c r="L327" s="1770" t="s">
        <v>423</v>
      </c>
      <c r="M327" s="5227"/>
      <c r="N327" s="260"/>
      <c r="O327" s="1535"/>
      <c r="P327" s="1535"/>
    </row>
    <row r="328" spans="1:16" s="2115" customFormat="1" ht="18.75" hidden="1" customHeight="1">
      <c r="A328" s="1688"/>
      <c r="B328" s="1688"/>
      <c r="C328" s="296" t="s">
        <v>1184</v>
      </c>
      <c r="D328" s="5460"/>
      <c r="E328" s="5268"/>
      <c r="F328" s="5402"/>
      <c r="G328" s="5431"/>
      <c r="H328" s="1409"/>
      <c r="I328" s="571" t="s">
        <v>1183</v>
      </c>
      <c r="J328" s="495"/>
      <c r="K328" s="1409"/>
      <c r="L328" s="135"/>
      <c r="M328" s="1769"/>
      <c r="N328" s="260"/>
      <c r="O328" s="1535"/>
      <c r="P328" s="1535"/>
    </row>
    <row r="329" spans="1:16" s="2138" customFormat="1" ht="18.75" customHeight="1">
      <c r="A329" s="2299" t="s">
        <v>219</v>
      </c>
      <c r="B329" s="2299" t="s">
        <v>225</v>
      </c>
      <c r="C329" s="4632"/>
      <c r="D329" s="5462"/>
      <c r="E329" s="5461"/>
      <c r="F329" s="5461"/>
      <c r="G329" s="5431" t="str">
        <f>INDEX(PT_DIFFERENTIATION_NTAR,MATCH(B329,PT_DIFFERENTIATION_NTAR_ID,0))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H329" s="2184"/>
      <c r="I329" s="4633"/>
      <c r="J329" s="4634"/>
      <c r="K329" s="4727"/>
      <c r="L329" s="2184" t="s">
        <v>423</v>
      </c>
      <c r="M329" s="4056"/>
      <c r="N329" s="4636"/>
      <c r="O329" s="2221"/>
      <c r="P329" s="2221"/>
    </row>
    <row r="330" spans="1:16" s="2138" customFormat="1" ht="18.75" customHeight="1">
      <c r="A330" s="2299"/>
      <c r="B330" s="2299"/>
      <c r="C330" s="4632" t="s">
        <v>1184</v>
      </c>
      <c r="D330" s="5462"/>
      <c r="E330" s="5461"/>
      <c r="F330" s="5461"/>
      <c r="G330" s="5431"/>
      <c r="H330" s="4948"/>
      <c r="I330" s="4949" t="s">
        <v>1183</v>
      </c>
      <c r="J330" s="4950"/>
      <c r="K330" s="4951"/>
      <c r="L330" s="4952"/>
      <c r="M330" s="4056"/>
      <c r="N330" s="4636"/>
      <c r="O330" s="2221"/>
      <c r="P330" s="2221"/>
    </row>
    <row r="331" spans="1:16" s="2138" customFormat="1" ht="18.75" customHeight="1">
      <c r="A331" s="2299" t="s">
        <v>219</v>
      </c>
      <c r="B331" s="2299" t="s">
        <v>232</v>
      </c>
      <c r="C331" s="4632"/>
      <c r="D331" s="5462"/>
      <c r="E331" s="5461"/>
      <c r="F331" s="5461"/>
      <c r="G331" s="5431" t="str">
        <f>INDEX(PT_DIFFERENTIATION_NTAR,MATCH(B331,PT_DIFFERENTIATION_NTAR_ID,0))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331" s="2184"/>
      <c r="I331" s="4633"/>
      <c r="J331" s="4634"/>
      <c r="K331" s="4727"/>
      <c r="L331" s="2184" t="s">
        <v>423</v>
      </c>
      <c r="M331" s="4056"/>
      <c r="N331" s="4636"/>
      <c r="O331" s="2221"/>
      <c r="P331" s="2221"/>
    </row>
    <row r="332" spans="1:16" s="2138" customFormat="1" ht="18.75" customHeight="1">
      <c r="A332" s="2299"/>
      <c r="B332" s="2299"/>
      <c r="C332" s="4632" t="s">
        <v>1184</v>
      </c>
      <c r="D332" s="5462"/>
      <c r="E332" s="5461"/>
      <c r="F332" s="5461"/>
      <c r="G332" s="5431"/>
      <c r="H332" s="4953"/>
      <c r="I332" s="4954" t="s">
        <v>1183</v>
      </c>
      <c r="J332" s="4955"/>
      <c r="K332" s="4956"/>
      <c r="L332" s="4957"/>
      <c r="M332" s="4056"/>
      <c r="N332" s="4636"/>
      <c r="O332" s="2221"/>
      <c r="P332" s="2221"/>
    </row>
    <row r="333" spans="1:16" s="2138" customFormat="1" ht="18.75" customHeight="1">
      <c r="A333" s="2299" t="s">
        <v>219</v>
      </c>
      <c r="B333" s="2299" t="s">
        <v>237</v>
      </c>
      <c r="C333" s="4632"/>
      <c r="D333" s="5462"/>
      <c r="E333" s="5461"/>
      <c r="F333" s="5461"/>
      <c r="G333" s="5431" t="str">
        <f>INDEX(PT_DIFFERENTIATION_NTAR,MATCH(B333,PT_DIFFERENTIATION_NTAR_ID,0))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333" s="2184"/>
      <c r="I333" s="4633"/>
      <c r="J333" s="4634"/>
      <c r="K333" s="4727"/>
      <c r="L333" s="2184" t="s">
        <v>423</v>
      </c>
      <c r="M333" s="4056"/>
      <c r="N333" s="4636"/>
      <c r="O333" s="2221"/>
      <c r="P333" s="2221"/>
    </row>
    <row r="334" spans="1:16" s="2138" customFormat="1" ht="18.75" customHeight="1">
      <c r="A334" s="2299"/>
      <c r="B334" s="2299"/>
      <c r="C334" s="4632" t="s">
        <v>1184</v>
      </c>
      <c r="D334" s="5462"/>
      <c r="E334" s="5461"/>
      <c r="F334" s="5461"/>
      <c r="G334" s="5431"/>
      <c r="H334" s="4958"/>
      <c r="I334" s="4959" t="s">
        <v>1183</v>
      </c>
      <c r="J334" s="4960"/>
      <c r="K334" s="4961"/>
      <c r="L334" s="4962"/>
      <c r="M334" s="4056"/>
      <c r="N334" s="4636"/>
      <c r="O334" s="2221"/>
      <c r="P334" s="2221"/>
    </row>
    <row r="335" spans="1:16" s="2138" customFormat="1" ht="18.75" customHeight="1">
      <c r="A335" s="2299" t="s">
        <v>219</v>
      </c>
      <c r="B335" s="2299" t="s">
        <v>242</v>
      </c>
      <c r="C335" s="4632"/>
      <c r="D335" s="5462"/>
      <c r="E335" s="5461"/>
      <c r="F335" s="5461"/>
      <c r="G335" s="5431" t="str">
        <f>INDEX(PT_DIFFERENTIATION_NTAR,MATCH(B335,PT_DIFFERENTIATION_NTAR_ID,0))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335" s="2184"/>
      <c r="I335" s="4633"/>
      <c r="J335" s="4634"/>
      <c r="K335" s="4727"/>
      <c r="L335" s="2184" t="s">
        <v>423</v>
      </c>
      <c r="M335" s="4056"/>
      <c r="N335" s="4636"/>
      <c r="O335" s="2221"/>
      <c r="P335" s="2221"/>
    </row>
    <row r="336" spans="1:16" s="2138" customFormat="1" ht="18.75" customHeight="1">
      <c r="A336" s="2299"/>
      <c r="B336" s="2299"/>
      <c r="C336" s="4632" t="s">
        <v>1184</v>
      </c>
      <c r="D336" s="5462"/>
      <c r="E336" s="5461"/>
      <c r="F336" s="5461"/>
      <c r="G336" s="5431"/>
      <c r="H336" s="4963"/>
      <c r="I336" s="4964" t="s">
        <v>1183</v>
      </c>
      <c r="J336" s="4965"/>
      <c r="K336" s="4966"/>
      <c r="L336" s="4967"/>
      <c r="M336" s="4056"/>
      <c r="N336" s="4636"/>
      <c r="O336" s="2221"/>
      <c r="P336" s="2221"/>
    </row>
    <row r="337" spans="1:16" s="2115" customFormat="1" ht="0.75" hidden="1" customHeight="1">
      <c r="A337" s="1688"/>
      <c r="B337" s="1688"/>
      <c r="C337" s="296" t="s">
        <v>1191</v>
      </c>
      <c r="D337" s="5460"/>
      <c r="E337" s="5268"/>
      <c r="F337" s="5402"/>
      <c r="G337" s="333"/>
      <c r="H337" s="1409"/>
      <c r="I337" s="571"/>
      <c r="J337" s="495"/>
      <c r="K337" s="1409"/>
      <c r="L337" s="135"/>
      <c r="M337" s="267"/>
      <c r="N337" s="260"/>
      <c r="O337" s="1535"/>
      <c r="P337" s="1535"/>
    </row>
    <row r="338" spans="1:16" s="2115" customFormat="1" ht="45" hidden="1" customHeight="1">
      <c r="A338" s="1688" t="s">
        <v>249</v>
      </c>
      <c r="B338" s="1688" t="s">
        <v>250</v>
      </c>
      <c r="C338" s="296"/>
      <c r="D338" s="5460"/>
      <c r="E338" s="5268"/>
      <c r="F338" s="5402" t="str">
        <f>INDEX(PT_DIFFERENTIATION_VTAR,MATCH(A338,PT_DIFFERENTIATION_VTAR_ID,0))</f>
        <v>Тарифы на теплоноситель, поставляемый теплоснабжающими организациями потребителям, другим теплоснабжающим организациям</v>
      </c>
      <c r="G338" s="5431" t="str">
        <f>INDEX(PT_DIFFERENTIATION_NTAR,MATCH(B338,PT_DIFFERENTIATION_NTAR_ID,0))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338" s="1770"/>
      <c r="I338" s="1646"/>
      <c r="J338" s="1681"/>
      <c r="K338" s="1686"/>
      <c r="L338" s="1770" t="s">
        <v>423</v>
      </c>
      <c r="M338" s="267"/>
      <c r="N338" s="260"/>
      <c r="O338" s="1535"/>
      <c r="P338" s="1535"/>
    </row>
    <row r="339" spans="1:16" s="2115" customFormat="1" ht="18.75" hidden="1" customHeight="1">
      <c r="A339" s="1688"/>
      <c r="B339" s="1688"/>
      <c r="C339" s="296" t="s">
        <v>1184</v>
      </c>
      <c r="D339" s="5460"/>
      <c r="E339" s="5268"/>
      <c r="F339" s="5402"/>
      <c r="G339" s="5431"/>
      <c r="H339" s="1409"/>
      <c r="I339" s="571" t="s">
        <v>1183</v>
      </c>
      <c r="J339" s="495"/>
      <c r="K339" s="1409"/>
      <c r="L339" s="135"/>
      <c r="M339" s="267"/>
      <c r="N339" s="260"/>
      <c r="O339" s="1535"/>
      <c r="P339" s="1535"/>
    </row>
    <row r="340" spans="1:16" s="2138" customFormat="1" ht="18.75" customHeight="1">
      <c r="A340" s="2299" t="s">
        <v>249</v>
      </c>
      <c r="B340" s="2299" t="s">
        <v>259</v>
      </c>
      <c r="C340" s="4632"/>
      <c r="D340" s="5462"/>
      <c r="E340" s="5461"/>
      <c r="F340" s="5461"/>
      <c r="G340" s="5431" t="str">
        <f>INDEX(PT_DIFFERENTIATION_NTAR,MATCH(B340,PT_DIFFERENTIATION_NTAR_ID,0))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340" s="2184"/>
      <c r="I340" s="4633"/>
      <c r="J340" s="4634"/>
      <c r="K340" s="4727"/>
      <c r="L340" s="2184" t="s">
        <v>423</v>
      </c>
      <c r="M340" s="4056"/>
      <c r="N340" s="4636"/>
      <c r="O340" s="2221"/>
      <c r="P340" s="2221"/>
    </row>
    <row r="341" spans="1:16" s="2138" customFormat="1" ht="18.75" customHeight="1">
      <c r="A341" s="2299"/>
      <c r="B341" s="2299"/>
      <c r="C341" s="4632" t="s">
        <v>1184</v>
      </c>
      <c r="D341" s="5462"/>
      <c r="E341" s="5461"/>
      <c r="F341" s="5461"/>
      <c r="G341" s="5431"/>
      <c r="H341" s="4968"/>
      <c r="I341" s="4969" t="s">
        <v>1183</v>
      </c>
      <c r="J341" s="4970"/>
      <c r="K341" s="4971"/>
      <c r="L341" s="4972"/>
      <c r="M341" s="4056"/>
      <c r="N341" s="4636"/>
      <c r="O341" s="2221"/>
      <c r="P341" s="2221"/>
    </row>
    <row r="342" spans="1:16" s="2115" customFormat="1" ht="0.75" hidden="1" customHeight="1">
      <c r="A342" s="1688"/>
      <c r="B342" s="1688"/>
      <c r="C342" s="296" t="s">
        <v>1191</v>
      </c>
      <c r="D342" s="5460"/>
      <c r="E342" s="5268"/>
      <c r="F342" s="5402"/>
      <c r="G342" s="333"/>
      <c r="H342" s="1409"/>
      <c r="I342" s="571"/>
      <c r="J342" s="495"/>
      <c r="K342" s="1409"/>
      <c r="L342" s="135"/>
      <c r="M342" s="267"/>
      <c r="N342" s="260"/>
      <c r="O342" s="1535"/>
      <c r="P342" s="1535"/>
    </row>
    <row r="343" spans="1:16" s="2115" customFormat="1" ht="45" hidden="1" customHeight="1">
      <c r="A343" s="1688" t="s">
        <v>269</v>
      </c>
      <c r="B343" s="1688" t="s">
        <v>270</v>
      </c>
      <c r="C343" s="296"/>
      <c r="D343" s="5460"/>
      <c r="E343" s="5268"/>
      <c r="F343" s="5402" t="str">
        <f>INDEX(PT_DIFFERENTIATION_VTAR,MATCH(A343,PT_DIFFERENTIATION_VTAR_ID,0))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3" s="5431" t="str">
        <f>INDEX(PT_DIFFERENTIATION_NTAR,MATCH(B343,PT_DIFFERENTIATION_NTAR_ID,0))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H343" s="1770"/>
      <c r="I343" s="1646"/>
      <c r="J343" s="1681"/>
      <c r="K343" s="1686"/>
      <c r="L343" s="1770" t="s">
        <v>423</v>
      </c>
      <c r="M343" s="267"/>
      <c r="N343" s="260"/>
      <c r="O343" s="1535"/>
      <c r="P343" s="1535"/>
    </row>
    <row r="344" spans="1:16" s="2115" customFormat="1" ht="18.75" hidden="1" customHeight="1">
      <c r="A344" s="1688"/>
      <c r="B344" s="1688"/>
      <c r="C344" s="296" t="s">
        <v>1184</v>
      </c>
      <c r="D344" s="5460"/>
      <c r="E344" s="5268"/>
      <c r="F344" s="5402"/>
      <c r="G344" s="5431"/>
      <c r="H344" s="1409"/>
      <c r="I344" s="571" t="s">
        <v>1183</v>
      </c>
      <c r="J344" s="495"/>
      <c r="K344" s="1409"/>
      <c r="L344" s="135"/>
      <c r="M344" s="267"/>
      <c r="N344" s="260"/>
      <c r="O344" s="1535"/>
      <c r="P344" s="1535"/>
    </row>
    <row r="345" spans="1:16" s="2138" customFormat="1" ht="18.75" customHeight="1">
      <c r="A345" s="2299" t="s">
        <v>269</v>
      </c>
      <c r="B345" s="2299" t="s">
        <v>275</v>
      </c>
      <c r="C345" s="4632"/>
      <c r="D345" s="5462"/>
      <c r="E345" s="5461"/>
      <c r="F345" s="5461"/>
      <c r="G345" s="5431" t="str">
        <f>INDEX(PT_DIFFERENTIATION_NTAR,MATCH(B345,PT_DIFFERENTIATION_NTAR_ID,0))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H345" s="2184"/>
      <c r="I345" s="4633"/>
      <c r="J345" s="4634"/>
      <c r="K345" s="4727"/>
      <c r="L345" s="2184" t="s">
        <v>423</v>
      </c>
      <c r="M345" s="4056"/>
      <c r="N345" s="4636"/>
      <c r="O345" s="2221"/>
      <c r="P345" s="2221"/>
    </row>
    <row r="346" spans="1:16" s="2138" customFormat="1" ht="18.75" customHeight="1">
      <c r="A346" s="2299"/>
      <c r="B346" s="2299"/>
      <c r="C346" s="4632" t="s">
        <v>1184</v>
      </c>
      <c r="D346" s="5462"/>
      <c r="E346" s="5461"/>
      <c r="F346" s="5461"/>
      <c r="G346" s="5431"/>
      <c r="H346" s="4973"/>
      <c r="I346" s="4974" t="s">
        <v>1183</v>
      </c>
      <c r="J346" s="4975"/>
      <c r="K346" s="4976"/>
      <c r="L346" s="4977"/>
      <c r="M346" s="4056"/>
      <c r="N346" s="4636"/>
      <c r="O346" s="2221"/>
      <c r="P346" s="2221"/>
    </row>
    <row r="347" spans="1:16" s="2138" customFormat="1" ht="18.75" customHeight="1">
      <c r="A347" s="2299" t="s">
        <v>269</v>
      </c>
      <c r="B347" s="2299" t="s">
        <v>280</v>
      </c>
      <c r="C347" s="4632"/>
      <c r="D347" s="5462"/>
      <c r="E347" s="5461"/>
      <c r="F347" s="5461"/>
      <c r="G347" s="5431" t="str">
        <f>INDEX(PT_DIFFERENTIATION_NTAR,MATCH(B347,PT_DIFFERENTIATION_NTAR_ID,0))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H347" s="2184"/>
      <c r="I347" s="4633"/>
      <c r="J347" s="4634"/>
      <c r="K347" s="4727"/>
      <c r="L347" s="2184" t="s">
        <v>423</v>
      </c>
      <c r="M347" s="4056"/>
      <c r="N347" s="4636"/>
      <c r="O347" s="2221"/>
      <c r="P347" s="2221"/>
    </row>
    <row r="348" spans="1:16" s="2138" customFormat="1" ht="18.75" customHeight="1">
      <c r="A348" s="2299"/>
      <c r="B348" s="2299"/>
      <c r="C348" s="4632" t="s">
        <v>1184</v>
      </c>
      <c r="D348" s="5462"/>
      <c r="E348" s="5461"/>
      <c r="F348" s="5461"/>
      <c r="G348" s="5431"/>
      <c r="H348" s="4978"/>
      <c r="I348" s="4979" t="s">
        <v>1183</v>
      </c>
      <c r="J348" s="4980"/>
      <c r="K348" s="4981"/>
      <c r="L348" s="4982"/>
      <c r="M348" s="4056"/>
      <c r="N348" s="4636"/>
      <c r="O348" s="2221"/>
      <c r="P348" s="2221"/>
    </row>
    <row r="349" spans="1:16" s="2138" customFormat="1" ht="18.75" customHeight="1">
      <c r="A349" s="2299" t="s">
        <v>269</v>
      </c>
      <c r="B349" s="2299" t="s">
        <v>285</v>
      </c>
      <c r="C349" s="4632"/>
      <c r="D349" s="5462"/>
      <c r="E349" s="5461"/>
      <c r="F349" s="5461"/>
      <c r="G349" s="5431" t="str">
        <f>INDEX(PT_DIFFERENTIATION_NTAR,MATCH(B349,PT_DIFFERENTIATION_NTAR_ID,0))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H349" s="2184"/>
      <c r="I349" s="4633"/>
      <c r="J349" s="4634"/>
      <c r="K349" s="4727"/>
      <c r="L349" s="2184" t="s">
        <v>423</v>
      </c>
      <c r="M349" s="4056"/>
      <c r="N349" s="4636"/>
      <c r="O349" s="2221"/>
      <c r="P349" s="2221"/>
    </row>
    <row r="350" spans="1:16" s="2138" customFormat="1" ht="18.75" customHeight="1">
      <c r="A350" s="2299"/>
      <c r="B350" s="2299"/>
      <c r="C350" s="4632" t="s">
        <v>1184</v>
      </c>
      <c r="D350" s="5462"/>
      <c r="E350" s="5461"/>
      <c r="F350" s="5461"/>
      <c r="G350" s="5431"/>
      <c r="H350" s="4983"/>
      <c r="I350" s="4984" t="s">
        <v>1183</v>
      </c>
      <c r="J350" s="4985"/>
      <c r="K350" s="4986"/>
      <c r="L350" s="4987"/>
      <c r="M350" s="4056"/>
      <c r="N350" s="4636"/>
      <c r="O350" s="2221"/>
      <c r="P350" s="2221"/>
    </row>
    <row r="351" spans="1:16" s="2138" customFormat="1" ht="18.75" customHeight="1">
      <c r="A351" s="2299" t="s">
        <v>269</v>
      </c>
      <c r="B351" s="2299" t="s">
        <v>290</v>
      </c>
      <c r="C351" s="4632"/>
      <c r="D351" s="5462"/>
      <c r="E351" s="5461"/>
      <c r="F351" s="5461"/>
      <c r="G351" s="5431" t="str">
        <f>INDEX(PT_DIFFERENTIATION_NTAR,MATCH(B351,PT_DIFFERENTIATION_NTAR_ID,0))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H351" s="2184"/>
      <c r="I351" s="4633"/>
      <c r="J351" s="4634"/>
      <c r="K351" s="4727"/>
      <c r="L351" s="2184" t="s">
        <v>423</v>
      </c>
      <c r="M351" s="4056"/>
      <c r="N351" s="4636"/>
      <c r="O351" s="2221"/>
      <c r="P351" s="2221"/>
    </row>
    <row r="352" spans="1:16" s="2138" customFormat="1" ht="18.75" customHeight="1">
      <c r="A352" s="2299"/>
      <c r="B352" s="2299"/>
      <c r="C352" s="4632" t="s">
        <v>1184</v>
      </c>
      <c r="D352" s="5462"/>
      <c r="E352" s="5461"/>
      <c r="F352" s="5461"/>
      <c r="G352" s="5431"/>
      <c r="H352" s="4988"/>
      <c r="I352" s="4989" t="s">
        <v>1183</v>
      </c>
      <c r="J352" s="4990"/>
      <c r="K352" s="4991"/>
      <c r="L352" s="4992"/>
      <c r="M352" s="4056"/>
      <c r="N352" s="4636"/>
      <c r="O352" s="2221"/>
      <c r="P352" s="2221"/>
    </row>
    <row r="353" spans="1:16" s="2138" customFormat="1" ht="18.75" customHeight="1">
      <c r="A353" s="2299" t="s">
        <v>269</v>
      </c>
      <c r="B353" s="2299" t="s">
        <v>295</v>
      </c>
      <c r="C353" s="4632"/>
      <c r="D353" s="5462"/>
      <c r="E353" s="5461"/>
      <c r="F353" s="5461"/>
      <c r="G353" s="5431" t="str">
        <f>INDEX(PT_DIFFERENTIATION_NTAR,MATCH(B353,PT_DIFFERENTIATION_NTAR_ID,0))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H353" s="2184"/>
      <c r="I353" s="4633"/>
      <c r="J353" s="4634"/>
      <c r="K353" s="4727"/>
      <c r="L353" s="2184" t="s">
        <v>423</v>
      </c>
      <c r="M353" s="4056"/>
      <c r="N353" s="4636"/>
      <c r="O353" s="2221"/>
      <c r="P353" s="2221"/>
    </row>
    <row r="354" spans="1:16" s="2138" customFormat="1" ht="18.75" customHeight="1">
      <c r="A354" s="2299"/>
      <c r="B354" s="2299"/>
      <c r="C354" s="4632" t="s">
        <v>1184</v>
      </c>
      <c r="D354" s="5462"/>
      <c r="E354" s="5461"/>
      <c r="F354" s="5461"/>
      <c r="G354" s="5431"/>
      <c r="H354" s="4993"/>
      <c r="I354" s="4994" t="s">
        <v>1183</v>
      </c>
      <c r="J354" s="4995"/>
      <c r="K354" s="4996"/>
      <c r="L354" s="4997"/>
      <c r="M354" s="4056"/>
      <c r="N354" s="4636"/>
      <c r="O354" s="2221"/>
      <c r="P354" s="2221"/>
    </row>
    <row r="355" spans="1:16" s="2115" customFormat="1" ht="0.75" hidden="1" customHeight="1">
      <c r="A355" s="1688"/>
      <c r="B355" s="1688"/>
      <c r="C355" s="296" t="s">
        <v>1191</v>
      </c>
      <c r="D355" s="5460"/>
      <c r="E355" s="5268"/>
      <c r="F355" s="5402"/>
      <c r="G355" s="333"/>
      <c r="H355" s="1409"/>
      <c r="I355" s="571"/>
      <c r="J355" s="495"/>
      <c r="K355" s="1409"/>
      <c r="L355" s="135"/>
      <c r="M355" s="267"/>
      <c r="N355" s="260"/>
      <c r="O355" s="1535"/>
      <c r="P355" s="1535"/>
    </row>
    <row r="356" spans="1:16" s="2115" customFormat="1" ht="18.75" hidden="1" customHeight="1">
      <c r="A356" s="1688" t="s">
        <v>302</v>
      </c>
      <c r="B356" s="1688" t="s">
        <v>303</v>
      </c>
      <c r="C356" s="296"/>
      <c r="D356" s="5460"/>
      <c r="E356" s="5268"/>
      <c r="F356" s="5402" t="str">
        <f>INDEX(PT_DIFFERENTIATION_VTAR,MATCH(A356,PT_DIFFERENTIATION_VTAR_ID,0))</f>
        <v>Тарифы на услуги по передаче тепловой энергии</v>
      </c>
      <c r="G356" s="5431" t="str">
        <f>INDEX(PT_DIFFERENTIATION_NTAR,MATCH(B356,PT_DIFFERENTIATION_NTAR_ID,0))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356" s="1770"/>
      <c r="I356" s="1646"/>
      <c r="J356" s="1681"/>
      <c r="K356" s="1686"/>
      <c r="L356" s="1770" t="s">
        <v>423</v>
      </c>
      <c r="M356" s="267"/>
      <c r="N356" s="260"/>
      <c r="O356" s="1535"/>
      <c r="P356" s="1535"/>
    </row>
    <row r="357" spans="1:16" s="2115" customFormat="1" ht="18.75" hidden="1" customHeight="1">
      <c r="A357" s="1688"/>
      <c r="B357" s="1688"/>
      <c r="C357" s="296" t="s">
        <v>1184</v>
      </c>
      <c r="D357" s="5460"/>
      <c r="E357" s="5268"/>
      <c r="F357" s="5402"/>
      <c r="G357" s="5431"/>
      <c r="H357" s="1409"/>
      <c r="I357" s="571" t="s">
        <v>1183</v>
      </c>
      <c r="J357" s="495"/>
      <c r="K357" s="1409"/>
      <c r="L357" s="135"/>
      <c r="M357" s="267"/>
      <c r="N357" s="260"/>
      <c r="O357" s="1535"/>
      <c r="P357" s="1535"/>
    </row>
    <row r="358" spans="1:16" s="2115" customFormat="1" ht="0.75" hidden="1" customHeight="1">
      <c r="A358" s="1688"/>
      <c r="B358" s="1688"/>
      <c r="C358" s="296" t="s">
        <v>1191</v>
      </c>
      <c r="D358" s="5460"/>
      <c r="E358" s="5268"/>
      <c r="F358" s="5402"/>
      <c r="G358" s="333"/>
      <c r="H358" s="1409"/>
      <c r="I358" s="571"/>
      <c r="J358" s="495"/>
      <c r="K358" s="1409"/>
      <c r="L358" s="135"/>
      <c r="M358" s="267"/>
      <c r="N358" s="260"/>
      <c r="O358" s="1535"/>
      <c r="P358" s="1535"/>
    </row>
    <row r="359" spans="1:16" s="2115" customFormat="1" ht="18.75" hidden="1" customHeight="1">
      <c r="A359" s="1688" t="s">
        <v>308</v>
      </c>
      <c r="B359" s="1688" t="s">
        <v>309</v>
      </c>
      <c r="C359" s="296"/>
      <c r="D359" s="5460"/>
      <c r="E359" s="5268"/>
      <c r="F359" s="5402" t="str">
        <f>INDEX(PT_DIFFERENTIATION_VTAR,MATCH(A359,PT_DIFFERENTIATION_VTAR_ID,0))</f>
        <v>Тарифы на услуги по передаче теплоносителя</v>
      </c>
      <c r="G359" s="5431" t="str">
        <f>INDEX(PT_DIFFERENTIATION_NTAR,MATCH(B359,PT_DIFFERENTIATION_NTAR_ID,0))</f>
        <v/>
      </c>
      <c r="H359" s="1770"/>
      <c r="I359" s="1646"/>
      <c r="J359" s="1681"/>
      <c r="K359" s="1686"/>
      <c r="L359" s="1770" t="s">
        <v>423</v>
      </c>
      <c r="M359" s="267"/>
      <c r="N359" s="260"/>
      <c r="O359" s="1535"/>
      <c r="P359" s="1535"/>
    </row>
    <row r="360" spans="1:16" s="2115" customFormat="1" ht="18.75" hidden="1" customHeight="1">
      <c r="A360" s="1688"/>
      <c r="B360" s="1688"/>
      <c r="C360" s="296" t="s">
        <v>1184</v>
      </c>
      <c r="D360" s="5460"/>
      <c r="E360" s="5268"/>
      <c r="F360" s="5402"/>
      <c r="G360" s="5431"/>
      <c r="H360" s="1409"/>
      <c r="I360" s="571" t="s">
        <v>1183</v>
      </c>
      <c r="J360" s="495"/>
      <c r="K360" s="1409"/>
      <c r="L360" s="135"/>
      <c r="M360" s="267"/>
      <c r="N360" s="260"/>
      <c r="O360" s="1535"/>
      <c r="P360" s="1535"/>
    </row>
    <row r="361" spans="1:16" s="2115" customFormat="1" ht="0.75" hidden="1" customHeight="1">
      <c r="A361" s="1688"/>
      <c r="B361" s="1688"/>
      <c r="C361" s="296" t="s">
        <v>1191</v>
      </c>
      <c r="D361" s="5460"/>
      <c r="E361" s="5268"/>
      <c r="F361" s="5402"/>
      <c r="G361" s="333"/>
      <c r="H361" s="1409"/>
      <c r="I361" s="571"/>
      <c r="J361" s="495"/>
      <c r="K361" s="1409"/>
      <c r="L361" s="135"/>
      <c r="M361" s="267"/>
      <c r="N361" s="260"/>
      <c r="O361" s="1535"/>
      <c r="P361" s="1535"/>
    </row>
    <row r="362" spans="1:16" s="2115" customFormat="1" ht="18.75" hidden="1" customHeight="1">
      <c r="A362" s="1688" t="s">
        <v>316</v>
      </c>
      <c r="B362" s="1688" t="s">
        <v>317</v>
      </c>
      <c r="C362" s="296"/>
      <c r="D362" s="5460"/>
      <c r="E362" s="5268"/>
      <c r="F362" s="5402" t="str">
        <f>INDEX(PT_DIFFERENTIATION_VTAR,MATCH(A362,PT_DIFFERENTIATION_VTAR_ID,0))</f>
        <v>Плата за услуги по поддержанию резервной тепловой мощности при отсутствии потребления тепловой энергии</v>
      </c>
      <c r="G362" s="5431" t="str">
        <f>INDEX(PT_DIFFERENTIATION_NTAR,MATCH(B362,PT_DIFFERENTIATION_NTAR_ID,0))</f>
        <v xml:space="preserve">Плата за услуги по поддержанию резервной тепловой мощности. </v>
      </c>
      <c r="H362" s="1770"/>
      <c r="I362" s="1646"/>
      <c r="J362" s="1681"/>
      <c r="K362" s="1686"/>
      <c r="L362" s="1770" t="s">
        <v>423</v>
      </c>
      <c r="M362" s="267"/>
      <c r="N362" s="260"/>
      <c r="O362" s="1535"/>
      <c r="P362" s="1535"/>
    </row>
    <row r="363" spans="1:16" s="2115" customFormat="1" ht="18.75" hidden="1" customHeight="1">
      <c r="A363" s="1688"/>
      <c r="B363" s="1688"/>
      <c r="C363" s="296" t="s">
        <v>1184</v>
      </c>
      <c r="D363" s="5460"/>
      <c r="E363" s="5268"/>
      <c r="F363" s="5402"/>
      <c r="G363" s="5431"/>
      <c r="H363" s="1409"/>
      <c r="I363" s="571" t="s">
        <v>1183</v>
      </c>
      <c r="J363" s="495"/>
      <c r="K363" s="1409"/>
      <c r="L363" s="135"/>
      <c r="M363" s="267"/>
      <c r="N363" s="260"/>
      <c r="O363" s="1535"/>
      <c r="P363" s="1535"/>
    </row>
    <row r="364" spans="1:16" s="2115" customFormat="1" ht="0.75" hidden="1" customHeight="1">
      <c r="A364" s="1688"/>
      <c r="B364" s="1688"/>
      <c r="C364" s="296" t="s">
        <v>1191</v>
      </c>
      <c r="D364" s="5460"/>
      <c r="E364" s="5268"/>
      <c r="F364" s="5402"/>
      <c r="G364" s="333"/>
      <c r="H364" s="1409"/>
      <c r="I364" s="571"/>
      <c r="J364" s="495"/>
      <c r="K364" s="1409"/>
      <c r="L364" s="135"/>
      <c r="M364" s="267"/>
      <c r="N364" s="260"/>
      <c r="O364" s="1535"/>
      <c r="P364" s="1535"/>
    </row>
    <row r="365" spans="1:16" s="2115" customFormat="1" ht="18.75" hidden="1" customHeight="1">
      <c r="A365" s="1688" t="s">
        <v>328</v>
      </c>
      <c r="B365" s="1688" t="s">
        <v>329</v>
      </c>
      <c r="C365" s="296"/>
      <c r="D365" s="5460"/>
      <c r="E365" s="5268"/>
      <c r="F365" s="5402" t="str">
        <f>INDEX(PT_DIFFERENTIATION_VTAR,MATCH(A365,PT_DIFFERENTIATION_VTAR_ID,0))</f>
        <v>Плата за подключение (технологическое присоединение) к системе теплоснабжения</v>
      </c>
      <c r="G365" s="5431" t="str">
        <f>INDEX(PT_DIFFERENTIATION_NTAR,MATCH(B365,PT_DIFFERENTIATION_NTAR_ID,0))</f>
        <v/>
      </c>
      <c r="H365" s="1770"/>
      <c r="I365" s="1646"/>
      <c r="J365" s="1681"/>
      <c r="K365" s="1686"/>
      <c r="L365" s="1770" t="s">
        <v>423</v>
      </c>
      <c r="M365" s="267"/>
      <c r="N365" s="260"/>
      <c r="O365" s="1535"/>
      <c r="P365" s="1535"/>
    </row>
    <row r="366" spans="1:16" s="2115" customFormat="1" ht="18.75" hidden="1" customHeight="1">
      <c r="A366" s="1688"/>
      <c r="B366" s="1688"/>
      <c r="C366" s="296" t="s">
        <v>1184</v>
      </c>
      <c r="D366" s="5460"/>
      <c r="E366" s="5268"/>
      <c r="F366" s="5402"/>
      <c r="G366" s="5431"/>
      <c r="H366" s="1409"/>
      <c r="I366" s="571" t="s">
        <v>1183</v>
      </c>
      <c r="J366" s="495"/>
      <c r="K366" s="1409"/>
      <c r="L366" s="135"/>
      <c r="M366" s="267"/>
      <c r="N366" s="260"/>
      <c r="O366" s="1535"/>
      <c r="P366" s="1535"/>
    </row>
    <row r="367" spans="1:16" s="2115" customFormat="1" ht="0.75" hidden="1" customHeight="1">
      <c r="A367" s="1688"/>
      <c r="B367" s="1688"/>
      <c r="C367" s="296" t="s">
        <v>1191</v>
      </c>
      <c r="D367" s="5460"/>
      <c r="E367" s="5268"/>
      <c r="F367" s="5402"/>
      <c r="G367" s="333"/>
      <c r="H367" s="1409"/>
      <c r="I367" s="571"/>
      <c r="J367" s="495"/>
      <c r="K367" s="1409"/>
      <c r="L367" s="135"/>
      <c r="M367" s="267"/>
      <c r="N367" s="260"/>
      <c r="O367" s="1535"/>
      <c r="P367" s="1535"/>
    </row>
    <row r="368" spans="1:16" s="2115" customFormat="1" ht="18.75" hidden="1" customHeight="1">
      <c r="A368" s="1688" t="s">
        <v>342</v>
      </c>
      <c r="B368" s="1688" t="s">
        <v>343</v>
      </c>
      <c r="C368" s="296"/>
      <c r="D368" s="5460"/>
      <c r="E368" s="5268"/>
      <c r="F368" s="5402" t="str">
        <f>INDEX(PT_DIFFERENTIATION_VTAR,MATCH(A368,PT_DIFFERENTIATION_VTAR_ID,0))</f>
        <v>Тариф на питьевую воду (питьевое водоснабжение)</v>
      </c>
      <c r="G368" s="5431" t="str">
        <f>INDEX(PT_DIFFERENTIATION_NTAR,MATCH(B368,PT_DIFFERENTIATION_NTAR_ID,0))</f>
        <v/>
      </c>
      <c r="H368" s="1770"/>
      <c r="I368" s="1646"/>
      <c r="J368" s="1681"/>
      <c r="K368" s="1686"/>
      <c r="L368" s="1770" t="s">
        <v>423</v>
      </c>
      <c r="M368" s="267"/>
      <c r="N368" s="260"/>
      <c r="O368" s="1535"/>
      <c r="P368" s="1535"/>
    </row>
    <row r="369" spans="1:16" s="2115" customFormat="1" ht="18.75" hidden="1" customHeight="1">
      <c r="A369" s="1688"/>
      <c r="B369" s="1688"/>
      <c r="C369" s="296" t="s">
        <v>1184</v>
      </c>
      <c r="D369" s="5460"/>
      <c r="E369" s="5268"/>
      <c r="F369" s="5402"/>
      <c r="G369" s="5431"/>
      <c r="H369" s="1409"/>
      <c r="I369" s="571" t="s">
        <v>1183</v>
      </c>
      <c r="J369" s="495"/>
      <c r="K369" s="1409"/>
      <c r="L369" s="135"/>
      <c r="M369" s="267"/>
      <c r="N369" s="260"/>
      <c r="O369" s="1535"/>
      <c r="P369" s="1535"/>
    </row>
    <row r="370" spans="1:16" s="2115" customFormat="1" ht="0.75" hidden="1" customHeight="1">
      <c r="A370" s="1688"/>
      <c r="B370" s="1688"/>
      <c r="C370" s="296" t="s">
        <v>1191</v>
      </c>
      <c r="D370" s="5460"/>
      <c r="E370" s="5268"/>
      <c r="F370" s="5402"/>
      <c r="G370" s="333"/>
      <c r="H370" s="1409"/>
      <c r="I370" s="571"/>
      <c r="J370" s="495"/>
      <c r="K370" s="1409"/>
      <c r="L370" s="135"/>
      <c r="M370" s="267"/>
      <c r="N370" s="260"/>
      <c r="O370" s="1535"/>
      <c r="P370" s="1535"/>
    </row>
    <row r="371" spans="1:16" s="2115" customFormat="1" ht="18.75" hidden="1" customHeight="1">
      <c r="A371" s="1688" t="s">
        <v>347</v>
      </c>
      <c r="B371" s="1688" t="s">
        <v>348</v>
      </c>
      <c r="C371" s="296"/>
      <c r="D371" s="5460"/>
      <c r="E371" s="5268"/>
      <c r="F371" s="5402" t="str">
        <f>INDEX(PT_DIFFERENTIATION_VTAR,MATCH(A371,PT_DIFFERENTIATION_VTAR_ID,0))</f>
        <v>Тариф на техническую воду</v>
      </c>
      <c r="G371" s="5431" t="str">
        <f>INDEX(PT_DIFFERENTIATION_NTAR,MATCH(B371,PT_DIFFERENTIATION_NTAR_ID,0))</f>
        <v/>
      </c>
      <c r="H371" s="1770"/>
      <c r="I371" s="1646"/>
      <c r="J371" s="1681"/>
      <c r="K371" s="1686"/>
      <c r="L371" s="1770" t="s">
        <v>423</v>
      </c>
      <c r="M371" s="267"/>
      <c r="N371" s="260"/>
      <c r="O371" s="1535"/>
      <c r="P371" s="1535"/>
    </row>
    <row r="372" spans="1:16" s="2115" customFormat="1" ht="18.75" hidden="1" customHeight="1">
      <c r="A372" s="1688"/>
      <c r="B372" s="1688"/>
      <c r="C372" s="296" t="s">
        <v>1184</v>
      </c>
      <c r="D372" s="5460"/>
      <c r="E372" s="5268"/>
      <c r="F372" s="5402"/>
      <c r="G372" s="5431"/>
      <c r="H372" s="1409"/>
      <c r="I372" s="571" t="s">
        <v>1183</v>
      </c>
      <c r="J372" s="495"/>
      <c r="K372" s="1409"/>
      <c r="L372" s="135"/>
      <c r="M372" s="267"/>
      <c r="N372" s="260"/>
      <c r="O372" s="1535"/>
      <c r="P372" s="1535"/>
    </row>
    <row r="373" spans="1:16" s="2115" customFormat="1" ht="0.75" hidden="1" customHeight="1">
      <c r="A373" s="1688"/>
      <c r="B373" s="1688"/>
      <c r="C373" s="296" t="s">
        <v>1191</v>
      </c>
      <c r="D373" s="5460"/>
      <c r="E373" s="5268"/>
      <c r="F373" s="5402"/>
      <c r="G373" s="333"/>
      <c r="H373" s="1409"/>
      <c r="I373" s="571"/>
      <c r="J373" s="495"/>
      <c r="K373" s="1409"/>
      <c r="L373" s="135"/>
      <c r="M373" s="267"/>
      <c r="N373" s="260"/>
      <c r="O373" s="1535"/>
      <c r="P373" s="1535"/>
    </row>
    <row r="374" spans="1:16" s="2115" customFormat="1" ht="18.75" hidden="1" customHeight="1">
      <c r="A374" s="1688" t="s">
        <v>352</v>
      </c>
      <c r="B374" s="1688" t="s">
        <v>353</v>
      </c>
      <c r="C374" s="296"/>
      <c r="D374" s="5460"/>
      <c r="E374" s="5268"/>
      <c r="F374" s="5402" t="str">
        <f>INDEX(PT_DIFFERENTIATION_VTAR,MATCH(A374,PT_DIFFERENTIATION_VTAR_ID,0))</f>
        <v>Тариф на транспортировку воды</v>
      </c>
      <c r="G374" s="5431" t="str">
        <f>INDEX(PT_DIFFERENTIATION_NTAR,MATCH(B374,PT_DIFFERENTIATION_NTAR_ID,0))</f>
        <v/>
      </c>
      <c r="H374" s="1770"/>
      <c r="I374" s="1646"/>
      <c r="J374" s="1681"/>
      <c r="K374" s="1686"/>
      <c r="L374" s="1770" t="s">
        <v>423</v>
      </c>
      <c r="M374" s="267"/>
      <c r="N374" s="260"/>
      <c r="O374" s="1535"/>
      <c r="P374" s="1535"/>
    </row>
    <row r="375" spans="1:16" s="2115" customFormat="1" ht="18.75" hidden="1" customHeight="1">
      <c r="A375" s="1688"/>
      <c r="B375" s="1688"/>
      <c r="C375" s="296" t="s">
        <v>1184</v>
      </c>
      <c r="D375" s="5460"/>
      <c r="E375" s="5268"/>
      <c r="F375" s="5402"/>
      <c r="G375" s="5431"/>
      <c r="H375" s="1409"/>
      <c r="I375" s="571" t="s">
        <v>1183</v>
      </c>
      <c r="J375" s="495"/>
      <c r="K375" s="1409"/>
      <c r="L375" s="135"/>
      <c r="M375" s="267"/>
      <c r="N375" s="260"/>
      <c r="O375" s="1535"/>
      <c r="P375" s="1535"/>
    </row>
    <row r="376" spans="1:16" s="2115" customFormat="1" ht="0.75" hidden="1" customHeight="1">
      <c r="A376" s="1688"/>
      <c r="B376" s="1688"/>
      <c r="C376" s="296" t="s">
        <v>1191</v>
      </c>
      <c r="D376" s="5460"/>
      <c r="E376" s="5268"/>
      <c r="F376" s="5402"/>
      <c r="G376" s="333"/>
      <c r="H376" s="1409"/>
      <c r="I376" s="571"/>
      <c r="J376" s="495"/>
      <c r="K376" s="1409"/>
      <c r="L376" s="135"/>
      <c r="M376" s="267"/>
      <c r="N376" s="260"/>
      <c r="O376" s="1535"/>
      <c r="P376" s="1535"/>
    </row>
    <row r="377" spans="1:16" s="2115" customFormat="1" ht="18.75" hidden="1" customHeight="1">
      <c r="A377" s="1688" t="s">
        <v>357</v>
      </c>
      <c r="B377" s="1688" t="s">
        <v>358</v>
      </c>
      <c r="C377" s="296"/>
      <c r="D377" s="5460"/>
      <c r="E377" s="5268"/>
      <c r="F377" s="5402" t="str">
        <f>INDEX(PT_DIFFERENTIATION_VTAR,MATCH(A377,PT_DIFFERENTIATION_VTAR_ID,0))</f>
        <v>Тариф на подвоз воды</v>
      </c>
      <c r="G377" s="5431" t="str">
        <f>INDEX(PT_DIFFERENTIATION_NTAR,MATCH(B377,PT_DIFFERENTIATION_NTAR_ID,0))</f>
        <v/>
      </c>
      <c r="H377" s="1770"/>
      <c r="I377" s="1646"/>
      <c r="J377" s="1681"/>
      <c r="K377" s="1686"/>
      <c r="L377" s="1770" t="s">
        <v>423</v>
      </c>
      <c r="M377" s="267"/>
      <c r="N377" s="260"/>
      <c r="O377" s="1535"/>
      <c r="P377" s="1535"/>
    </row>
    <row r="378" spans="1:16" s="2115" customFormat="1" ht="18.75" hidden="1" customHeight="1">
      <c r="A378" s="1688"/>
      <c r="B378" s="1688"/>
      <c r="C378" s="296" t="s">
        <v>1184</v>
      </c>
      <c r="D378" s="5460"/>
      <c r="E378" s="5268"/>
      <c r="F378" s="5402"/>
      <c r="G378" s="5431"/>
      <c r="H378" s="1409"/>
      <c r="I378" s="571" t="s">
        <v>1183</v>
      </c>
      <c r="J378" s="495"/>
      <c r="K378" s="1409"/>
      <c r="L378" s="135"/>
      <c r="M378" s="267"/>
      <c r="N378" s="260"/>
      <c r="O378" s="1535"/>
      <c r="P378" s="1535"/>
    </row>
    <row r="379" spans="1:16" s="2115" customFormat="1" ht="0.75" hidden="1" customHeight="1">
      <c r="A379" s="1688"/>
      <c r="B379" s="1688"/>
      <c r="C379" s="296" t="s">
        <v>1191</v>
      </c>
      <c r="D379" s="5460"/>
      <c r="E379" s="5268"/>
      <c r="F379" s="5402"/>
      <c r="G379" s="333"/>
      <c r="H379" s="1409"/>
      <c r="I379" s="571"/>
      <c r="J379" s="495"/>
      <c r="K379" s="1409"/>
      <c r="L379" s="135"/>
      <c r="M379" s="267"/>
      <c r="N379" s="260"/>
      <c r="O379" s="1535"/>
      <c r="P379" s="1535"/>
    </row>
    <row r="380" spans="1:16" s="2115" customFormat="1" ht="18.75" hidden="1" customHeight="1">
      <c r="A380" s="1688" t="s">
        <v>362</v>
      </c>
      <c r="B380" s="1688" t="s">
        <v>363</v>
      </c>
      <c r="C380" s="296"/>
      <c r="D380" s="5460"/>
      <c r="E380" s="5268"/>
      <c r="F380" s="5402" t="str">
        <f>INDEX(PT_DIFFERENTIATION_VTAR,MATCH(A380,PT_DIFFERENTIATION_VTAR_ID,0))</f>
        <v>Тариф на подключение (технологическое присоединение) к централизованной системе холодного водоснабжения</v>
      </c>
      <c r="G380" s="5431" t="str">
        <f>INDEX(PT_DIFFERENTIATION_NTAR,MATCH(B380,PT_DIFFERENTIATION_NTAR_ID,0))</f>
        <v/>
      </c>
      <c r="H380" s="1770"/>
      <c r="I380" s="1646"/>
      <c r="J380" s="1681"/>
      <c r="K380" s="1686"/>
      <c r="L380" s="1770" t="s">
        <v>423</v>
      </c>
      <c r="M380" s="267"/>
      <c r="N380" s="260"/>
      <c r="O380" s="1535"/>
      <c r="P380" s="1535"/>
    </row>
    <row r="381" spans="1:16" s="2115" customFormat="1" ht="18.75" hidden="1" customHeight="1">
      <c r="A381" s="1688"/>
      <c r="B381" s="1688"/>
      <c r="C381" s="296" t="s">
        <v>1184</v>
      </c>
      <c r="D381" s="5460"/>
      <c r="E381" s="5268"/>
      <c r="F381" s="5402"/>
      <c r="G381" s="5431"/>
      <c r="H381" s="1409"/>
      <c r="I381" s="571" t="s">
        <v>1183</v>
      </c>
      <c r="J381" s="495"/>
      <c r="K381" s="1409"/>
      <c r="L381" s="135"/>
      <c r="M381" s="267"/>
      <c r="N381" s="260"/>
      <c r="O381" s="1535"/>
      <c r="P381" s="1535"/>
    </row>
    <row r="382" spans="1:16" s="2115" customFormat="1" ht="0.75" hidden="1" customHeight="1">
      <c r="A382" s="1688"/>
      <c r="B382" s="1688"/>
      <c r="C382" s="296" t="s">
        <v>1191</v>
      </c>
      <c r="D382" s="5460"/>
      <c r="E382" s="5268"/>
      <c r="F382" s="5402"/>
      <c r="G382" s="333"/>
      <c r="H382" s="1409"/>
      <c r="I382" s="571"/>
      <c r="J382" s="495"/>
      <c r="K382" s="1409"/>
      <c r="L382" s="135"/>
      <c r="M382" s="267"/>
      <c r="N382" s="260"/>
      <c r="O382" s="1535"/>
      <c r="P382" s="1535"/>
    </row>
    <row r="383" spans="1:16" s="2115" customFormat="1" ht="18.75" hidden="1" customHeight="1">
      <c r="A383" s="1688" t="s">
        <v>367</v>
      </c>
      <c r="B383" s="1688" t="s">
        <v>368</v>
      </c>
      <c r="C383" s="296"/>
      <c r="D383" s="5460"/>
      <c r="E383" s="5268"/>
      <c r="F383" s="5402" t="str">
        <f>INDEX(PT_DIFFERENTIATION_VTAR,MATCH(A383,PT_DIFFERENTIATION_VTAR_ID,0))</f>
        <v>Тариф на горячую воду (горячее водоснабжение)</v>
      </c>
      <c r="G383" s="5431" t="str">
        <f>INDEX(PT_DIFFERENTIATION_NTAR,MATCH(B383,PT_DIFFERENTIATION_NTAR_ID,0))</f>
        <v/>
      </c>
      <c r="H383" s="1770"/>
      <c r="I383" s="1646"/>
      <c r="J383" s="1681"/>
      <c r="K383" s="1686"/>
      <c r="L383" s="1770" t="s">
        <v>423</v>
      </c>
      <c r="M383" s="267"/>
      <c r="N383" s="260"/>
      <c r="O383" s="1535"/>
      <c r="P383" s="1535"/>
    </row>
    <row r="384" spans="1:16" s="2115" customFormat="1" ht="18.75" hidden="1" customHeight="1">
      <c r="A384" s="1688"/>
      <c r="B384" s="1688"/>
      <c r="C384" s="296" t="s">
        <v>1184</v>
      </c>
      <c r="D384" s="5460"/>
      <c r="E384" s="5268"/>
      <c r="F384" s="5402"/>
      <c r="G384" s="5431"/>
      <c r="H384" s="1409"/>
      <c r="I384" s="571" t="s">
        <v>1183</v>
      </c>
      <c r="J384" s="495"/>
      <c r="K384" s="1409"/>
      <c r="L384" s="135"/>
      <c r="M384" s="267"/>
      <c r="N384" s="260"/>
      <c r="O384" s="1535"/>
      <c r="P384" s="1535"/>
    </row>
    <row r="385" spans="1:16" s="2115" customFormat="1" ht="0.75" hidden="1" customHeight="1">
      <c r="A385" s="1688"/>
      <c r="B385" s="1688"/>
      <c r="C385" s="296" t="s">
        <v>1191</v>
      </c>
      <c r="D385" s="5460"/>
      <c r="E385" s="5268"/>
      <c r="F385" s="5402"/>
      <c r="G385" s="333"/>
      <c r="H385" s="1409"/>
      <c r="I385" s="571"/>
      <c r="J385" s="495"/>
      <c r="K385" s="1409"/>
      <c r="L385" s="135"/>
      <c r="M385" s="267"/>
      <c r="N385" s="260"/>
      <c r="O385" s="1535"/>
      <c r="P385" s="1535"/>
    </row>
    <row r="386" spans="1:16" s="2115" customFormat="1" ht="18.75" hidden="1" customHeight="1">
      <c r="A386" s="1688" t="s">
        <v>372</v>
      </c>
      <c r="B386" s="1688" t="s">
        <v>373</v>
      </c>
      <c r="C386" s="296"/>
      <c r="D386" s="5460"/>
      <c r="E386" s="5268"/>
      <c r="F386" s="5402" t="str">
        <f>INDEX(PT_DIFFERENTIATION_VTAR,MATCH(A386,PT_DIFFERENTIATION_VTAR_ID,0))</f>
        <v>Тариф на транспортировку горячей воды</v>
      </c>
      <c r="G386" s="5431" t="str">
        <f>INDEX(PT_DIFFERENTIATION_NTAR,MATCH(B386,PT_DIFFERENTIATION_NTAR_ID,0))</f>
        <v/>
      </c>
      <c r="H386" s="1770"/>
      <c r="I386" s="1646"/>
      <c r="J386" s="1681"/>
      <c r="K386" s="1686"/>
      <c r="L386" s="1770" t="s">
        <v>423</v>
      </c>
      <c r="M386" s="267"/>
      <c r="N386" s="260"/>
      <c r="O386" s="1535"/>
      <c r="P386" s="1535"/>
    </row>
    <row r="387" spans="1:16" s="2115" customFormat="1" ht="18.75" hidden="1" customHeight="1">
      <c r="A387" s="1688"/>
      <c r="B387" s="1688"/>
      <c r="C387" s="296" t="s">
        <v>1184</v>
      </c>
      <c r="D387" s="5460"/>
      <c r="E387" s="5268"/>
      <c r="F387" s="5402"/>
      <c r="G387" s="5431"/>
      <c r="H387" s="1409"/>
      <c r="I387" s="571" t="s">
        <v>1183</v>
      </c>
      <c r="J387" s="495"/>
      <c r="K387" s="1409"/>
      <c r="L387" s="135"/>
      <c r="M387" s="267"/>
      <c r="N387" s="260"/>
      <c r="O387" s="1535"/>
      <c r="P387" s="1535"/>
    </row>
    <row r="388" spans="1:16" s="2115" customFormat="1" ht="0.75" hidden="1" customHeight="1">
      <c r="A388" s="1688"/>
      <c r="B388" s="1688"/>
      <c r="C388" s="296" t="s">
        <v>1191</v>
      </c>
      <c r="D388" s="5460"/>
      <c r="E388" s="5268"/>
      <c r="F388" s="5402"/>
      <c r="G388" s="333"/>
      <c r="H388" s="1409"/>
      <c r="I388" s="571"/>
      <c r="J388" s="495"/>
      <c r="K388" s="1409"/>
      <c r="L388" s="135"/>
      <c r="M388" s="267"/>
      <c r="N388" s="260"/>
      <c r="O388" s="1535"/>
      <c r="P388" s="1535"/>
    </row>
    <row r="389" spans="1:16" s="2115" customFormat="1" ht="18.75" hidden="1" customHeight="1">
      <c r="A389" s="1688" t="s">
        <v>377</v>
      </c>
      <c r="B389" s="1688" t="s">
        <v>378</v>
      </c>
      <c r="C389" s="296"/>
      <c r="D389" s="5460"/>
      <c r="E389" s="5268"/>
      <c r="F389" s="5402" t="str">
        <f>INDEX(PT_DIFFERENTIATION_VTAR,MATCH(A389,PT_DIFFERENTIATION_VTAR_ID,0))</f>
        <v>Тариф на подключение (технологическое присоединение) к централизованной системе горячего водоснабжения</v>
      </c>
      <c r="G389" s="5431" t="str">
        <f>INDEX(PT_DIFFERENTIATION_NTAR,MATCH(B389,PT_DIFFERENTIATION_NTAR_ID,0))</f>
        <v/>
      </c>
      <c r="H389" s="1770"/>
      <c r="I389" s="1646"/>
      <c r="J389" s="1681"/>
      <c r="K389" s="1686"/>
      <c r="L389" s="1770" t="s">
        <v>423</v>
      </c>
      <c r="M389" s="267"/>
      <c r="N389" s="260"/>
      <c r="O389" s="1535"/>
      <c r="P389" s="1535"/>
    </row>
    <row r="390" spans="1:16" s="2115" customFormat="1" ht="18.75" hidden="1" customHeight="1">
      <c r="A390" s="1688"/>
      <c r="B390" s="1688"/>
      <c r="C390" s="296" t="s">
        <v>1184</v>
      </c>
      <c r="D390" s="5460"/>
      <c r="E390" s="5268"/>
      <c r="F390" s="5402"/>
      <c r="G390" s="5431"/>
      <c r="H390" s="1409"/>
      <c r="I390" s="571" t="s">
        <v>1183</v>
      </c>
      <c r="J390" s="495"/>
      <c r="K390" s="1409"/>
      <c r="L390" s="135"/>
      <c r="M390" s="267"/>
      <c r="N390" s="260"/>
      <c r="O390" s="1535"/>
      <c r="P390" s="1535"/>
    </row>
    <row r="391" spans="1:16" s="2115" customFormat="1" ht="0.75" hidden="1" customHeight="1">
      <c r="A391" s="1688"/>
      <c r="B391" s="1688"/>
      <c r="C391" s="296" t="s">
        <v>1191</v>
      </c>
      <c r="D391" s="5460"/>
      <c r="E391" s="5268"/>
      <c r="F391" s="5402"/>
      <c r="G391" s="333"/>
      <c r="H391" s="1409"/>
      <c r="I391" s="571"/>
      <c r="J391" s="495"/>
      <c r="K391" s="1409"/>
      <c r="L391" s="135"/>
      <c r="M391" s="267"/>
      <c r="N391" s="260"/>
      <c r="O391" s="1535"/>
      <c r="P391" s="1535"/>
    </row>
    <row r="392" spans="1:16" s="2115" customFormat="1" ht="18.75" hidden="1" customHeight="1">
      <c r="A392" s="1688" t="s">
        <v>382</v>
      </c>
      <c r="B392" s="1688" t="s">
        <v>383</v>
      </c>
      <c r="C392" s="296"/>
      <c r="D392" s="5460"/>
      <c r="E392" s="5268"/>
      <c r="F392" s="5402" t="str">
        <f>INDEX(PT_DIFFERENTIATION_VTAR,MATCH(A392,PT_DIFFERENTIATION_VTAR_ID,0))</f>
        <v>Тариф на водоотведение</v>
      </c>
      <c r="G392" s="5431" t="str">
        <f>INDEX(PT_DIFFERENTIATION_NTAR,MATCH(B392,PT_DIFFERENTIATION_NTAR_ID,0))</f>
        <v/>
      </c>
      <c r="H392" s="1770"/>
      <c r="I392" s="1646"/>
      <c r="J392" s="1681"/>
      <c r="K392" s="1686"/>
      <c r="L392" s="1770" t="s">
        <v>423</v>
      </c>
      <c r="M392" s="267"/>
      <c r="N392" s="260"/>
      <c r="O392" s="1535"/>
      <c r="P392" s="1535"/>
    </row>
    <row r="393" spans="1:16" s="2115" customFormat="1" ht="18.75" hidden="1" customHeight="1">
      <c r="A393" s="1688"/>
      <c r="B393" s="1688"/>
      <c r="C393" s="296" t="s">
        <v>1184</v>
      </c>
      <c r="D393" s="5460"/>
      <c r="E393" s="5268"/>
      <c r="F393" s="5402"/>
      <c r="G393" s="5431"/>
      <c r="H393" s="1409"/>
      <c r="I393" s="571" t="s">
        <v>1183</v>
      </c>
      <c r="J393" s="495"/>
      <c r="K393" s="1409"/>
      <c r="L393" s="135"/>
      <c r="M393" s="267"/>
      <c r="N393" s="260"/>
      <c r="O393" s="1535"/>
      <c r="P393" s="1535"/>
    </row>
    <row r="394" spans="1:16" s="2115" customFormat="1" ht="0.75" hidden="1" customHeight="1">
      <c r="A394" s="1688"/>
      <c r="B394" s="1688"/>
      <c r="C394" s="296" t="s">
        <v>1191</v>
      </c>
      <c r="D394" s="5460"/>
      <c r="E394" s="5268"/>
      <c r="F394" s="5402"/>
      <c r="G394" s="333"/>
      <c r="H394" s="1409"/>
      <c r="I394" s="571"/>
      <c r="J394" s="495"/>
      <c r="K394" s="1409"/>
      <c r="L394" s="135"/>
      <c r="M394" s="267"/>
      <c r="N394" s="260"/>
      <c r="O394" s="1535"/>
      <c r="P394" s="1535"/>
    </row>
    <row r="395" spans="1:16" s="2115" customFormat="1" ht="18.75" hidden="1" customHeight="1">
      <c r="A395" s="1688" t="s">
        <v>387</v>
      </c>
      <c r="B395" s="1688" t="s">
        <v>388</v>
      </c>
      <c r="C395" s="296"/>
      <c r="D395" s="5460"/>
      <c r="E395" s="5268"/>
      <c r="F395" s="5402" t="str">
        <f>INDEX(PT_DIFFERENTIATION_VTAR,MATCH(A395,PT_DIFFERENTIATION_VTAR_ID,0))</f>
        <v>Тариф на транспортировку сточных вод</v>
      </c>
      <c r="G395" s="5431" t="str">
        <f>INDEX(PT_DIFFERENTIATION_NTAR,MATCH(B395,PT_DIFFERENTIATION_NTAR_ID,0))</f>
        <v/>
      </c>
      <c r="H395" s="1770"/>
      <c r="I395" s="1646"/>
      <c r="J395" s="1681"/>
      <c r="K395" s="1686"/>
      <c r="L395" s="1770" t="s">
        <v>423</v>
      </c>
      <c r="M395" s="267"/>
      <c r="N395" s="260"/>
      <c r="O395" s="1535"/>
      <c r="P395" s="1535"/>
    </row>
    <row r="396" spans="1:16" s="2115" customFormat="1" ht="18.75" hidden="1" customHeight="1">
      <c r="A396" s="1688"/>
      <c r="B396" s="1688"/>
      <c r="C396" s="296" t="s">
        <v>1184</v>
      </c>
      <c r="D396" s="5460"/>
      <c r="E396" s="5268"/>
      <c r="F396" s="5402"/>
      <c r="G396" s="5431"/>
      <c r="H396" s="1409"/>
      <c r="I396" s="571" t="s">
        <v>1183</v>
      </c>
      <c r="J396" s="495"/>
      <c r="K396" s="1409"/>
      <c r="L396" s="135"/>
      <c r="M396" s="267"/>
      <c r="N396" s="260"/>
      <c r="O396" s="1535"/>
      <c r="P396" s="1535"/>
    </row>
    <row r="397" spans="1:16" s="2115" customFormat="1" ht="0.75" hidden="1" customHeight="1">
      <c r="A397" s="1688"/>
      <c r="B397" s="1688"/>
      <c r="C397" s="296" t="s">
        <v>1191</v>
      </c>
      <c r="D397" s="5460"/>
      <c r="E397" s="5268"/>
      <c r="F397" s="5402"/>
      <c r="G397" s="333"/>
      <c r="H397" s="1409"/>
      <c r="I397" s="571"/>
      <c r="J397" s="495"/>
      <c r="K397" s="1409"/>
      <c r="L397" s="135"/>
      <c r="M397" s="267"/>
      <c r="N397" s="260"/>
      <c r="O397" s="1535"/>
      <c r="P397" s="1535"/>
    </row>
    <row r="398" spans="1:16" s="2115" customFormat="1" ht="18.75" hidden="1" customHeight="1">
      <c r="A398" s="1688" t="s">
        <v>392</v>
      </c>
      <c r="B398" s="1688" t="s">
        <v>393</v>
      </c>
      <c r="C398" s="296"/>
      <c r="D398" s="5460"/>
      <c r="E398" s="5268"/>
      <c r="F398" s="5402" t="str">
        <f>INDEX(PT_DIFFERENTIATION_VTAR,MATCH(A398,PT_DIFFERENTIATION_VTAR_ID,0))</f>
        <v>Тариф на подключение (технологическое присоединение) к централизованной системе водоотведения</v>
      </c>
      <c r="G398" s="5431" t="str">
        <f>INDEX(PT_DIFFERENTIATION_NTAR,MATCH(B398,PT_DIFFERENTIATION_NTAR_ID,0))</f>
        <v/>
      </c>
      <c r="H398" s="1770"/>
      <c r="I398" s="1646"/>
      <c r="J398" s="1681"/>
      <c r="K398" s="1686"/>
      <c r="L398" s="1770" t="s">
        <v>423</v>
      </c>
      <c r="M398" s="267"/>
      <c r="N398" s="260"/>
      <c r="O398" s="1535"/>
      <c r="P398" s="1535"/>
    </row>
    <row r="399" spans="1:16" s="2115" customFormat="1" ht="18.75" hidden="1" customHeight="1">
      <c r="A399" s="1688"/>
      <c r="B399" s="1688"/>
      <c r="C399" s="296" t="s">
        <v>1184</v>
      </c>
      <c r="D399" s="5460"/>
      <c r="E399" s="5268"/>
      <c r="F399" s="5402"/>
      <c r="G399" s="5431"/>
      <c r="H399" s="1409"/>
      <c r="I399" s="571" t="s">
        <v>1183</v>
      </c>
      <c r="J399" s="495"/>
      <c r="K399" s="1409"/>
      <c r="L399" s="135"/>
      <c r="M399" s="267"/>
      <c r="N399" s="260"/>
      <c r="O399" s="1535"/>
      <c r="P399" s="1535"/>
    </row>
    <row r="400" spans="1:16" s="2115" customFormat="1" ht="0.75" customHeight="1">
      <c r="A400" s="1688"/>
      <c r="B400" s="1688"/>
      <c r="C400" s="296" t="s">
        <v>1191</v>
      </c>
      <c r="D400" s="5460"/>
      <c r="E400" s="5268"/>
      <c r="F400" s="5402"/>
      <c r="G400" s="333"/>
      <c r="H400" s="1409"/>
      <c r="I400" s="571"/>
      <c r="J400" s="495"/>
      <c r="K400" s="1409"/>
      <c r="L400" s="135"/>
      <c r="M400" s="267"/>
      <c r="N400" s="260"/>
      <c r="O400" s="1535"/>
      <c r="P400" s="1535"/>
    </row>
    <row r="401" spans="1:16" ht="25.5" customHeight="1">
      <c r="A401" s="1688"/>
      <c r="B401" s="1688"/>
      <c r="D401" s="304"/>
      <c r="E401" s="71" t="s">
        <v>87</v>
      </c>
      <c r="F401" s="54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401" s="5459"/>
      <c r="H401" s="5459"/>
      <c r="I401" s="5459"/>
      <c r="J401" s="5459"/>
      <c r="K401" s="5459"/>
      <c r="L401" s="5459"/>
      <c r="M401" s="215"/>
      <c r="N401" s="260"/>
    </row>
    <row r="402" spans="1:16" s="2115" customFormat="1" ht="60.75" hidden="1" customHeight="1">
      <c r="A402" s="1688" t="s">
        <v>163</v>
      </c>
      <c r="B402" s="1688" t="s">
        <v>164</v>
      </c>
      <c r="C402" s="296"/>
      <c r="D402" s="5460"/>
      <c r="E402" s="5268"/>
      <c r="F402" s="5402" t="str">
        <f>INDEX(PT_DIFFERENTIATION_VTAR,MATCH(A402,PT_DIFFERENTIATION_VTAR_ID,0))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402" s="5431" t="str">
        <f>INDEX(PT_DIFFERENTIATION_NTAR,MATCH(B402,PT_DIFFERENTIATION_NTAR_ID,0))</f>
        <v>Тарифы на тепловую энергию (мощность) на коллекторах источника тепловой энергии.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402" s="1770"/>
      <c r="I402" s="1646"/>
      <c r="J402" s="1681"/>
      <c r="K402" s="1686"/>
      <c r="L402" s="1770" t="s">
        <v>423</v>
      </c>
      <c r="M402" s="5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402" s="260"/>
      <c r="O402" s="1535"/>
      <c r="P402" s="1535"/>
    </row>
    <row r="403" spans="1:16" s="2115" customFormat="1" ht="18.75" hidden="1" customHeight="1">
      <c r="A403" s="1688"/>
      <c r="B403" s="1688"/>
      <c r="C403" s="296" t="s">
        <v>1184</v>
      </c>
      <c r="D403" s="5460"/>
      <c r="E403" s="5268"/>
      <c r="F403" s="5402"/>
      <c r="G403" s="5431"/>
      <c r="H403" s="1409"/>
      <c r="I403" s="571" t="s">
        <v>1183</v>
      </c>
      <c r="J403" s="495"/>
      <c r="K403" s="1409"/>
      <c r="L403" s="135"/>
      <c r="M403" s="5226"/>
      <c r="N403" s="260"/>
      <c r="O403" s="1535"/>
      <c r="P403" s="1535"/>
    </row>
    <row r="404" spans="1:16" s="2138" customFormat="1" ht="18.75" customHeight="1">
      <c r="A404" s="2299" t="s">
        <v>163</v>
      </c>
      <c r="B404" s="2299" t="s">
        <v>176</v>
      </c>
      <c r="C404" s="4632"/>
      <c r="D404" s="5462"/>
      <c r="E404" s="5461"/>
      <c r="F404" s="5461"/>
      <c r="G404" s="5431" t="str">
        <f>INDEX(PT_DIFFERENTIATION_NTAR,MATCH(B404,PT_DIFFERENTIATION_NTAR_ID,0))</f>
        <v>Тарифы на тепловую энергию, поставляемую потребителям. Для потребителей, подключенных к тепловым сетям ПАО "ТГК-1". Муниципальный  округ город Апатиты с подведомственной территорией Мурманской области</v>
      </c>
      <c r="H404" s="2184"/>
      <c r="I404" s="4633"/>
      <c r="J404" s="4634"/>
      <c r="K404" s="4727"/>
      <c r="L404" s="2184" t="s">
        <v>423</v>
      </c>
      <c r="M404" s="5349"/>
      <c r="N404" s="4636"/>
      <c r="O404" s="2221"/>
      <c r="P404" s="2221"/>
    </row>
    <row r="405" spans="1:16" s="2138" customFormat="1" ht="18.75" customHeight="1">
      <c r="A405" s="2299"/>
      <c r="B405" s="2299"/>
      <c r="C405" s="4632" t="s">
        <v>1184</v>
      </c>
      <c r="D405" s="5462"/>
      <c r="E405" s="5461"/>
      <c r="F405" s="5461"/>
      <c r="G405" s="5431"/>
      <c r="H405" s="4998"/>
      <c r="I405" s="4999" t="s">
        <v>1183</v>
      </c>
      <c r="J405" s="5000"/>
      <c r="K405" s="5001"/>
      <c r="L405" s="5002"/>
      <c r="M405" s="5349"/>
      <c r="N405" s="4636"/>
      <c r="O405" s="2221"/>
      <c r="P405" s="2221"/>
    </row>
    <row r="406" spans="1:16" s="2138" customFormat="1" ht="18.75" customHeight="1">
      <c r="A406" s="2299" t="s">
        <v>163</v>
      </c>
      <c r="B406" s="2299" t="s">
        <v>181</v>
      </c>
      <c r="C406" s="4632"/>
      <c r="D406" s="5462"/>
      <c r="E406" s="5461"/>
      <c r="F406" s="5461"/>
      <c r="G406" s="5431" t="str">
        <f>INDEX(PT_DIFFERENTIATION_NTAR,MATCH(B406,PT_DIFFERENTIATION_NTAR_ID,0))</f>
        <v>Тарифы на тепловую энергию, поставляемую потребителям.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406" s="2184"/>
      <c r="I406" s="4633"/>
      <c r="J406" s="4634"/>
      <c r="K406" s="4727"/>
      <c r="L406" s="2184" t="s">
        <v>423</v>
      </c>
      <c r="M406" s="5349"/>
      <c r="N406" s="4636"/>
      <c r="O406" s="2221"/>
      <c r="P406" s="2221"/>
    </row>
    <row r="407" spans="1:16" s="2138" customFormat="1" ht="18.75" customHeight="1">
      <c r="A407" s="2299"/>
      <c r="B407" s="2299"/>
      <c r="C407" s="4632" t="s">
        <v>1184</v>
      </c>
      <c r="D407" s="5462"/>
      <c r="E407" s="5461"/>
      <c r="F407" s="5461"/>
      <c r="G407" s="5431"/>
      <c r="H407" s="5003"/>
      <c r="I407" s="5004" t="s">
        <v>1183</v>
      </c>
      <c r="J407" s="5005"/>
      <c r="K407" s="5006"/>
      <c r="L407" s="5007"/>
      <c r="M407" s="5349"/>
      <c r="N407" s="4636"/>
      <c r="O407" s="2221"/>
      <c r="P407" s="2221"/>
    </row>
    <row r="408" spans="1:16" s="2138" customFormat="1" ht="18.75" customHeight="1">
      <c r="A408" s="2299" t="s">
        <v>163</v>
      </c>
      <c r="B408" s="2299" t="s">
        <v>186</v>
      </c>
      <c r="C408" s="4632"/>
      <c r="D408" s="5462"/>
      <c r="E408" s="5461"/>
      <c r="F408" s="5461"/>
      <c r="G408" s="5431" t="str">
        <f>INDEX(PT_DIFFERENTIATION_NTAR,MATCH(B408,PT_DIFFERENTIATION_NTAR_ID,0))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408" s="2184"/>
      <c r="I408" s="4633"/>
      <c r="J408" s="4634"/>
      <c r="K408" s="4727"/>
      <c r="L408" s="2184" t="s">
        <v>423</v>
      </c>
      <c r="M408" s="5349"/>
      <c r="N408" s="4636"/>
      <c r="O408" s="2221"/>
      <c r="P408" s="2221"/>
    </row>
    <row r="409" spans="1:16" s="2138" customFormat="1" ht="18.75" customHeight="1">
      <c r="A409" s="2299"/>
      <c r="B409" s="2299"/>
      <c r="C409" s="4632" t="s">
        <v>1184</v>
      </c>
      <c r="D409" s="5462"/>
      <c r="E409" s="5461"/>
      <c r="F409" s="5461"/>
      <c r="G409" s="5431"/>
      <c r="H409" s="5008"/>
      <c r="I409" s="5009" t="s">
        <v>1183</v>
      </c>
      <c r="J409" s="5010"/>
      <c r="K409" s="5011"/>
      <c r="L409" s="5012"/>
      <c r="M409" s="5349"/>
      <c r="N409" s="4636"/>
      <c r="O409" s="2221"/>
      <c r="P409" s="2221"/>
    </row>
    <row r="410" spans="1:16" s="2138" customFormat="1" ht="18.75" customHeight="1">
      <c r="A410" s="2299" t="s">
        <v>163</v>
      </c>
      <c r="B410" s="2299" t="s">
        <v>191</v>
      </c>
      <c r="C410" s="4632"/>
      <c r="D410" s="5462"/>
      <c r="E410" s="5461"/>
      <c r="F410" s="5461"/>
      <c r="G410" s="5431" t="str">
        <f>INDEX(PT_DIFFERENTIATION_NTAR,MATCH(B410,PT_DIFFERENTIATION_NTAR_ID,0))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ПАО "ТГК-1". Муниципальный округ город Апатиты с подведомственной территорией Мурманской области</v>
      </c>
      <c r="H410" s="2184"/>
      <c r="I410" s="4633"/>
      <c r="J410" s="4634"/>
      <c r="K410" s="4727"/>
      <c r="L410" s="2184" t="s">
        <v>423</v>
      </c>
      <c r="M410" s="5349"/>
      <c r="N410" s="4636"/>
      <c r="O410" s="2221"/>
      <c r="P410" s="2221"/>
    </row>
    <row r="411" spans="1:16" s="2138" customFormat="1" ht="18.75" customHeight="1">
      <c r="A411" s="2299"/>
      <c r="B411" s="2299"/>
      <c r="C411" s="4632" t="s">
        <v>1184</v>
      </c>
      <c r="D411" s="5462"/>
      <c r="E411" s="5461"/>
      <c r="F411" s="5461"/>
      <c r="G411" s="5431"/>
      <c r="H411" s="5013"/>
      <c r="I411" s="5014" t="s">
        <v>1183</v>
      </c>
      <c r="J411" s="5015"/>
      <c r="K411" s="5016"/>
      <c r="L411" s="5017"/>
      <c r="M411" s="5349"/>
      <c r="N411" s="4636"/>
      <c r="O411" s="2221"/>
      <c r="P411" s="2221"/>
    </row>
    <row r="412" spans="1:16" s="2138" customFormat="1" ht="18.75" customHeight="1">
      <c r="A412" s="2299" t="s">
        <v>163</v>
      </c>
      <c r="B412" s="2299" t="s">
        <v>196</v>
      </c>
      <c r="C412" s="4632"/>
      <c r="D412" s="5462"/>
      <c r="E412" s="5461"/>
      <c r="F412" s="5461"/>
      <c r="G412" s="5431" t="str">
        <f>INDEX(PT_DIFFERENTIATION_NTAR,MATCH(B412,PT_DIFFERENTIATION_NTAR_ID,0))</f>
        <v>Льготные тарифы на тепловую энергию, поставляемую группе потребителей "потребители (кроме населения)". Для потребителей, подключенных к тепловым сетям АО "Апатитыэнерго". Муниципальный округ город Апатиты с подведомственной территорией Мурманской области</v>
      </c>
      <c r="H412" s="2184"/>
      <c r="I412" s="4633"/>
      <c r="J412" s="4634"/>
      <c r="K412" s="4727"/>
      <c r="L412" s="2184" t="s">
        <v>423</v>
      </c>
      <c r="M412" s="5349"/>
      <c r="N412" s="4636"/>
      <c r="O412" s="2221"/>
      <c r="P412" s="2221"/>
    </row>
    <row r="413" spans="1:16" s="2138" customFormat="1" ht="18.75" customHeight="1">
      <c r="A413" s="2299"/>
      <c r="B413" s="2299"/>
      <c r="C413" s="4632" t="s">
        <v>1184</v>
      </c>
      <c r="D413" s="5462"/>
      <c r="E413" s="5461"/>
      <c r="F413" s="5461"/>
      <c r="G413" s="5431"/>
      <c r="H413" s="5018"/>
      <c r="I413" s="5019" t="s">
        <v>1183</v>
      </c>
      <c r="J413" s="5020"/>
      <c r="K413" s="5021"/>
      <c r="L413" s="5022"/>
      <c r="M413" s="5349"/>
      <c r="N413" s="4636"/>
      <c r="O413" s="2221"/>
      <c r="P413" s="2221"/>
    </row>
    <row r="414" spans="1:16" s="2138" customFormat="1" ht="18.75" customHeight="1">
      <c r="A414" s="2299" t="s">
        <v>163</v>
      </c>
      <c r="B414" s="2299" t="s">
        <v>201</v>
      </c>
      <c r="C414" s="4632"/>
      <c r="D414" s="5462"/>
      <c r="E414" s="5461"/>
      <c r="F414" s="5461"/>
      <c r="G414" s="5431" t="str">
        <f>INDEX(PT_DIFFERENTIATION_NTAR,MATCH(B414,PT_DIFFERENTIATION_NTAR_ID,0))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414" s="2184"/>
      <c r="I414" s="4633"/>
      <c r="J414" s="4634"/>
      <c r="K414" s="4727"/>
      <c r="L414" s="2184" t="s">
        <v>423</v>
      </c>
      <c r="M414" s="5349"/>
      <c r="N414" s="4636"/>
      <c r="O414" s="2221"/>
      <c r="P414" s="2221"/>
    </row>
    <row r="415" spans="1:16" s="2138" customFormat="1" ht="18.75" customHeight="1">
      <c r="A415" s="2299"/>
      <c r="B415" s="2299"/>
      <c r="C415" s="4632" t="s">
        <v>1184</v>
      </c>
      <c r="D415" s="5462"/>
      <c r="E415" s="5461"/>
      <c r="F415" s="5461"/>
      <c r="G415" s="5431"/>
      <c r="H415" s="5023"/>
      <c r="I415" s="5024" t="s">
        <v>1183</v>
      </c>
      <c r="J415" s="5025"/>
      <c r="K415" s="5026"/>
      <c r="L415" s="5027"/>
      <c r="M415" s="5349"/>
      <c r="N415" s="4636"/>
      <c r="O415" s="2221"/>
      <c r="P415" s="2221"/>
    </row>
    <row r="416" spans="1:16" s="2138" customFormat="1" ht="18.75" customHeight="1">
      <c r="A416" s="2299" t="s">
        <v>163</v>
      </c>
      <c r="B416" s="2299" t="s">
        <v>206</v>
      </c>
      <c r="C416" s="4632"/>
      <c r="D416" s="5462"/>
      <c r="E416" s="5461"/>
      <c r="F416" s="5461"/>
      <c r="G416" s="5431" t="str">
        <f>INDEX(PT_DIFFERENTIATION_NTAR,MATCH(B416,PT_DIFFERENTIATION_NTAR_ID,0))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416" s="2184"/>
      <c r="I416" s="4633"/>
      <c r="J416" s="4634"/>
      <c r="K416" s="4727"/>
      <c r="L416" s="2184" t="s">
        <v>423</v>
      </c>
      <c r="M416" s="5349"/>
      <c r="N416" s="4636"/>
      <c r="O416" s="2221"/>
      <c r="P416" s="2221"/>
    </row>
    <row r="417" spans="1:16" s="2138" customFormat="1" ht="18.75" customHeight="1">
      <c r="A417" s="2299"/>
      <c r="B417" s="2299"/>
      <c r="C417" s="4632" t="s">
        <v>1184</v>
      </c>
      <c r="D417" s="5462"/>
      <c r="E417" s="5461"/>
      <c r="F417" s="5461"/>
      <c r="G417" s="5431"/>
      <c r="H417" s="5028"/>
      <c r="I417" s="5029" t="s">
        <v>1183</v>
      </c>
      <c r="J417" s="5030"/>
      <c r="K417" s="5031"/>
      <c r="L417" s="5032"/>
      <c r="M417" s="5349"/>
      <c r="N417" s="4636"/>
      <c r="O417" s="2221"/>
      <c r="P417" s="2221"/>
    </row>
    <row r="418" spans="1:16" s="2138" customFormat="1" ht="18.75" customHeight="1">
      <c r="A418" s="2299" t="s">
        <v>163</v>
      </c>
      <c r="B418" s="2299" t="s">
        <v>211</v>
      </c>
      <c r="C418" s="4632"/>
      <c r="D418" s="5462"/>
      <c r="E418" s="5461"/>
      <c r="F418" s="5461"/>
      <c r="G418" s="5431" t="str">
        <f>INDEX(PT_DIFFERENTIATION_NTAR,MATCH(B418,PT_DIFFERENTIATION_NTAR_ID,0))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Муниципальный округ город Кировск с подведомственной территорией Мурманской области</v>
      </c>
      <c r="H418" s="2184"/>
      <c r="I418" s="4633"/>
      <c r="J418" s="4634"/>
      <c r="K418" s="4727"/>
      <c r="L418" s="2184" t="s">
        <v>423</v>
      </c>
      <c r="M418" s="5349"/>
      <c r="N418" s="4636"/>
      <c r="O418" s="2221"/>
      <c r="P418" s="2221"/>
    </row>
    <row r="419" spans="1:16" s="2138" customFormat="1" ht="18.75" customHeight="1">
      <c r="A419" s="2299"/>
      <c r="B419" s="2299"/>
      <c r="C419" s="4632" t="s">
        <v>1184</v>
      </c>
      <c r="D419" s="5462"/>
      <c r="E419" s="5461"/>
      <c r="F419" s="5461"/>
      <c r="G419" s="5431"/>
      <c r="H419" s="5033"/>
      <c r="I419" s="5034" t="s">
        <v>1183</v>
      </c>
      <c r="J419" s="5035"/>
      <c r="K419" s="5036"/>
      <c r="L419" s="5037"/>
      <c r="M419" s="5349"/>
      <c r="N419" s="4636"/>
      <c r="O419" s="2221"/>
      <c r="P419" s="2221"/>
    </row>
    <row r="420" spans="1:16" s="2115" customFormat="1" ht="0.75" hidden="1" customHeight="1">
      <c r="A420" s="1688"/>
      <c r="B420" s="1688"/>
      <c r="C420" s="296" t="s">
        <v>1191</v>
      </c>
      <c r="D420" s="5460"/>
      <c r="E420" s="5268"/>
      <c r="F420" s="5402"/>
      <c r="G420" s="333"/>
      <c r="H420" s="1409"/>
      <c r="I420" s="571"/>
      <c r="J420" s="495"/>
      <c r="K420" s="1409"/>
      <c r="L420" s="135"/>
      <c r="M420" s="5226"/>
      <c r="N420" s="260"/>
      <c r="O420" s="1535"/>
      <c r="P420" s="1535"/>
    </row>
    <row r="421" spans="1:16" s="2115" customFormat="1" ht="45" hidden="1" customHeight="1">
      <c r="A421" s="1688" t="s">
        <v>219</v>
      </c>
      <c r="B421" s="1688" t="s">
        <v>220</v>
      </c>
      <c r="C421" s="296"/>
      <c r="D421" s="5460"/>
      <c r="E421" s="5268"/>
      <c r="F421" s="5402" t="str">
        <f>INDEX(PT_DIFFERENTIATION_VTAR,MATCH(A421,PT_DIFFERENTIATION_VTAR_ID,0))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21" s="5431" t="str">
        <f>INDEX(PT_DIFFERENTIATION_NTAR,MATCH(B421,PT_DIFFERENTIATION_NTAR_ID,0))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Муниципальный округ город Кировск с подведомственной территорией Мурманской области</v>
      </c>
      <c r="H421" s="1770"/>
      <c r="I421" s="1646"/>
      <c r="J421" s="1681"/>
      <c r="K421" s="1686"/>
      <c r="L421" s="1770" t="s">
        <v>423</v>
      </c>
      <c r="M421" s="5227"/>
      <c r="N421" s="260"/>
      <c r="O421" s="1535"/>
      <c r="P421" s="1535"/>
    </row>
    <row r="422" spans="1:16" s="2115" customFormat="1" ht="18.75" hidden="1" customHeight="1">
      <c r="A422" s="1688"/>
      <c r="B422" s="1688"/>
      <c r="C422" s="296" t="s">
        <v>1184</v>
      </c>
      <c r="D422" s="5460"/>
      <c r="E422" s="5268"/>
      <c r="F422" s="5402"/>
      <c r="G422" s="5431"/>
      <c r="H422" s="1409"/>
      <c r="I422" s="571" t="s">
        <v>1183</v>
      </c>
      <c r="J422" s="495"/>
      <c r="K422" s="1409"/>
      <c r="L422" s="135"/>
      <c r="M422" s="1769"/>
      <c r="N422" s="260"/>
      <c r="O422" s="1535"/>
      <c r="P422" s="1535"/>
    </row>
    <row r="423" spans="1:16" s="2138" customFormat="1" ht="18.75" customHeight="1">
      <c r="A423" s="2299" t="s">
        <v>219</v>
      </c>
      <c r="B423" s="2299" t="s">
        <v>225</v>
      </c>
      <c r="C423" s="4632"/>
      <c r="D423" s="5462"/>
      <c r="E423" s="5461"/>
      <c r="F423" s="5461"/>
      <c r="G423" s="5431" t="str">
        <f>INDEX(PT_DIFFERENTIATION_NTAR,MATCH(B423,PT_DIFFERENTIATION_NTAR_ID,0))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Для теплоснабжающих, теплосетевых организаций, приобретающих тепловую энергию на коллекторах источника тепловой энергии (Апатитская ТЭЦ). Для теплоснабжающих, теплосетевых организаций, присоединенных к сетям ПАО "ТГК-1". Ммуниципальный округ город Апатиты с подведомственной территорией Мурманской области</v>
      </c>
      <c r="H423" s="2184"/>
      <c r="I423" s="4633"/>
      <c r="J423" s="4634"/>
      <c r="K423" s="4727"/>
      <c r="L423" s="2184" t="s">
        <v>423</v>
      </c>
      <c r="M423" s="4056"/>
      <c r="N423" s="4636"/>
      <c r="O423" s="2221"/>
      <c r="P423" s="2221"/>
    </row>
    <row r="424" spans="1:16" s="2138" customFormat="1" ht="18.75" customHeight="1">
      <c r="A424" s="2299"/>
      <c r="B424" s="2299"/>
      <c r="C424" s="4632" t="s">
        <v>1184</v>
      </c>
      <c r="D424" s="5462"/>
      <c r="E424" s="5461"/>
      <c r="F424" s="5461"/>
      <c r="G424" s="5431"/>
      <c r="H424" s="5038"/>
      <c r="I424" s="5039" t="s">
        <v>1183</v>
      </c>
      <c r="J424" s="5040"/>
      <c r="K424" s="5041"/>
      <c r="L424" s="5042"/>
      <c r="M424" s="4056"/>
      <c r="N424" s="4636"/>
      <c r="O424" s="2221"/>
      <c r="P424" s="2221"/>
    </row>
    <row r="425" spans="1:16" s="2138" customFormat="1" ht="18.75" customHeight="1">
      <c r="A425" s="2299" t="s">
        <v>219</v>
      </c>
      <c r="B425" s="2299" t="s">
        <v>232</v>
      </c>
      <c r="C425" s="4632"/>
      <c r="D425" s="5462"/>
      <c r="E425" s="5461"/>
      <c r="F425" s="5461"/>
      <c r="G425" s="5431" t="str">
        <f>INDEX(PT_DIFFERENTIATION_NTAR,MATCH(B425,PT_DIFFERENTIATION_NTAR_ID,0))</f>
        <v>Тарифы на тепловую энергию, поставляемую потребителям.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425" s="2184"/>
      <c r="I425" s="4633"/>
      <c r="J425" s="4634"/>
      <c r="K425" s="4727"/>
      <c r="L425" s="2184" t="s">
        <v>423</v>
      </c>
      <c r="M425" s="4056"/>
      <c r="N425" s="4636"/>
      <c r="O425" s="2221"/>
      <c r="P425" s="2221"/>
    </row>
    <row r="426" spans="1:16" s="2138" customFormat="1" ht="18.75" customHeight="1">
      <c r="A426" s="2299"/>
      <c r="B426" s="2299"/>
      <c r="C426" s="4632" t="s">
        <v>1184</v>
      </c>
      <c r="D426" s="5462"/>
      <c r="E426" s="5461"/>
      <c r="F426" s="5461"/>
      <c r="G426" s="5431"/>
      <c r="H426" s="5043"/>
      <c r="I426" s="5044" t="s">
        <v>1183</v>
      </c>
      <c r="J426" s="5045"/>
      <c r="K426" s="5046"/>
      <c r="L426" s="5047"/>
      <c r="M426" s="4056"/>
      <c r="N426" s="4636"/>
      <c r="O426" s="2221"/>
      <c r="P426" s="2221"/>
    </row>
    <row r="427" spans="1:16" s="2138" customFormat="1" ht="18.75" customHeight="1">
      <c r="A427" s="2299" t="s">
        <v>219</v>
      </c>
      <c r="B427" s="2299" t="s">
        <v>237</v>
      </c>
      <c r="C427" s="4632"/>
      <c r="D427" s="5462"/>
      <c r="E427" s="5461"/>
      <c r="F427" s="5461"/>
      <c r="G427" s="5431" t="str">
        <f>INDEX(PT_DIFFERENTIATION_NTAR,MATCH(B427,PT_DIFFERENTIATION_NTAR_ID,0))</f>
        <v>Льготные тарифы на тепловую энергию, поставляемую группе потребителей "население".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427" s="2184"/>
      <c r="I427" s="4633"/>
      <c r="J427" s="4634"/>
      <c r="K427" s="4727"/>
      <c r="L427" s="2184" t="s">
        <v>423</v>
      </c>
      <c r="M427" s="4056"/>
      <c r="N427" s="4636"/>
      <c r="O427" s="2221"/>
      <c r="P427" s="2221"/>
    </row>
    <row r="428" spans="1:16" s="2138" customFormat="1" ht="18.75" customHeight="1">
      <c r="A428" s="2299"/>
      <c r="B428" s="2299"/>
      <c r="C428" s="4632" t="s">
        <v>1184</v>
      </c>
      <c r="D428" s="5462"/>
      <c r="E428" s="5461"/>
      <c r="F428" s="5461"/>
      <c r="G428" s="5431"/>
      <c r="H428" s="5048"/>
      <c r="I428" s="5049" t="s">
        <v>1183</v>
      </c>
      <c r="J428" s="5050"/>
      <c r="K428" s="5051"/>
      <c r="L428" s="5052"/>
      <c r="M428" s="4056"/>
      <c r="N428" s="4636"/>
      <c r="O428" s="2221"/>
      <c r="P428" s="2221"/>
    </row>
    <row r="429" spans="1:16" s="2138" customFormat="1" ht="18.75" customHeight="1">
      <c r="A429" s="2299" t="s">
        <v>219</v>
      </c>
      <c r="B429" s="2299" t="s">
        <v>242</v>
      </c>
      <c r="C429" s="4632"/>
      <c r="D429" s="5462"/>
      <c r="E429" s="5461"/>
      <c r="F429" s="5461"/>
      <c r="G429" s="5431" t="str">
        <f>INDEX(PT_DIFFERENTIATION_NTAR,MATCH(B429,PT_DIFFERENTIATION_NTAR_ID,0))</f>
        <v>Льготные тарифы на тепловую энергию, поставляемую группе потребителей "потребители (кроме населения)". Для потребителей, в случае отсутствия дифференциации тарифов по схеме подключения. Населенный пункт Раякоски Печенгского муниципального округа Мурманской области</v>
      </c>
      <c r="H429" s="2184"/>
      <c r="I429" s="4633"/>
      <c r="J429" s="4634"/>
      <c r="K429" s="4727"/>
      <c r="L429" s="2184" t="s">
        <v>423</v>
      </c>
      <c r="M429" s="4056"/>
      <c r="N429" s="4636"/>
      <c r="O429" s="2221"/>
      <c r="P429" s="2221"/>
    </row>
    <row r="430" spans="1:16" s="2138" customFormat="1" ht="18.75" customHeight="1">
      <c r="A430" s="2299"/>
      <c r="B430" s="2299"/>
      <c r="C430" s="4632" t="s">
        <v>1184</v>
      </c>
      <c r="D430" s="5462"/>
      <c r="E430" s="5461"/>
      <c r="F430" s="5461"/>
      <c r="G430" s="5431"/>
      <c r="H430" s="5053"/>
      <c r="I430" s="5054" t="s">
        <v>1183</v>
      </c>
      <c r="J430" s="5055"/>
      <c r="K430" s="5056"/>
      <c r="L430" s="5057"/>
      <c r="M430" s="4056"/>
      <c r="N430" s="4636"/>
      <c r="O430" s="2221"/>
      <c r="P430" s="2221"/>
    </row>
    <row r="431" spans="1:16" s="2115" customFormat="1" ht="0.75" hidden="1" customHeight="1">
      <c r="A431" s="1688"/>
      <c r="B431" s="1688"/>
      <c r="C431" s="296" t="s">
        <v>1191</v>
      </c>
      <c r="D431" s="5460"/>
      <c r="E431" s="5268"/>
      <c r="F431" s="5402"/>
      <c r="G431" s="333"/>
      <c r="H431" s="1409"/>
      <c r="I431" s="571"/>
      <c r="J431" s="495"/>
      <c r="K431" s="1409"/>
      <c r="L431" s="135"/>
      <c r="M431" s="267"/>
      <c r="N431" s="260"/>
      <c r="O431" s="1535"/>
      <c r="P431" s="1535"/>
    </row>
    <row r="432" spans="1:16" s="2115" customFormat="1" ht="45" hidden="1" customHeight="1">
      <c r="A432" s="1688" t="s">
        <v>249</v>
      </c>
      <c r="B432" s="1688" t="s">
        <v>250</v>
      </c>
      <c r="C432" s="296"/>
      <c r="D432" s="5460"/>
      <c r="E432" s="5268"/>
      <c r="F432" s="5402" t="str">
        <f>INDEX(PT_DIFFERENTIATION_VTAR,MATCH(A432,PT_DIFFERENTIATION_VTAR_ID,0))</f>
        <v>Тарифы на теплоноситель, поставляемый теплоснабжающими организациями потребителям, другим теплоснабжающим организациям</v>
      </c>
      <c r="G432" s="5431" t="str">
        <f>INDEX(PT_DIFFERENTIATION_NTAR,MATCH(B432,PT_DIFFERENTIATION_NTAR_ID,0))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432" s="1770"/>
      <c r="I432" s="1646"/>
      <c r="J432" s="1681"/>
      <c r="K432" s="1686"/>
      <c r="L432" s="1770" t="s">
        <v>423</v>
      </c>
      <c r="M432" s="267"/>
      <c r="N432" s="260"/>
      <c r="O432" s="1535"/>
      <c r="P432" s="1535"/>
    </row>
    <row r="433" spans="1:16" s="2115" customFormat="1" ht="18.75" hidden="1" customHeight="1">
      <c r="A433" s="1688"/>
      <c r="B433" s="1688"/>
      <c r="C433" s="296" t="s">
        <v>1184</v>
      </c>
      <c r="D433" s="5460"/>
      <c r="E433" s="5268"/>
      <c r="F433" s="5402"/>
      <c r="G433" s="5431"/>
      <c r="H433" s="1409"/>
      <c r="I433" s="571" t="s">
        <v>1183</v>
      </c>
      <c r="J433" s="495"/>
      <c r="K433" s="1409"/>
      <c r="L433" s="135"/>
      <c r="M433" s="267"/>
      <c r="N433" s="260"/>
      <c r="O433" s="1535"/>
      <c r="P433" s="1535"/>
    </row>
    <row r="434" spans="1:16" s="2138" customFormat="1" ht="18.75" customHeight="1">
      <c r="A434" s="2299" t="s">
        <v>249</v>
      </c>
      <c r="B434" s="2299" t="s">
        <v>259</v>
      </c>
      <c r="C434" s="4632"/>
      <c r="D434" s="5462"/>
      <c r="E434" s="5461"/>
      <c r="F434" s="5461"/>
      <c r="G434" s="5431" t="str">
        <f>INDEX(PT_DIFFERENTIATION_NTAR,MATCH(B434,PT_DIFFERENTIATION_NTAR_ID,0))</f>
        <v>Тарифы на теплоноситель, поставляемый группе потребителей "население".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H434" s="2184"/>
      <c r="I434" s="4633"/>
      <c r="J434" s="4634"/>
      <c r="K434" s="4727"/>
      <c r="L434" s="2184" t="s">
        <v>423</v>
      </c>
      <c r="M434" s="4056"/>
      <c r="N434" s="4636"/>
      <c r="O434" s="2221"/>
      <c r="P434" s="2221"/>
    </row>
    <row r="435" spans="1:16" s="2138" customFormat="1" ht="18.75" customHeight="1">
      <c r="A435" s="2299"/>
      <c r="B435" s="2299"/>
      <c r="C435" s="4632" t="s">
        <v>1184</v>
      </c>
      <c r="D435" s="5462"/>
      <c r="E435" s="5461"/>
      <c r="F435" s="5461"/>
      <c r="G435" s="5431"/>
      <c r="H435" s="5058"/>
      <c r="I435" s="5059" t="s">
        <v>1183</v>
      </c>
      <c r="J435" s="5060"/>
      <c r="K435" s="5061"/>
      <c r="L435" s="5062"/>
      <c r="M435" s="4056"/>
      <c r="N435" s="4636"/>
      <c r="O435" s="2221"/>
      <c r="P435" s="2221"/>
    </row>
    <row r="436" spans="1:16" s="2115" customFormat="1" ht="0.75" hidden="1" customHeight="1">
      <c r="A436" s="1688"/>
      <c r="B436" s="1688"/>
      <c r="C436" s="296" t="s">
        <v>1191</v>
      </c>
      <c r="D436" s="5460"/>
      <c r="E436" s="5268"/>
      <c r="F436" s="5402"/>
      <c r="G436" s="333"/>
      <c r="H436" s="1409"/>
      <c r="I436" s="571"/>
      <c r="J436" s="495"/>
      <c r="K436" s="1409"/>
      <c r="L436" s="135"/>
      <c r="M436" s="267"/>
      <c r="N436" s="260"/>
      <c r="O436" s="1535"/>
      <c r="P436" s="1535"/>
    </row>
    <row r="437" spans="1:16" s="2115" customFormat="1" ht="45" hidden="1" customHeight="1">
      <c r="A437" s="1688" t="s">
        <v>269</v>
      </c>
      <c r="B437" s="1688" t="s">
        <v>270</v>
      </c>
      <c r="C437" s="296"/>
      <c r="D437" s="5460"/>
      <c r="E437" s="5268"/>
      <c r="F437" s="5402" t="str">
        <f>INDEX(PT_DIFFERENTIATION_VTAR,MATCH(A437,PT_DIFFERENTIATION_VTAR_ID,0))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37" s="5431" t="str">
        <f>INDEX(PT_DIFFERENTIATION_NTAR,MATCH(B437,PT_DIFFERENTIATION_NTAR_ID,0))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на коллекторах источника тепловой энергии Апатитская ТЭЦ</v>
      </c>
      <c r="H437" s="1770"/>
      <c r="I437" s="1646"/>
      <c r="J437" s="1681"/>
      <c r="K437" s="1686"/>
      <c r="L437" s="1770" t="s">
        <v>423</v>
      </c>
      <c r="M437" s="267"/>
      <c r="N437" s="260"/>
      <c r="O437" s="1535"/>
      <c r="P437" s="1535"/>
    </row>
    <row r="438" spans="1:16" s="2115" customFormat="1" ht="18.75" hidden="1" customHeight="1">
      <c r="A438" s="1688"/>
      <c r="B438" s="1688"/>
      <c r="C438" s="296" t="s">
        <v>1184</v>
      </c>
      <c r="D438" s="5460"/>
      <c r="E438" s="5268"/>
      <c r="F438" s="5402"/>
      <c r="G438" s="5431"/>
      <c r="H438" s="1409"/>
      <c r="I438" s="571" t="s">
        <v>1183</v>
      </c>
      <c r="J438" s="495"/>
      <c r="K438" s="1409"/>
      <c r="L438" s="135"/>
      <c r="M438" s="267"/>
      <c r="N438" s="260"/>
      <c r="O438" s="1535"/>
      <c r="P438" s="1535"/>
    </row>
    <row r="439" spans="1:16" s="2138" customFormat="1" ht="18.75" customHeight="1">
      <c r="A439" s="2299" t="s">
        <v>269</v>
      </c>
      <c r="B439" s="2299" t="s">
        <v>275</v>
      </c>
      <c r="C439" s="4632"/>
      <c r="D439" s="5462"/>
      <c r="E439" s="5461"/>
      <c r="F439" s="5461"/>
      <c r="G439" s="5431" t="str">
        <f>INDEX(PT_DIFFERENTIATION_NTAR,MATCH(B439,PT_DIFFERENTIATION_NTAR_ID,0))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ПАО "ТГК-1"</v>
      </c>
      <c r="H439" s="2184"/>
      <c r="I439" s="4633"/>
      <c r="J439" s="4634"/>
      <c r="K439" s="4727"/>
      <c r="L439" s="2184" t="s">
        <v>423</v>
      </c>
      <c r="M439" s="4056"/>
      <c r="N439" s="4636"/>
      <c r="O439" s="2221"/>
      <c r="P439" s="2221"/>
    </row>
    <row r="440" spans="1:16" s="2138" customFormat="1" ht="18.75" customHeight="1">
      <c r="A440" s="2299"/>
      <c r="B440" s="2299"/>
      <c r="C440" s="4632" t="s">
        <v>1184</v>
      </c>
      <c r="D440" s="5462"/>
      <c r="E440" s="5461"/>
      <c r="F440" s="5461"/>
      <c r="G440" s="5431"/>
      <c r="H440" s="5063"/>
      <c r="I440" s="5064" t="s">
        <v>1183</v>
      </c>
      <c r="J440" s="5065"/>
      <c r="K440" s="5066"/>
      <c r="L440" s="5067"/>
      <c r="M440" s="4056"/>
      <c r="N440" s="4636"/>
      <c r="O440" s="2221"/>
      <c r="P440" s="2221"/>
    </row>
    <row r="441" spans="1:16" s="2138" customFormat="1" ht="18.75" customHeight="1">
      <c r="A441" s="2299" t="s">
        <v>269</v>
      </c>
      <c r="B441" s="2299" t="s">
        <v>280</v>
      </c>
      <c r="C441" s="4632"/>
      <c r="D441" s="5462"/>
      <c r="E441" s="5461"/>
      <c r="F441" s="5461"/>
      <c r="G441" s="5431" t="str">
        <f>INDEX(PT_DIFFERENTIATION_NTAR,MATCH(B441,PT_DIFFERENTIATION_NTAR_ID,0))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Апатиты с подведомственной территорией Мурманской области. Для потребителей, подключенных к тепловым сетям АО "Апатитыэнерго"</v>
      </c>
      <c r="H441" s="2184"/>
      <c r="I441" s="4633"/>
      <c r="J441" s="4634"/>
      <c r="K441" s="4727"/>
      <c r="L441" s="2184" t="s">
        <v>423</v>
      </c>
      <c r="M441" s="4056"/>
      <c r="N441" s="4636"/>
      <c r="O441" s="2221"/>
      <c r="P441" s="2221"/>
    </row>
    <row r="442" spans="1:16" s="2138" customFormat="1" ht="18.75" customHeight="1">
      <c r="A442" s="2299"/>
      <c r="B442" s="2299"/>
      <c r="C442" s="4632" t="s">
        <v>1184</v>
      </c>
      <c r="D442" s="5462"/>
      <c r="E442" s="5461"/>
      <c r="F442" s="5461"/>
      <c r="G442" s="5431"/>
      <c r="H442" s="5068"/>
      <c r="I442" s="5069" t="s">
        <v>1183</v>
      </c>
      <c r="J442" s="5070"/>
      <c r="K442" s="5071"/>
      <c r="L442" s="5072"/>
      <c r="M442" s="4056"/>
      <c r="N442" s="4636"/>
      <c r="O442" s="2221"/>
      <c r="P442" s="2221"/>
    </row>
    <row r="443" spans="1:16" s="2138" customFormat="1" ht="18.75" customHeight="1">
      <c r="A443" s="2299" t="s">
        <v>269</v>
      </c>
      <c r="B443" s="2299" t="s">
        <v>285</v>
      </c>
      <c r="C443" s="4632"/>
      <c r="D443" s="5462"/>
      <c r="E443" s="5461"/>
      <c r="F443" s="5461"/>
      <c r="G443" s="5431" t="str">
        <f>INDEX(PT_DIFFERENTIATION_NTAR,MATCH(B443,PT_DIFFERENTIATION_NTAR_ID,0))</f>
        <v>Тарифы на горячую воду в открытых системах теплоснабжения (горячее водоснабжение), поставляемую потребителям. Муниципальный округ город Кировск с подведомственной территорией Мурманской области. Для потребителей в случае отсутствия дифференциации тарифов по схеме подключения</v>
      </c>
      <c r="H443" s="2184"/>
      <c r="I443" s="4633"/>
      <c r="J443" s="4634"/>
      <c r="K443" s="4727"/>
      <c r="L443" s="2184" t="s">
        <v>423</v>
      </c>
      <c r="M443" s="4056"/>
      <c r="N443" s="4636"/>
      <c r="O443" s="2221"/>
      <c r="P443" s="2221"/>
    </row>
    <row r="444" spans="1:16" s="2138" customFormat="1" ht="18.75" customHeight="1">
      <c r="A444" s="2299"/>
      <c r="B444" s="2299"/>
      <c r="C444" s="4632" t="s">
        <v>1184</v>
      </c>
      <c r="D444" s="5462"/>
      <c r="E444" s="5461"/>
      <c r="F444" s="5461"/>
      <c r="G444" s="5431"/>
      <c r="H444" s="5073"/>
      <c r="I444" s="5074" t="s">
        <v>1183</v>
      </c>
      <c r="J444" s="5075"/>
      <c r="K444" s="5076"/>
      <c r="L444" s="5077"/>
      <c r="M444" s="4056"/>
      <c r="N444" s="4636"/>
      <c r="O444" s="2221"/>
      <c r="P444" s="2221"/>
    </row>
    <row r="445" spans="1:16" s="2138" customFormat="1" ht="18.75" customHeight="1">
      <c r="A445" s="2299" t="s">
        <v>269</v>
      </c>
      <c r="B445" s="2299" t="s">
        <v>290</v>
      </c>
      <c r="C445" s="4632"/>
      <c r="D445" s="5462"/>
      <c r="E445" s="5461"/>
      <c r="F445" s="5461"/>
      <c r="G445" s="5431" t="str">
        <f>INDEX(PT_DIFFERENTIATION_NTAR,MATCH(B445,PT_DIFFERENTIATION_NTAR_ID,0))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Апатиты с подведомственной территорией Мурманской области.</v>
      </c>
      <c r="H445" s="2184"/>
      <c r="I445" s="4633"/>
      <c r="J445" s="4634"/>
      <c r="K445" s="4727"/>
      <c r="L445" s="2184" t="s">
        <v>423</v>
      </c>
      <c r="M445" s="4056"/>
      <c r="N445" s="4636"/>
      <c r="O445" s="2221"/>
      <c r="P445" s="2221"/>
    </row>
    <row r="446" spans="1:16" s="2138" customFormat="1" ht="18.75" customHeight="1">
      <c r="A446" s="2299"/>
      <c r="B446" s="2299"/>
      <c r="C446" s="4632" t="s">
        <v>1184</v>
      </c>
      <c r="D446" s="5462"/>
      <c r="E446" s="5461"/>
      <c r="F446" s="5461"/>
      <c r="G446" s="5431"/>
      <c r="H446" s="5078"/>
      <c r="I446" s="5079" t="s">
        <v>1183</v>
      </c>
      <c r="J446" s="5080"/>
      <c r="K446" s="5081"/>
      <c r="L446" s="5082"/>
      <c r="M446" s="4056"/>
      <c r="N446" s="4636"/>
      <c r="O446" s="2221"/>
      <c r="P446" s="2221"/>
    </row>
    <row r="447" spans="1:16" s="2138" customFormat="1" ht="18.75" customHeight="1">
      <c r="A447" s="2299" t="s">
        <v>269</v>
      </c>
      <c r="B447" s="2299" t="s">
        <v>295</v>
      </c>
      <c r="C447" s="4632"/>
      <c r="D447" s="5462"/>
      <c r="E447" s="5461"/>
      <c r="F447" s="5461"/>
      <c r="G447" s="5431" t="str">
        <f>INDEX(PT_DIFFERENTIATION_NTAR,MATCH(B447,PT_DIFFERENTIATION_NTAR_ID,0))</f>
        <v>Тарифы на горячую воду в открытых системах теплоснабжения (горячее водоснабжение), поставляемую группе потребителей "население". Муниципальный округ город Кировск с подведомственной территорией Мурманской области.</v>
      </c>
      <c r="H447" s="2184"/>
      <c r="I447" s="4633"/>
      <c r="J447" s="4634"/>
      <c r="K447" s="4727"/>
      <c r="L447" s="2184" t="s">
        <v>423</v>
      </c>
      <c r="M447" s="4056"/>
      <c r="N447" s="4636"/>
      <c r="O447" s="2221"/>
      <c r="P447" s="2221"/>
    </row>
    <row r="448" spans="1:16" s="2138" customFormat="1" ht="18.75" customHeight="1">
      <c r="A448" s="2299"/>
      <c r="B448" s="2299"/>
      <c r="C448" s="4632" t="s">
        <v>1184</v>
      </c>
      <c r="D448" s="5462"/>
      <c r="E448" s="5461"/>
      <c r="F448" s="5461"/>
      <c r="G448" s="5431"/>
      <c r="H448" s="5083"/>
      <c r="I448" s="5084" t="s">
        <v>1183</v>
      </c>
      <c r="J448" s="5085"/>
      <c r="K448" s="5086"/>
      <c r="L448" s="5087"/>
      <c r="M448" s="4056"/>
      <c r="N448" s="4636"/>
      <c r="O448" s="2221"/>
      <c r="P448" s="2221"/>
    </row>
    <row r="449" spans="1:16" s="2115" customFormat="1" ht="0.75" hidden="1" customHeight="1">
      <c r="A449" s="1688"/>
      <c r="B449" s="1688"/>
      <c r="C449" s="296" t="s">
        <v>1191</v>
      </c>
      <c r="D449" s="5460"/>
      <c r="E449" s="5268"/>
      <c r="F449" s="5402"/>
      <c r="G449" s="333"/>
      <c r="H449" s="1409"/>
      <c r="I449" s="571"/>
      <c r="J449" s="495"/>
      <c r="K449" s="1409"/>
      <c r="L449" s="135"/>
      <c r="M449" s="267"/>
      <c r="N449" s="260"/>
      <c r="O449" s="1535"/>
      <c r="P449" s="1535"/>
    </row>
    <row r="450" spans="1:16" s="2115" customFormat="1" ht="18.75" hidden="1" customHeight="1">
      <c r="A450" s="1688" t="s">
        <v>302</v>
      </c>
      <c r="B450" s="1688" t="s">
        <v>303</v>
      </c>
      <c r="C450" s="296"/>
      <c r="D450" s="5460"/>
      <c r="E450" s="5268"/>
      <c r="F450" s="5402" t="str">
        <f>INDEX(PT_DIFFERENTIATION_VTAR,MATCH(A450,PT_DIFFERENTIATION_VTAR_ID,0))</f>
        <v>Тарифы на услуги по передаче тепловой энергии</v>
      </c>
      <c r="G450" s="5431" t="str">
        <f>INDEX(PT_DIFFERENTIATION_NTAR,MATCH(B450,PT_DIFFERENTIATION_NTAR_ID,0))</f>
        <v>Тариф на услуги по передаче тепловой энергии (по сетям ПАО "ТГК-1"). Для потребителей, в случае отсутствия дифференциации тарифов по схеме подключения. Муниципальный округ город Апатиты с подведомственной территорией Мурманской области</v>
      </c>
      <c r="H450" s="1770"/>
      <c r="I450" s="1646"/>
      <c r="J450" s="1681"/>
      <c r="K450" s="1686"/>
      <c r="L450" s="1770" t="s">
        <v>423</v>
      </c>
      <c r="M450" s="267"/>
      <c r="N450" s="260"/>
      <c r="O450" s="1535"/>
      <c r="P450" s="1535"/>
    </row>
    <row r="451" spans="1:16" s="2115" customFormat="1" ht="18.75" hidden="1" customHeight="1">
      <c r="A451" s="1688"/>
      <c r="B451" s="1688"/>
      <c r="C451" s="296" t="s">
        <v>1184</v>
      </c>
      <c r="D451" s="5460"/>
      <c r="E451" s="5268"/>
      <c r="F451" s="5402"/>
      <c r="G451" s="5431"/>
      <c r="H451" s="1409"/>
      <c r="I451" s="571" t="s">
        <v>1183</v>
      </c>
      <c r="J451" s="495"/>
      <c r="K451" s="1409"/>
      <c r="L451" s="135"/>
      <c r="M451" s="267"/>
      <c r="N451" s="260"/>
      <c r="O451" s="1535"/>
      <c r="P451" s="1535"/>
    </row>
    <row r="452" spans="1:16" s="2115" customFormat="1" ht="0.75" hidden="1" customHeight="1">
      <c r="A452" s="1688"/>
      <c r="B452" s="1688"/>
      <c r="C452" s="296" t="s">
        <v>1191</v>
      </c>
      <c r="D452" s="5460"/>
      <c r="E452" s="5268"/>
      <c r="F452" s="5402"/>
      <c r="G452" s="333"/>
      <c r="H452" s="1409"/>
      <c r="I452" s="571"/>
      <c r="J452" s="495"/>
      <c r="K452" s="1409"/>
      <c r="L452" s="135"/>
      <c r="M452" s="267"/>
      <c r="N452" s="260"/>
      <c r="O452" s="1535"/>
      <c r="P452" s="1535"/>
    </row>
    <row r="453" spans="1:16" s="2115" customFormat="1" ht="18.75" hidden="1" customHeight="1">
      <c r="A453" s="1688" t="s">
        <v>308</v>
      </c>
      <c r="B453" s="1688" t="s">
        <v>309</v>
      </c>
      <c r="C453" s="296"/>
      <c r="D453" s="5460"/>
      <c r="E453" s="5268"/>
      <c r="F453" s="5402" t="str">
        <f>INDEX(PT_DIFFERENTIATION_VTAR,MATCH(A453,PT_DIFFERENTIATION_VTAR_ID,0))</f>
        <v>Тарифы на услуги по передаче теплоносителя</v>
      </c>
      <c r="G453" s="5431" t="str">
        <f>INDEX(PT_DIFFERENTIATION_NTAR,MATCH(B453,PT_DIFFERENTIATION_NTAR_ID,0))</f>
        <v/>
      </c>
      <c r="H453" s="1770"/>
      <c r="I453" s="1646"/>
      <c r="J453" s="1681"/>
      <c r="K453" s="1686"/>
      <c r="L453" s="1770" t="s">
        <v>423</v>
      </c>
      <c r="M453" s="267"/>
      <c r="N453" s="260"/>
      <c r="O453" s="1535"/>
      <c r="P453" s="1535"/>
    </row>
    <row r="454" spans="1:16" s="2115" customFormat="1" ht="18.75" hidden="1" customHeight="1">
      <c r="A454" s="1688"/>
      <c r="B454" s="1688"/>
      <c r="C454" s="296" t="s">
        <v>1184</v>
      </c>
      <c r="D454" s="5460"/>
      <c r="E454" s="5268"/>
      <c r="F454" s="5402"/>
      <c r="G454" s="5431"/>
      <c r="H454" s="1409"/>
      <c r="I454" s="571" t="s">
        <v>1183</v>
      </c>
      <c r="J454" s="495"/>
      <c r="K454" s="1409"/>
      <c r="L454" s="135"/>
      <c r="M454" s="267"/>
      <c r="N454" s="260"/>
      <c r="O454" s="1535"/>
      <c r="P454" s="1535"/>
    </row>
    <row r="455" spans="1:16" s="2115" customFormat="1" ht="0.75" hidden="1" customHeight="1">
      <c r="A455" s="1688"/>
      <c r="B455" s="1688"/>
      <c r="C455" s="296" t="s">
        <v>1191</v>
      </c>
      <c r="D455" s="5460"/>
      <c r="E455" s="5268"/>
      <c r="F455" s="5402"/>
      <c r="G455" s="333"/>
      <c r="H455" s="1409"/>
      <c r="I455" s="571"/>
      <c r="J455" s="495"/>
      <c r="K455" s="1409"/>
      <c r="L455" s="135"/>
      <c r="M455" s="267"/>
      <c r="N455" s="260"/>
      <c r="O455" s="1535"/>
      <c r="P455" s="1535"/>
    </row>
    <row r="456" spans="1:16" s="2115" customFormat="1" ht="18.75" hidden="1" customHeight="1">
      <c r="A456" s="1688" t="s">
        <v>316</v>
      </c>
      <c r="B456" s="1688" t="s">
        <v>317</v>
      </c>
      <c r="C456" s="296"/>
      <c r="D456" s="5460"/>
      <c r="E456" s="5268"/>
      <c r="F456" s="5402" t="str">
        <f>INDEX(PT_DIFFERENTIATION_VTAR,MATCH(A456,PT_DIFFERENTIATION_VTAR_ID,0))</f>
        <v>Плата за услуги по поддержанию резервной тепловой мощности при отсутствии потребления тепловой энергии</v>
      </c>
      <c r="G456" s="5431" t="str">
        <f>INDEX(PT_DIFFERENTIATION_NTAR,MATCH(B456,PT_DIFFERENTIATION_NTAR_ID,0))</f>
        <v xml:space="preserve">Плата за услуги по поддержанию резервной тепловой мощности. </v>
      </c>
      <c r="H456" s="1770"/>
      <c r="I456" s="1646"/>
      <c r="J456" s="1681"/>
      <c r="K456" s="1686"/>
      <c r="L456" s="1770" t="s">
        <v>423</v>
      </c>
      <c r="M456" s="267"/>
      <c r="N456" s="260"/>
      <c r="O456" s="1535"/>
      <c r="P456" s="1535"/>
    </row>
    <row r="457" spans="1:16" s="2115" customFormat="1" ht="18.75" hidden="1" customHeight="1">
      <c r="A457" s="1688"/>
      <c r="B457" s="1688"/>
      <c r="C457" s="296" t="s">
        <v>1184</v>
      </c>
      <c r="D457" s="5460"/>
      <c r="E457" s="5268"/>
      <c r="F457" s="5402"/>
      <c r="G457" s="5431"/>
      <c r="H457" s="1409"/>
      <c r="I457" s="571" t="s">
        <v>1183</v>
      </c>
      <c r="J457" s="495"/>
      <c r="K457" s="1409"/>
      <c r="L457" s="135"/>
      <c r="M457" s="267"/>
      <c r="N457" s="260"/>
      <c r="O457" s="1535"/>
      <c r="P457" s="1535"/>
    </row>
    <row r="458" spans="1:16" s="2115" customFormat="1" ht="0.75" hidden="1" customHeight="1">
      <c r="A458" s="1688"/>
      <c r="B458" s="1688"/>
      <c r="C458" s="296" t="s">
        <v>1191</v>
      </c>
      <c r="D458" s="5460"/>
      <c r="E458" s="5268"/>
      <c r="F458" s="5402"/>
      <c r="G458" s="333"/>
      <c r="H458" s="1409"/>
      <c r="I458" s="571"/>
      <c r="J458" s="495"/>
      <c r="K458" s="1409"/>
      <c r="L458" s="135"/>
      <c r="M458" s="267"/>
      <c r="N458" s="260"/>
      <c r="O458" s="1535"/>
      <c r="P458" s="1535"/>
    </row>
    <row r="459" spans="1:16" s="2115" customFormat="1" ht="18.75" hidden="1" customHeight="1">
      <c r="A459" s="1688" t="s">
        <v>328</v>
      </c>
      <c r="B459" s="1688" t="s">
        <v>329</v>
      </c>
      <c r="C459" s="296"/>
      <c r="D459" s="5460"/>
      <c r="E459" s="5268"/>
      <c r="F459" s="5402" t="str">
        <f>INDEX(PT_DIFFERENTIATION_VTAR,MATCH(A459,PT_DIFFERENTIATION_VTAR_ID,0))</f>
        <v>Плата за подключение (технологическое присоединение) к системе теплоснабжения</v>
      </c>
      <c r="G459" s="5431" t="str">
        <f>INDEX(PT_DIFFERENTIATION_NTAR,MATCH(B459,PT_DIFFERENTIATION_NTAR_ID,0))</f>
        <v/>
      </c>
      <c r="H459" s="1770"/>
      <c r="I459" s="1646"/>
      <c r="J459" s="1681"/>
      <c r="K459" s="1686"/>
      <c r="L459" s="1770" t="s">
        <v>423</v>
      </c>
      <c r="M459" s="267"/>
      <c r="N459" s="260"/>
      <c r="O459" s="1535"/>
      <c r="P459" s="1535"/>
    </row>
    <row r="460" spans="1:16" s="2115" customFormat="1" ht="18.75" hidden="1" customHeight="1">
      <c r="A460" s="1688"/>
      <c r="B460" s="1688"/>
      <c r="C460" s="296" t="s">
        <v>1184</v>
      </c>
      <c r="D460" s="5460"/>
      <c r="E460" s="5268"/>
      <c r="F460" s="5402"/>
      <c r="G460" s="5431"/>
      <c r="H460" s="1409"/>
      <c r="I460" s="571" t="s">
        <v>1183</v>
      </c>
      <c r="J460" s="495"/>
      <c r="K460" s="1409"/>
      <c r="L460" s="135"/>
      <c r="M460" s="267"/>
      <c r="N460" s="260"/>
      <c r="O460" s="1535"/>
      <c r="P460" s="1535"/>
    </row>
    <row r="461" spans="1:16" s="2115" customFormat="1" ht="0.75" hidden="1" customHeight="1">
      <c r="A461" s="1688"/>
      <c r="B461" s="1688"/>
      <c r="C461" s="296" t="s">
        <v>1191</v>
      </c>
      <c r="D461" s="5460"/>
      <c r="E461" s="5268"/>
      <c r="F461" s="5402"/>
      <c r="G461" s="333"/>
      <c r="H461" s="1409"/>
      <c r="I461" s="571"/>
      <c r="J461" s="495"/>
      <c r="K461" s="1409"/>
      <c r="L461" s="135"/>
      <c r="M461" s="267"/>
      <c r="N461" s="260"/>
      <c r="O461" s="1535"/>
      <c r="P461" s="1535"/>
    </row>
    <row r="462" spans="1:16" s="2115" customFormat="1" ht="18.75" hidden="1" customHeight="1">
      <c r="A462" s="1688" t="s">
        <v>342</v>
      </c>
      <c r="B462" s="1688" t="s">
        <v>343</v>
      </c>
      <c r="C462" s="296"/>
      <c r="D462" s="5460"/>
      <c r="E462" s="5268"/>
      <c r="F462" s="5402" t="str">
        <f>INDEX(PT_DIFFERENTIATION_VTAR,MATCH(A462,PT_DIFFERENTIATION_VTAR_ID,0))</f>
        <v>Тариф на питьевую воду (питьевое водоснабжение)</v>
      </c>
      <c r="G462" s="5431" t="str">
        <f>INDEX(PT_DIFFERENTIATION_NTAR,MATCH(B462,PT_DIFFERENTIATION_NTAR_ID,0))</f>
        <v/>
      </c>
      <c r="H462" s="1770"/>
      <c r="I462" s="1646"/>
      <c r="J462" s="1681"/>
      <c r="K462" s="1686"/>
      <c r="L462" s="1770" t="s">
        <v>423</v>
      </c>
      <c r="M462" s="267"/>
      <c r="N462" s="260"/>
      <c r="O462" s="1535"/>
      <c r="P462" s="1535"/>
    </row>
    <row r="463" spans="1:16" s="2115" customFormat="1" ht="18.75" hidden="1" customHeight="1">
      <c r="A463" s="1688"/>
      <c r="B463" s="1688"/>
      <c r="C463" s="296" t="s">
        <v>1184</v>
      </c>
      <c r="D463" s="5460"/>
      <c r="E463" s="5268"/>
      <c r="F463" s="5402"/>
      <c r="G463" s="5431"/>
      <c r="H463" s="1409"/>
      <c r="I463" s="571" t="s">
        <v>1183</v>
      </c>
      <c r="J463" s="495"/>
      <c r="K463" s="1409"/>
      <c r="L463" s="135"/>
      <c r="M463" s="267"/>
      <c r="N463" s="260"/>
      <c r="O463" s="1535"/>
      <c r="P463" s="1535"/>
    </row>
    <row r="464" spans="1:16" s="2115" customFormat="1" ht="0.75" hidden="1" customHeight="1">
      <c r="A464" s="1688"/>
      <c r="B464" s="1688"/>
      <c r="C464" s="296" t="s">
        <v>1191</v>
      </c>
      <c r="D464" s="5460"/>
      <c r="E464" s="5268"/>
      <c r="F464" s="5402"/>
      <c r="G464" s="333"/>
      <c r="H464" s="1409"/>
      <c r="I464" s="571"/>
      <c r="J464" s="495"/>
      <c r="K464" s="1409"/>
      <c r="L464" s="135"/>
      <c r="M464" s="267"/>
      <c r="N464" s="260"/>
      <c r="O464" s="1535"/>
      <c r="P464" s="1535"/>
    </row>
    <row r="465" spans="1:16" s="2115" customFormat="1" ht="18.75" hidden="1" customHeight="1">
      <c r="A465" s="1688" t="s">
        <v>347</v>
      </c>
      <c r="B465" s="1688" t="s">
        <v>348</v>
      </c>
      <c r="C465" s="296"/>
      <c r="D465" s="5460"/>
      <c r="E465" s="5268"/>
      <c r="F465" s="5402" t="str">
        <f>INDEX(PT_DIFFERENTIATION_VTAR,MATCH(A465,PT_DIFFERENTIATION_VTAR_ID,0))</f>
        <v>Тариф на техническую воду</v>
      </c>
      <c r="G465" s="5431" t="str">
        <f>INDEX(PT_DIFFERENTIATION_NTAR,MATCH(B465,PT_DIFFERENTIATION_NTAR_ID,0))</f>
        <v/>
      </c>
      <c r="H465" s="1770"/>
      <c r="I465" s="1646"/>
      <c r="J465" s="1681"/>
      <c r="K465" s="1686"/>
      <c r="L465" s="1770" t="s">
        <v>423</v>
      </c>
      <c r="M465" s="267"/>
      <c r="N465" s="260"/>
      <c r="O465" s="1535"/>
      <c r="P465" s="1535"/>
    </row>
    <row r="466" spans="1:16" s="2115" customFormat="1" ht="18.75" hidden="1" customHeight="1">
      <c r="A466" s="1688"/>
      <c r="B466" s="1688"/>
      <c r="C466" s="296" t="s">
        <v>1184</v>
      </c>
      <c r="D466" s="5460"/>
      <c r="E466" s="5268"/>
      <c r="F466" s="5402"/>
      <c r="G466" s="5431"/>
      <c r="H466" s="1409"/>
      <c r="I466" s="571" t="s">
        <v>1183</v>
      </c>
      <c r="J466" s="495"/>
      <c r="K466" s="1409"/>
      <c r="L466" s="135"/>
      <c r="M466" s="267"/>
      <c r="N466" s="260"/>
      <c r="O466" s="1535"/>
      <c r="P466" s="1535"/>
    </row>
    <row r="467" spans="1:16" s="2115" customFormat="1" ht="0.75" hidden="1" customHeight="1">
      <c r="A467" s="1688"/>
      <c r="B467" s="1688"/>
      <c r="C467" s="296" t="s">
        <v>1191</v>
      </c>
      <c r="D467" s="5460"/>
      <c r="E467" s="5268"/>
      <c r="F467" s="5402"/>
      <c r="G467" s="333"/>
      <c r="H467" s="1409"/>
      <c r="I467" s="571"/>
      <c r="J467" s="495"/>
      <c r="K467" s="1409"/>
      <c r="L467" s="135"/>
      <c r="M467" s="267"/>
      <c r="N467" s="260"/>
      <c r="O467" s="1535"/>
      <c r="P467" s="1535"/>
    </row>
    <row r="468" spans="1:16" s="2115" customFormat="1" ht="18.75" hidden="1" customHeight="1">
      <c r="A468" s="1688" t="s">
        <v>352</v>
      </c>
      <c r="B468" s="1688" t="s">
        <v>353</v>
      </c>
      <c r="C468" s="296"/>
      <c r="D468" s="5460"/>
      <c r="E468" s="5268"/>
      <c r="F468" s="5402" t="str">
        <f>INDEX(PT_DIFFERENTIATION_VTAR,MATCH(A468,PT_DIFFERENTIATION_VTAR_ID,0))</f>
        <v>Тариф на транспортировку воды</v>
      </c>
      <c r="G468" s="5431" t="str">
        <f>INDEX(PT_DIFFERENTIATION_NTAR,MATCH(B468,PT_DIFFERENTIATION_NTAR_ID,0))</f>
        <v/>
      </c>
      <c r="H468" s="1770"/>
      <c r="I468" s="1646"/>
      <c r="J468" s="1681"/>
      <c r="K468" s="1686"/>
      <c r="L468" s="1770" t="s">
        <v>423</v>
      </c>
      <c r="M468" s="267"/>
      <c r="N468" s="260"/>
      <c r="O468" s="1535"/>
      <c r="P468" s="1535"/>
    </row>
    <row r="469" spans="1:16" s="2115" customFormat="1" ht="18.75" hidden="1" customHeight="1">
      <c r="A469" s="1688"/>
      <c r="B469" s="1688"/>
      <c r="C469" s="296" t="s">
        <v>1184</v>
      </c>
      <c r="D469" s="5460"/>
      <c r="E469" s="5268"/>
      <c r="F469" s="5402"/>
      <c r="G469" s="5431"/>
      <c r="H469" s="1409"/>
      <c r="I469" s="571" t="s">
        <v>1183</v>
      </c>
      <c r="J469" s="495"/>
      <c r="K469" s="1409"/>
      <c r="L469" s="135"/>
      <c r="M469" s="267"/>
      <c r="N469" s="260"/>
      <c r="O469" s="1535"/>
      <c r="P469" s="1535"/>
    </row>
    <row r="470" spans="1:16" s="2115" customFormat="1" ht="0.75" hidden="1" customHeight="1">
      <c r="A470" s="1688"/>
      <c r="B470" s="1688"/>
      <c r="C470" s="296" t="s">
        <v>1191</v>
      </c>
      <c r="D470" s="5460"/>
      <c r="E470" s="5268"/>
      <c r="F470" s="5402"/>
      <c r="G470" s="333"/>
      <c r="H470" s="1409"/>
      <c r="I470" s="571"/>
      <c r="J470" s="495"/>
      <c r="K470" s="1409"/>
      <c r="L470" s="135"/>
      <c r="M470" s="267"/>
      <c r="N470" s="260"/>
      <c r="O470" s="1535"/>
      <c r="P470" s="1535"/>
    </row>
    <row r="471" spans="1:16" s="2115" customFormat="1" ht="18.75" hidden="1" customHeight="1">
      <c r="A471" s="1688" t="s">
        <v>357</v>
      </c>
      <c r="B471" s="1688" t="s">
        <v>358</v>
      </c>
      <c r="C471" s="296"/>
      <c r="D471" s="5460"/>
      <c r="E471" s="5268"/>
      <c r="F471" s="5402" t="str">
        <f>INDEX(PT_DIFFERENTIATION_VTAR,MATCH(A471,PT_DIFFERENTIATION_VTAR_ID,0))</f>
        <v>Тариф на подвоз воды</v>
      </c>
      <c r="G471" s="5431" t="str">
        <f>INDEX(PT_DIFFERENTIATION_NTAR,MATCH(B471,PT_DIFFERENTIATION_NTAR_ID,0))</f>
        <v/>
      </c>
      <c r="H471" s="1770"/>
      <c r="I471" s="1646"/>
      <c r="J471" s="1681"/>
      <c r="K471" s="1686"/>
      <c r="L471" s="1770" t="s">
        <v>423</v>
      </c>
      <c r="M471" s="267"/>
      <c r="N471" s="260"/>
      <c r="O471" s="1535"/>
      <c r="P471" s="1535"/>
    </row>
    <row r="472" spans="1:16" s="2115" customFormat="1" ht="18.75" hidden="1" customHeight="1">
      <c r="A472" s="1688"/>
      <c r="B472" s="1688"/>
      <c r="C472" s="296" t="s">
        <v>1184</v>
      </c>
      <c r="D472" s="5460"/>
      <c r="E472" s="5268"/>
      <c r="F472" s="5402"/>
      <c r="G472" s="5431"/>
      <c r="H472" s="1409"/>
      <c r="I472" s="571" t="s">
        <v>1183</v>
      </c>
      <c r="J472" s="495"/>
      <c r="K472" s="1409"/>
      <c r="L472" s="135"/>
      <c r="M472" s="267"/>
      <c r="N472" s="260"/>
      <c r="O472" s="1535"/>
      <c r="P472" s="1535"/>
    </row>
    <row r="473" spans="1:16" s="2115" customFormat="1" ht="0.75" hidden="1" customHeight="1">
      <c r="A473" s="1688"/>
      <c r="B473" s="1688"/>
      <c r="C473" s="296" t="s">
        <v>1191</v>
      </c>
      <c r="D473" s="5460"/>
      <c r="E473" s="5268"/>
      <c r="F473" s="5402"/>
      <c r="G473" s="333"/>
      <c r="H473" s="1409"/>
      <c r="I473" s="571"/>
      <c r="J473" s="495"/>
      <c r="K473" s="1409"/>
      <c r="L473" s="135"/>
      <c r="M473" s="267"/>
      <c r="N473" s="260"/>
      <c r="O473" s="1535"/>
      <c r="P473" s="1535"/>
    </row>
    <row r="474" spans="1:16" s="2115" customFormat="1" ht="18.75" hidden="1" customHeight="1">
      <c r="A474" s="1688" t="s">
        <v>362</v>
      </c>
      <c r="B474" s="1688" t="s">
        <v>363</v>
      </c>
      <c r="C474" s="296"/>
      <c r="D474" s="5460"/>
      <c r="E474" s="5268"/>
      <c r="F474" s="5402" t="str">
        <f>INDEX(PT_DIFFERENTIATION_VTAR,MATCH(A474,PT_DIFFERENTIATION_VTAR_ID,0))</f>
        <v>Тариф на подключение (технологическое присоединение) к централизованной системе холодного водоснабжения</v>
      </c>
      <c r="G474" s="5431" t="str">
        <f>INDEX(PT_DIFFERENTIATION_NTAR,MATCH(B474,PT_DIFFERENTIATION_NTAR_ID,0))</f>
        <v/>
      </c>
      <c r="H474" s="1770"/>
      <c r="I474" s="1646"/>
      <c r="J474" s="1681"/>
      <c r="K474" s="1686"/>
      <c r="L474" s="1770" t="s">
        <v>423</v>
      </c>
      <c r="M474" s="267"/>
      <c r="N474" s="260"/>
      <c r="O474" s="1535"/>
      <c r="P474" s="1535"/>
    </row>
    <row r="475" spans="1:16" s="2115" customFormat="1" ht="18.75" hidden="1" customHeight="1">
      <c r="A475" s="1688"/>
      <c r="B475" s="1688"/>
      <c r="C475" s="296" t="s">
        <v>1184</v>
      </c>
      <c r="D475" s="5460"/>
      <c r="E475" s="5268"/>
      <c r="F475" s="5402"/>
      <c r="G475" s="5431"/>
      <c r="H475" s="1409"/>
      <c r="I475" s="571" t="s">
        <v>1183</v>
      </c>
      <c r="J475" s="495"/>
      <c r="K475" s="1409"/>
      <c r="L475" s="135"/>
      <c r="M475" s="267"/>
      <c r="N475" s="260"/>
      <c r="O475" s="1535"/>
      <c r="P475" s="1535"/>
    </row>
    <row r="476" spans="1:16" s="2115" customFormat="1" ht="0.75" hidden="1" customHeight="1">
      <c r="A476" s="1688"/>
      <c r="B476" s="1688"/>
      <c r="C476" s="296" t="s">
        <v>1191</v>
      </c>
      <c r="D476" s="5460"/>
      <c r="E476" s="5268"/>
      <c r="F476" s="5402"/>
      <c r="G476" s="333"/>
      <c r="H476" s="1409"/>
      <c r="I476" s="571"/>
      <c r="J476" s="495"/>
      <c r="K476" s="1409"/>
      <c r="L476" s="135"/>
      <c r="M476" s="267"/>
      <c r="N476" s="260"/>
      <c r="O476" s="1535"/>
      <c r="P476" s="1535"/>
    </row>
    <row r="477" spans="1:16" s="2115" customFormat="1" ht="18.75" hidden="1" customHeight="1">
      <c r="A477" s="1688" t="s">
        <v>367</v>
      </c>
      <c r="B477" s="1688" t="s">
        <v>368</v>
      </c>
      <c r="C477" s="296"/>
      <c r="D477" s="5460"/>
      <c r="E477" s="5268"/>
      <c r="F477" s="5402" t="str">
        <f>INDEX(PT_DIFFERENTIATION_VTAR,MATCH(A477,PT_DIFFERENTIATION_VTAR_ID,0))</f>
        <v>Тариф на горячую воду (горячее водоснабжение)</v>
      </c>
      <c r="G477" s="5431" t="str">
        <f>INDEX(PT_DIFFERENTIATION_NTAR,MATCH(B477,PT_DIFFERENTIATION_NTAR_ID,0))</f>
        <v/>
      </c>
      <c r="H477" s="1770"/>
      <c r="I477" s="1646"/>
      <c r="J477" s="1681"/>
      <c r="K477" s="1686"/>
      <c r="L477" s="1770" t="s">
        <v>423</v>
      </c>
      <c r="M477" s="267"/>
      <c r="N477" s="260"/>
      <c r="O477" s="1535"/>
      <c r="P477" s="1535"/>
    </row>
    <row r="478" spans="1:16" s="2115" customFormat="1" ht="18.75" hidden="1" customHeight="1">
      <c r="A478" s="1688"/>
      <c r="B478" s="1688"/>
      <c r="C478" s="296" t="s">
        <v>1184</v>
      </c>
      <c r="D478" s="5460"/>
      <c r="E478" s="5268"/>
      <c r="F478" s="5402"/>
      <c r="G478" s="5431"/>
      <c r="H478" s="1409"/>
      <c r="I478" s="571" t="s">
        <v>1183</v>
      </c>
      <c r="J478" s="495"/>
      <c r="K478" s="1409"/>
      <c r="L478" s="135"/>
      <c r="M478" s="267"/>
      <c r="N478" s="260"/>
      <c r="O478" s="1535"/>
      <c r="P478" s="1535"/>
    </row>
    <row r="479" spans="1:16" s="2115" customFormat="1" ht="0.75" hidden="1" customHeight="1">
      <c r="A479" s="1688"/>
      <c r="B479" s="1688"/>
      <c r="C479" s="296" t="s">
        <v>1191</v>
      </c>
      <c r="D479" s="5460"/>
      <c r="E479" s="5268"/>
      <c r="F479" s="5402"/>
      <c r="G479" s="333"/>
      <c r="H479" s="1409"/>
      <c r="I479" s="571"/>
      <c r="J479" s="495"/>
      <c r="K479" s="1409"/>
      <c r="L479" s="135"/>
      <c r="M479" s="267"/>
      <c r="N479" s="260"/>
      <c r="O479" s="1535"/>
      <c r="P479" s="1535"/>
    </row>
    <row r="480" spans="1:16" s="2115" customFormat="1" ht="18.75" hidden="1" customHeight="1">
      <c r="A480" s="1688" t="s">
        <v>372</v>
      </c>
      <c r="B480" s="1688" t="s">
        <v>373</v>
      </c>
      <c r="C480" s="296"/>
      <c r="D480" s="5460"/>
      <c r="E480" s="5268"/>
      <c r="F480" s="5402" t="str">
        <f>INDEX(PT_DIFFERENTIATION_VTAR,MATCH(A480,PT_DIFFERENTIATION_VTAR_ID,0))</f>
        <v>Тариф на транспортировку горячей воды</v>
      </c>
      <c r="G480" s="5431" t="str">
        <f>INDEX(PT_DIFFERENTIATION_NTAR,MATCH(B480,PT_DIFFERENTIATION_NTAR_ID,0))</f>
        <v/>
      </c>
      <c r="H480" s="1770"/>
      <c r="I480" s="1646"/>
      <c r="J480" s="1681"/>
      <c r="K480" s="1686"/>
      <c r="L480" s="1770" t="s">
        <v>423</v>
      </c>
      <c r="M480" s="267"/>
      <c r="N480" s="260"/>
      <c r="O480" s="1535"/>
      <c r="P480" s="1535"/>
    </row>
    <row r="481" spans="1:16" s="2115" customFormat="1" ht="18.75" hidden="1" customHeight="1">
      <c r="A481" s="1688"/>
      <c r="B481" s="1688"/>
      <c r="C481" s="296" t="s">
        <v>1184</v>
      </c>
      <c r="D481" s="5460"/>
      <c r="E481" s="5268"/>
      <c r="F481" s="5402"/>
      <c r="G481" s="5431"/>
      <c r="H481" s="1409"/>
      <c r="I481" s="571" t="s">
        <v>1183</v>
      </c>
      <c r="J481" s="495"/>
      <c r="K481" s="1409"/>
      <c r="L481" s="135"/>
      <c r="M481" s="267"/>
      <c r="N481" s="260"/>
      <c r="O481" s="1535"/>
      <c r="P481" s="1535"/>
    </row>
    <row r="482" spans="1:16" s="2115" customFormat="1" ht="0.75" hidden="1" customHeight="1">
      <c r="A482" s="1688"/>
      <c r="B482" s="1688"/>
      <c r="C482" s="296" t="s">
        <v>1191</v>
      </c>
      <c r="D482" s="5460"/>
      <c r="E482" s="5268"/>
      <c r="F482" s="5402"/>
      <c r="G482" s="333"/>
      <c r="H482" s="1409"/>
      <c r="I482" s="571"/>
      <c r="J482" s="495"/>
      <c r="K482" s="1409"/>
      <c r="L482" s="135"/>
      <c r="M482" s="267"/>
      <c r="N482" s="260"/>
      <c r="O482" s="1535"/>
      <c r="P482" s="1535"/>
    </row>
    <row r="483" spans="1:16" s="2115" customFormat="1" ht="18.75" hidden="1" customHeight="1">
      <c r="A483" s="1688" t="s">
        <v>377</v>
      </c>
      <c r="B483" s="1688" t="s">
        <v>378</v>
      </c>
      <c r="C483" s="296"/>
      <c r="D483" s="5460"/>
      <c r="E483" s="5268"/>
      <c r="F483" s="5402" t="str">
        <f>INDEX(PT_DIFFERENTIATION_VTAR,MATCH(A483,PT_DIFFERENTIATION_VTAR_ID,0))</f>
        <v>Тариф на подключение (технологическое присоединение) к централизованной системе горячего водоснабжения</v>
      </c>
      <c r="G483" s="5431" t="str">
        <f>INDEX(PT_DIFFERENTIATION_NTAR,MATCH(B483,PT_DIFFERENTIATION_NTAR_ID,0))</f>
        <v/>
      </c>
      <c r="H483" s="1770"/>
      <c r="I483" s="1646"/>
      <c r="J483" s="1681"/>
      <c r="K483" s="1686"/>
      <c r="L483" s="1770" t="s">
        <v>423</v>
      </c>
      <c r="M483" s="267"/>
      <c r="N483" s="260"/>
      <c r="O483" s="1535"/>
      <c r="P483" s="1535"/>
    </row>
    <row r="484" spans="1:16" s="2115" customFormat="1" ht="18.75" hidden="1" customHeight="1">
      <c r="A484" s="1688"/>
      <c r="B484" s="1688"/>
      <c r="C484" s="296" t="s">
        <v>1184</v>
      </c>
      <c r="D484" s="5460"/>
      <c r="E484" s="5268"/>
      <c r="F484" s="5402"/>
      <c r="G484" s="5431"/>
      <c r="H484" s="1409"/>
      <c r="I484" s="571" t="s">
        <v>1183</v>
      </c>
      <c r="J484" s="495"/>
      <c r="K484" s="1409"/>
      <c r="L484" s="135"/>
      <c r="M484" s="267"/>
      <c r="N484" s="260"/>
      <c r="O484" s="1535"/>
      <c r="P484" s="1535"/>
    </row>
    <row r="485" spans="1:16" s="2115" customFormat="1" ht="0.75" hidden="1" customHeight="1">
      <c r="A485" s="1688"/>
      <c r="B485" s="1688"/>
      <c r="C485" s="296" t="s">
        <v>1191</v>
      </c>
      <c r="D485" s="5460"/>
      <c r="E485" s="5268"/>
      <c r="F485" s="5402"/>
      <c r="G485" s="333"/>
      <c r="H485" s="1409"/>
      <c r="I485" s="571"/>
      <c r="J485" s="495"/>
      <c r="K485" s="1409"/>
      <c r="L485" s="135"/>
      <c r="M485" s="267"/>
      <c r="N485" s="260"/>
      <c r="O485" s="1535"/>
      <c r="P485" s="1535"/>
    </row>
    <row r="486" spans="1:16" s="2115" customFormat="1" ht="18.75" hidden="1" customHeight="1">
      <c r="A486" s="1688" t="s">
        <v>382</v>
      </c>
      <c r="B486" s="1688" t="s">
        <v>383</v>
      </c>
      <c r="C486" s="296"/>
      <c r="D486" s="5460"/>
      <c r="E486" s="5268"/>
      <c r="F486" s="5402" t="str">
        <f>INDEX(PT_DIFFERENTIATION_VTAR,MATCH(A486,PT_DIFFERENTIATION_VTAR_ID,0))</f>
        <v>Тариф на водоотведение</v>
      </c>
      <c r="G486" s="5431" t="str">
        <f>INDEX(PT_DIFFERENTIATION_NTAR,MATCH(B486,PT_DIFFERENTIATION_NTAR_ID,0))</f>
        <v/>
      </c>
      <c r="H486" s="1770"/>
      <c r="I486" s="1646"/>
      <c r="J486" s="1681"/>
      <c r="K486" s="1686"/>
      <c r="L486" s="1770" t="s">
        <v>423</v>
      </c>
      <c r="M486" s="267"/>
      <c r="N486" s="260"/>
      <c r="O486" s="1535"/>
      <c r="P486" s="1535"/>
    </row>
    <row r="487" spans="1:16" s="2115" customFormat="1" ht="18.75" hidden="1" customHeight="1">
      <c r="A487" s="1688"/>
      <c r="B487" s="1688"/>
      <c r="C487" s="296" t="s">
        <v>1184</v>
      </c>
      <c r="D487" s="5460"/>
      <c r="E487" s="5268"/>
      <c r="F487" s="5402"/>
      <c r="G487" s="5431"/>
      <c r="H487" s="1409"/>
      <c r="I487" s="571" t="s">
        <v>1183</v>
      </c>
      <c r="J487" s="495"/>
      <c r="K487" s="1409"/>
      <c r="L487" s="135"/>
      <c r="M487" s="267"/>
      <c r="N487" s="260"/>
      <c r="O487" s="1535"/>
      <c r="P487" s="1535"/>
    </row>
    <row r="488" spans="1:16" s="2115" customFormat="1" ht="0.75" hidden="1" customHeight="1">
      <c r="A488" s="1688"/>
      <c r="B488" s="1688"/>
      <c r="C488" s="296" t="s">
        <v>1191</v>
      </c>
      <c r="D488" s="5460"/>
      <c r="E488" s="5268"/>
      <c r="F488" s="5402"/>
      <c r="G488" s="333"/>
      <c r="H488" s="1409"/>
      <c r="I488" s="571"/>
      <c r="J488" s="495"/>
      <c r="K488" s="1409"/>
      <c r="L488" s="135"/>
      <c r="M488" s="267"/>
      <c r="N488" s="260"/>
      <c r="O488" s="1535"/>
      <c r="P488" s="1535"/>
    </row>
    <row r="489" spans="1:16" s="2115" customFormat="1" ht="18.75" hidden="1" customHeight="1">
      <c r="A489" s="1688" t="s">
        <v>387</v>
      </c>
      <c r="B489" s="1688" t="s">
        <v>388</v>
      </c>
      <c r="C489" s="296"/>
      <c r="D489" s="5460"/>
      <c r="E489" s="5268"/>
      <c r="F489" s="5402" t="str">
        <f>INDEX(PT_DIFFERENTIATION_VTAR,MATCH(A489,PT_DIFFERENTIATION_VTAR_ID,0))</f>
        <v>Тариф на транспортировку сточных вод</v>
      </c>
      <c r="G489" s="5431" t="str">
        <f>INDEX(PT_DIFFERENTIATION_NTAR,MATCH(B489,PT_DIFFERENTIATION_NTAR_ID,0))</f>
        <v/>
      </c>
      <c r="H489" s="1770"/>
      <c r="I489" s="1646"/>
      <c r="J489" s="1681"/>
      <c r="K489" s="1686"/>
      <c r="L489" s="1770" t="s">
        <v>423</v>
      </c>
      <c r="M489" s="267"/>
      <c r="N489" s="260"/>
      <c r="O489" s="1535"/>
      <c r="P489" s="1535"/>
    </row>
    <row r="490" spans="1:16" s="2115" customFormat="1" ht="18.75" hidden="1" customHeight="1">
      <c r="A490" s="1688"/>
      <c r="B490" s="1688"/>
      <c r="C490" s="296" t="s">
        <v>1184</v>
      </c>
      <c r="D490" s="5460"/>
      <c r="E490" s="5268"/>
      <c r="F490" s="5402"/>
      <c r="G490" s="5431"/>
      <c r="H490" s="1409"/>
      <c r="I490" s="571" t="s">
        <v>1183</v>
      </c>
      <c r="J490" s="495"/>
      <c r="K490" s="1409"/>
      <c r="L490" s="135"/>
      <c r="M490" s="267"/>
      <c r="N490" s="260"/>
      <c r="O490" s="1535"/>
      <c r="P490" s="1535"/>
    </row>
    <row r="491" spans="1:16" s="2115" customFormat="1" ht="0.75" hidden="1" customHeight="1">
      <c r="A491" s="1688"/>
      <c r="B491" s="1688"/>
      <c r="C491" s="296" t="s">
        <v>1191</v>
      </c>
      <c r="D491" s="5460"/>
      <c r="E491" s="5268"/>
      <c r="F491" s="5402"/>
      <c r="G491" s="333"/>
      <c r="H491" s="1409"/>
      <c r="I491" s="571"/>
      <c r="J491" s="495"/>
      <c r="K491" s="1409"/>
      <c r="L491" s="135"/>
      <c r="M491" s="267"/>
      <c r="N491" s="260"/>
      <c r="O491" s="1535"/>
      <c r="P491" s="1535"/>
    </row>
    <row r="492" spans="1:16" s="2115" customFormat="1" ht="18.75" hidden="1" customHeight="1">
      <c r="A492" s="1688" t="s">
        <v>392</v>
      </c>
      <c r="B492" s="1688" t="s">
        <v>393</v>
      </c>
      <c r="C492" s="296"/>
      <c r="D492" s="5460"/>
      <c r="E492" s="5268"/>
      <c r="F492" s="5402" t="str">
        <f>INDEX(PT_DIFFERENTIATION_VTAR,MATCH(A492,PT_DIFFERENTIATION_VTAR_ID,0))</f>
        <v>Тариф на подключение (технологическое присоединение) к централизованной системе водоотведения</v>
      </c>
      <c r="G492" s="5431" t="str">
        <f>INDEX(PT_DIFFERENTIATION_NTAR,MATCH(B492,PT_DIFFERENTIATION_NTAR_ID,0))</f>
        <v/>
      </c>
      <c r="H492" s="1770"/>
      <c r="I492" s="1646"/>
      <c r="J492" s="1681"/>
      <c r="K492" s="1686"/>
      <c r="L492" s="1770" t="s">
        <v>423</v>
      </c>
      <c r="M492" s="267"/>
      <c r="N492" s="260"/>
      <c r="O492" s="1535"/>
      <c r="P492" s="1535"/>
    </row>
    <row r="493" spans="1:16" s="2115" customFormat="1" ht="18.75" hidden="1" customHeight="1">
      <c r="A493" s="1688"/>
      <c r="B493" s="1688"/>
      <c r="C493" s="296" t="s">
        <v>1184</v>
      </c>
      <c r="D493" s="5460"/>
      <c r="E493" s="5268"/>
      <c r="F493" s="5402"/>
      <c r="G493" s="5431"/>
      <c r="H493" s="1409"/>
      <c r="I493" s="571" t="s">
        <v>1183</v>
      </c>
      <c r="J493" s="495"/>
      <c r="K493" s="1409"/>
      <c r="L493" s="135"/>
      <c r="M493" s="267"/>
      <c r="N493" s="260"/>
      <c r="O493" s="1535"/>
      <c r="P493" s="1535"/>
    </row>
    <row r="494" spans="1:16" s="2115" customFormat="1" ht="0.75" customHeight="1">
      <c r="A494" s="1688"/>
      <c r="B494" s="1688"/>
      <c r="C494" s="296" t="s">
        <v>1191</v>
      </c>
      <c r="D494" s="5460"/>
      <c r="E494" s="5268"/>
      <c r="F494" s="5402"/>
      <c r="G494" s="333"/>
      <c r="H494" s="1409"/>
      <c r="I494" s="571"/>
      <c r="J494" s="495"/>
      <c r="K494" s="1409"/>
      <c r="L494" s="135"/>
      <c r="M494" s="267"/>
      <c r="N494" s="260"/>
      <c r="O494" s="1535"/>
      <c r="P494" s="1535"/>
    </row>
    <row r="495" spans="1:16" s="4630" customFormat="1" ht="3" customHeight="1">
      <c r="A495" s="1688"/>
      <c r="B495" s="1688"/>
      <c r="C495" s="1689"/>
      <c r="E495" s="335"/>
      <c r="F495" s="335"/>
      <c r="G495" s="335"/>
      <c r="H495" s="335"/>
      <c r="I495" s="335"/>
      <c r="J495" s="335"/>
      <c r="K495" s="335"/>
      <c r="L495" s="335"/>
      <c r="M495" s="335"/>
      <c r="O495" s="117"/>
      <c r="P495" s="117"/>
    </row>
    <row r="496" spans="1:16" ht="24.75" customHeight="1">
      <c r="E496" s="123"/>
      <c r="F496" s="5334"/>
      <c r="G496" s="5334"/>
      <c r="H496" s="5334"/>
      <c r="I496" s="5334"/>
      <c r="J496" s="5334"/>
      <c r="K496" s="5334"/>
      <c r="L496" s="5334"/>
      <c r="M496" s="5334"/>
    </row>
  </sheetData>
  <sheetProtection formatColumns="0" formatRows="0" insertRows="0" deleteColumns="0" deleteRows="0" sort="0" autoFilter="0"/>
  <mergeCells count="498">
    <mergeCell ref="G246:G247"/>
    <mergeCell ref="G340:G341"/>
    <mergeCell ref="G434:G435"/>
    <mergeCell ref="G255:G256"/>
    <mergeCell ref="G349:G350"/>
    <mergeCell ref="G443:G444"/>
    <mergeCell ref="G67:G68"/>
    <mergeCell ref="G163:G164"/>
    <mergeCell ref="G257:G258"/>
    <mergeCell ref="G351:G352"/>
    <mergeCell ref="G445:G446"/>
    <mergeCell ref="G69:G70"/>
    <mergeCell ref="G165:G166"/>
    <mergeCell ref="G259:G260"/>
    <mergeCell ref="G353:G354"/>
    <mergeCell ref="G143:G144"/>
    <mergeCell ref="G237:G238"/>
    <mergeCell ref="G331:G332"/>
    <mergeCell ref="G425:G426"/>
    <mergeCell ref="G145:G146"/>
    <mergeCell ref="G239:G240"/>
    <mergeCell ref="G333:G334"/>
    <mergeCell ref="G427:G428"/>
    <mergeCell ref="G147:G148"/>
    <mergeCell ref="G241:G242"/>
    <mergeCell ref="G335:G336"/>
    <mergeCell ref="G429:G430"/>
    <mergeCell ref="G320:G321"/>
    <mergeCell ref="G414:G415"/>
    <mergeCell ref="G38:G39"/>
    <mergeCell ref="G134:G135"/>
    <mergeCell ref="G228:G229"/>
    <mergeCell ref="G322:G323"/>
    <mergeCell ref="G416:G417"/>
    <mergeCell ref="G40:G41"/>
    <mergeCell ref="G136:G137"/>
    <mergeCell ref="G230:G231"/>
    <mergeCell ref="G324:G325"/>
    <mergeCell ref="G45:G46"/>
    <mergeCell ref="G141:G142"/>
    <mergeCell ref="G235:G236"/>
    <mergeCell ref="G329:G330"/>
    <mergeCell ref="G61:G62"/>
    <mergeCell ref="G157:G158"/>
    <mergeCell ref="G251:G252"/>
    <mergeCell ref="G345:G346"/>
    <mergeCell ref="G63:G64"/>
    <mergeCell ref="G159:G160"/>
    <mergeCell ref="G253:G254"/>
    <mergeCell ref="G347:G348"/>
    <mergeCell ref="G65:G66"/>
    <mergeCell ref="G122:G123"/>
    <mergeCell ref="G216:G217"/>
    <mergeCell ref="G310:G311"/>
    <mergeCell ref="G404:G405"/>
    <mergeCell ref="G28:G29"/>
    <mergeCell ref="G124:G125"/>
    <mergeCell ref="G218:G219"/>
    <mergeCell ref="G312:G313"/>
    <mergeCell ref="G406:G407"/>
    <mergeCell ref="G30:G31"/>
    <mergeCell ref="G126:G127"/>
    <mergeCell ref="G220:G221"/>
    <mergeCell ref="G314:G315"/>
    <mergeCell ref="G32:G33"/>
    <mergeCell ref="G128:G129"/>
    <mergeCell ref="G222:G223"/>
    <mergeCell ref="G316:G317"/>
    <mergeCell ref="G34:G35"/>
    <mergeCell ref="G130:G131"/>
    <mergeCell ref="G224:G225"/>
    <mergeCell ref="G318:G319"/>
    <mergeCell ref="G36:G37"/>
    <mergeCell ref="G132:G133"/>
    <mergeCell ref="G226:G227"/>
    <mergeCell ref="G2:G3"/>
    <mergeCell ref="G5:G6"/>
    <mergeCell ref="E14:L14"/>
    <mergeCell ref="G16:L16"/>
    <mergeCell ref="G17:L17"/>
    <mergeCell ref="E19:L19"/>
    <mergeCell ref="D24:D42"/>
    <mergeCell ref="M19:M21"/>
    <mergeCell ref="E20:E21"/>
    <mergeCell ref="F20:F21"/>
    <mergeCell ref="G20:G21"/>
    <mergeCell ref="H20:J20"/>
    <mergeCell ref="K20:K21"/>
    <mergeCell ref="L20:L21"/>
    <mergeCell ref="H21:I21"/>
    <mergeCell ref="H22:I22"/>
    <mergeCell ref="F23:L23"/>
    <mergeCell ref="G24:G25"/>
    <mergeCell ref="F24:F42"/>
    <mergeCell ref="E24:E42"/>
    <mergeCell ref="G26:G27"/>
    <mergeCell ref="G43:G44"/>
    <mergeCell ref="G54:G55"/>
    <mergeCell ref="G59:G60"/>
    <mergeCell ref="G72:G73"/>
    <mergeCell ref="G75:G76"/>
    <mergeCell ref="D72:D74"/>
    <mergeCell ref="E72:E74"/>
    <mergeCell ref="F72:F74"/>
    <mergeCell ref="D75:D77"/>
    <mergeCell ref="E75:E77"/>
    <mergeCell ref="F75:F77"/>
    <mergeCell ref="G47:G48"/>
    <mergeCell ref="G49:G50"/>
    <mergeCell ref="G51:G52"/>
    <mergeCell ref="G56:G57"/>
    <mergeCell ref="D78:D80"/>
    <mergeCell ref="E78:E80"/>
    <mergeCell ref="F78:F80"/>
    <mergeCell ref="D43:D53"/>
    <mergeCell ref="E43:E53"/>
    <mergeCell ref="F43:F53"/>
    <mergeCell ref="D54:D58"/>
    <mergeCell ref="E54:E58"/>
    <mergeCell ref="F54:F58"/>
    <mergeCell ref="D59:D71"/>
    <mergeCell ref="E59:E71"/>
    <mergeCell ref="F59:F71"/>
    <mergeCell ref="D102:D104"/>
    <mergeCell ref="E102:E104"/>
    <mergeCell ref="F102:F104"/>
    <mergeCell ref="F496:M496"/>
    <mergeCell ref="F401:L401"/>
    <mergeCell ref="D402:D420"/>
    <mergeCell ref="E402:E420"/>
    <mergeCell ref="F402:F420"/>
    <mergeCell ref="D421:D431"/>
    <mergeCell ref="E421:E431"/>
    <mergeCell ref="F421:F431"/>
    <mergeCell ref="D432:D436"/>
    <mergeCell ref="D450:D452"/>
    <mergeCell ref="E450:E452"/>
    <mergeCell ref="F450:F452"/>
    <mergeCell ref="D453:D455"/>
    <mergeCell ref="E453:E455"/>
    <mergeCell ref="F453:F455"/>
    <mergeCell ref="E432:E436"/>
    <mergeCell ref="F432:F436"/>
    <mergeCell ref="D437:D449"/>
    <mergeCell ref="E437:E449"/>
    <mergeCell ref="D139:D149"/>
    <mergeCell ref="E139:E149"/>
    <mergeCell ref="G81:G82"/>
    <mergeCell ref="G84:G85"/>
    <mergeCell ref="G87:G88"/>
    <mergeCell ref="G90:G91"/>
    <mergeCell ref="M308:M327"/>
    <mergeCell ref="M120:M139"/>
    <mergeCell ref="F213:L213"/>
    <mergeCell ref="M214:M233"/>
    <mergeCell ref="F307:L307"/>
    <mergeCell ref="F84:F86"/>
    <mergeCell ref="F87:F89"/>
    <mergeCell ref="F108:F110"/>
    <mergeCell ref="F111:F113"/>
    <mergeCell ref="F139:F149"/>
    <mergeCell ref="F150:F154"/>
    <mergeCell ref="M24:M116"/>
    <mergeCell ref="G78:G79"/>
    <mergeCell ref="G195:G196"/>
    <mergeCell ref="G198:G199"/>
    <mergeCell ref="G201:G202"/>
    <mergeCell ref="G204:G205"/>
    <mergeCell ref="G244:G245"/>
    <mergeCell ref="G249:G250"/>
    <mergeCell ref="G262:G263"/>
    <mergeCell ref="D81:D83"/>
    <mergeCell ref="E81:E83"/>
    <mergeCell ref="F81:F83"/>
    <mergeCell ref="D96:D98"/>
    <mergeCell ref="E96:E98"/>
    <mergeCell ref="F96:F98"/>
    <mergeCell ref="D99:D101"/>
    <mergeCell ref="E99:E101"/>
    <mergeCell ref="F99:F101"/>
    <mergeCell ref="D90:D92"/>
    <mergeCell ref="E90:E92"/>
    <mergeCell ref="F90:F92"/>
    <mergeCell ref="D93:D95"/>
    <mergeCell ref="E93:E95"/>
    <mergeCell ref="F93:F95"/>
    <mergeCell ref="D84:D86"/>
    <mergeCell ref="E84:E86"/>
    <mergeCell ref="D87:D89"/>
    <mergeCell ref="E87:E89"/>
    <mergeCell ref="D105:D107"/>
    <mergeCell ref="E105:E107"/>
    <mergeCell ref="F105:F107"/>
    <mergeCell ref="F155:F167"/>
    <mergeCell ref="D168:D170"/>
    <mergeCell ref="E168:E170"/>
    <mergeCell ref="F168:F170"/>
    <mergeCell ref="D114:D116"/>
    <mergeCell ref="E114:E116"/>
    <mergeCell ref="F114:F116"/>
    <mergeCell ref="D120:D138"/>
    <mergeCell ref="E120:E138"/>
    <mergeCell ref="F120:F138"/>
    <mergeCell ref="D155:D167"/>
    <mergeCell ref="E155:E167"/>
    <mergeCell ref="F117:L117"/>
    <mergeCell ref="H118:I118"/>
    <mergeCell ref="F119:L119"/>
    <mergeCell ref="D108:D110"/>
    <mergeCell ref="E108:E110"/>
    <mergeCell ref="D111:D113"/>
    <mergeCell ref="E111:E113"/>
    <mergeCell ref="D150:D154"/>
    <mergeCell ref="E150:E154"/>
    <mergeCell ref="D177:D179"/>
    <mergeCell ref="E177:E179"/>
    <mergeCell ref="F177:F179"/>
    <mergeCell ref="D180:D182"/>
    <mergeCell ref="E180:E182"/>
    <mergeCell ref="F180:F182"/>
    <mergeCell ref="D171:D173"/>
    <mergeCell ref="E171:E173"/>
    <mergeCell ref="F171:F173"/>
    <mergeCell ref="D174:D176"/>
    <mergeCell ref="E174:E176"/>
    <mergeCell ref="F174:F176"/>
    <mergeCell ref="D183:D185"/>
    <mergeCell ref="E183:E185"/>
    <mergeCell ref="F183:F185"/>
    <mergeCell ref="D186:D188"/>
    <mergeCell ref="E186:E188"/>
    <mergeCell ref="F186:F188"/>
    <mergeCell ref="G186:G187"/>
    <mergeCell ref="G189:G190"/>
    <mergeCell ref="G192:G193"/>
    <mergeCell ref="D189:D191"/>
    <mergeCell ref="E189:E191"/>
    <mergeCell ref="F189:F191"/>
    <mergeCell ref="D192:D194"/>
    <mergeCell ref="E192:E194"/>
    <mergeCell ref="F192:F194"/>
    <mergeCell ref="D201:D203"/>
    <mergeCell ref="E201:E203"/>
    <mergeCell ref="F201:F203"/>
    <mergeCell ref="D204:D206"/>
    <mergeCell ref="E204:E206"/>
    <mergeCell ref="F204:F206"/>
    <mergeCell ref="D195:D197"/>
    <mergeCell ref="E195:E197"/>
    <mergeCell ref="F195:F197"/>
    <mergeCell ref="D198:D200"/>
    <mergeCell ref="E198:E200"/>
    <mergeCell ref="F198:F200"/>
    <mergeCell ref="G265:G266"/>
    <mergeCell ref="D233:D243"/>
    <mergeCell ref="E233:E243"/>
    <mergeCell ref="F233:F243"/>
    <mergeCell ref="D207:D209"/>
    <mergeCell ref="E207:E209"/>
    <mergeCell ref="F207:F209"/>
    <mergeCell ref="D210:D212"/>
    <mergeCell ref="E210:E212"/>
    <mergeCell ref="F210:F212"/>
    <mergeCell ref="D214:D232"/>
    <mergeCell ref="E214:E232"/>
    <mergeCell ref="F214:F232"/>
    <mergeCell ref="G207:G208"/>
    <mergeCell ref="G210:G211"/>
    <mergeCell ref="G214:G215"/>
    <mergeCell ref="G233:G234"/>
    <mergeCell ref="D262:D264"/>
    <mergeCell ref="E262:E264"/>
    <mergeCell ref="F262:F264"/>
    <mergeCell ref="D265:D267"/>
    <mergeCell ref="E265:E267"/>
    <mergeCell ref="F265:F267"/>
    <mergeCell ref="D244:D248"/>
    <mergeCell ref="E244:E248"/>
    <mergeCell ref="F244:F248"/>
    <mergeCell ref="D249:D261"/>
    <mergeCell ref="E249:E261"/>
    <mergeCell ref="F249:F261"/>
    <mergeCell ref="D268:D270"/>
    <mergeCell ref="E268:E270"/>
    <mergeCell ref="F268:F270"/>
    <mergeCell ref="D271:D273"/>
    <mergeCell ref="E271:E273"/>
    <mergeCell ref="F271:F273"/>
    <mergeCell ref="G268:G269"/>
    <mergeCell ref="G271:G272"/>
    <mergeCell ref="G274:G275"/>
    <mergeCell ref="G280:G281"/>
    <mergeCell ref="G283:G284"/>
    <mergeCell ref="G286:G287"/>
    <mergeCell ref="G289:G290"/>
    <mergeCell ref="D274:D276"/>
    <mergeCell ref="E274:E276"/>
    <mergeCell ref="F274:F276"/>
    <mergeCell ref="D277:D279"/>
    <mergeCell ref="E277:E279"/>
    <mergeCell ref="F277:F279"/>
    <mergeCell ref="G277:G278"/>
    <mergeCell ref="D286:D288"/>
    <mergeCell ref="E286:E288"/>
    <mergeCell ref="F286:F288"/>
    <mergeCell ref="D289:D291"/>
    <mergeCell ref="E289:E291"/>
    <mergeCell ref="F289:F291"/>
    <mergeCell ref="D280:D282"/>
    <mergeCell ref="E280:E282"/>
    <mergeCell ref="F280:F282"/>
    <mergeCell ref="D283:D285"/>
    <mergeCell ref="E283:E285"/>
    <mergeCell ref="F283:F285"/>
    <mergeCell ref="D292:D294"/>
    <mergeCell ref="E292:E294"/>
    <mergeCell ref="F292:F294"/>
    <mergeCell ref="D295:D297"/>
    <mergeCell ref="E295:E297"/>
    <mergeCell ref="F295:F297"/>
    <mergeCell ref="G292:G293"/>
    <mergeCell ref="G295:G296"/>
    <mergeCell ref="G298:G299"/>
    <mergeCell ref="G304:G305"/>
    <mergeCell ref="G308:G309"/>
    <mergeCell ref="G327:G328"/>
    <mergeCell ref="G338:G339"/>
    <mergeCell ref="D298:D300"/>
    <mergeCell ref="E298:E300"/>
    <mergeCell ref="F298:F300"/>
    <mergeCell ref="D301:D303"/>
    <mergeCell ref="E301:E303"/>
    <mergeCell ref="F301:F303"/>
    <mergeCell ref="G301:G302"/>
    <mergeCell ref="D327:D337"/>
    <mergeCell ref="E327:E337"/>
    <mergeCell ref="F327:F337"/>
    <mergeCell ref="D338:D342"/>
    <mergeCell ref="E338:E342"/>
    <mergeCell ref="F338:F342"/>
    <mergeCell ref="D304:D306"/>
    <mergeCell ref="E304:E306"/>
    <mergeCell ref="F304:F306"/>
    <mergeCell ref="D308:D326"/>
    <mergeCell ref="E308:E326"/>
    <mergeCell ref="F308:F326"/>
    <mergeCell ref="D343:D355"/>
    <mergeCell ref="E343:E355"/>
    <mergeCell ref="F343:F355"/>
    <mergeCell ref="D356:D358"/>
    <mergeCell ref="E356:E358"/>
    <mergeCell ref="F356:F358"/>
    <mergeCell ref="G343:G344"/>
    <mergeCell ref="G356:G357"/>
    <mergeCell ref="G359:G360"/>
    <mergeCell ref="G365:G366"/>
    <mergeCell ref="G368:G369"/>
    <mergeCell ref="G371:G372"/>
    <mergeCell ref="G374:G375"/>
    <mergeCell ref="D359:D361"/>
    <mergeCell ref="E359:E361"/>
    <mergeCell ref="F359:F361"/>
    <mergeCell ref="D362:D364"/>
    <mergeCell ref="E362:E364"/>
    <mergeCell ref="F362:F364"/>
    <mergeCell ref="G362:G363"/>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77:D379"/>
    <mergeCell ref="E377:E379"/>
    <mergeCell ref="F377:F379"/>
    <mergeCell ref="D380:D382"/>
    <mergeCell ref="E380:E382"/>
    <mergeCell ref="F380:F382"/>
    <mergeCell ref="G377:G378"/>
    <mergeCell ref="G380:G381"/>
    <mergeCell ref="G383:G384"/>
    <mergeCell ref="G389:G390"/>
    <mergeCell ref="G392:G393"/>
    <mergeCell ref="G395:G396"/>
    <mergeCell ref="G398:G399"/>
    <mergeCell ref="D383:D385"/>
    <mergeCell ref="E383:E385"/>
    <mergeCell ref="F383:F385"/>
    <mergeCell ref="D386:D388"/>
    <mergeCell ref="E386:E388"/>
    <mergeCell ref="F386:F388"/>
    <mergeCell ref="G386:G387"/>
    <mergeCell ref="D395:D397"/>
    <mergeCell ref="E395:E397"/>
    <mergeCell ref="F395:F397"/>
    <mergeCell ref="D398:D400"/>
    <mergeCell ref="E398:E400"/>
    <mergeCell ref="F398:F400"/>
    <mergeCell ref="D389:D391"/>
    <mergeCell ref="E389:E391"/>
    <mergeCell ref="F389:F391"/>
    <mergeCell ref="D392:D394"/>
    <mergeCell ref="E392:E394"/>
    <mergeCell ref="F392:F394"/>
    <mergeCell ref="F468:F470"/>
    <mergeCell ref="D471:D473"/>
    <mergeCell ref="E471:E473"/>
    <mergeCell ref="F471:F473"/>
    <mergeCell ref="G468:G469"/>
    <mergeCell ref="G471:G472"/>
    <mergeCell ref="G474:G475"/>
    <mergeCell ref="G477:G478"/>
    <mergeCell ref="F437:F449"/>
    <mergeCell ref="D462:D464"/>
    <mergeCell ref="E462:E464"/>
    <mergeCell ref="F462:F464"/>
    <mergeCell ref="D465:D467"/>
    <mergeCell ref="E465:E467"/>
    <mergeCell ref="F465:F467"/>
    <mergeCell ref="D456:D458"/>
    <mergeCell ref="E456:E458"/>
    <mergeCell ref="F456:F458"/>
    <mergeCell ref="D459:D461"/>
    <mergeCell ref="E459:E461"/>
    <mergeCell ref="F459:F461"/>
    <mergeCell ref="G465:G466"/>
    <mergeCell ref="G439:G440"/>
    <mergeCell ref="G441:G442"/>
    <mergeCell ref="D492:D494"/>
    <mergeCell ref="E492:E494"/>
    <mergeCell ref="F492:F494"/>
    <mergeCell ref="M402:M421"/>
    <mergeCell ref="D486:D488"/>
    <mergeCell ref="E486:E488"/>
    <mergeCell ref="F486:F488"/>
    <mergeCell ref="D489:D491"/>
    <mergeCell ref="E489:E491"/>
    <mergeCell ref="F489:F491"/>
    <mergeCell ref="D480:D482"/>
    <mergeCell ref="E480:E482"/>
    <mergeCell ref="F480:F482"/>
    <mergeCell ref="D483:D485"/>
    <mergeCell ref="E483:E485"/>
    <mergeCell ref="F483:F485"/>
    <mergeCell ref="D474:D476"/>
    <mergeCell ref="E474:E476"/>
    <mergeCell ref="F474:F476"/>
    <mergeCell ref="D477:D479"/>
    <mergeCell ref="E477:E479"/>
    <mergeCell ref="F477:F479"/>
    <mergeCell ref="D468:D470"/>
    <mergeCell ref="E468:E470"/>
    <mergeCell ref="G93:G94"/>
    <mergeCell ref="G96:G97"/>
    <mergeCell ref="G99:G100"/>
    <mergeCell ref="G102:G103"/>
    <mergeCell ref="G105:G106"/>
    <mergeCell ref="G108:G109"/>
    <mergeCell ref="G111:G112"/>
    <mergeCell ref="G114:G115"/>
    <mergeCell ref="G120:G121"/>
    <mergeCell ref="G139:G140"/>
    <mergeCell ref="G150:G151"/>
    <mergeCell ref="G155:G156"/>
    <mergeCell ref="G168:G169"/>
    <mergeCell ref="G171:G172"/>
    <mergeCell ref="G174:G175"/>
    <mergeCell ref="G177:G178"/>
    <mergeCell ref="G180:G181"/>
    <mergeCell ref="G183:G184"/>
    <mergeCell ref="G161:G162"/>
    <mergeCell ref="G152:G153"/>
    <mergeCell ref="G480:G481"/>
    <mergeCell ref="G483:G484"/>
    <mergeCell ref="G486:G487"/>
    <mergeCell ref="G489:G490"/>
    <mergeCell ref="G492:G493"/>
    <mergeCell ref="G402:G403"/>
    <mergeCell ref="G421:G422"/>
    <mergeCell ref="G432:G433"/>
    <mergeCell ref="G437:G438"/>
    <mergeCell ref="G450:G451"/>
    <mergeCell ref="G453:G454"/>
    <mergeCell ref="G456:G457"/>
    <mergeCell ref="G459:G460"/>
    <mergeCell ref="G462:G463"/>
    <mergeCell ref="G408:G409"/>
    <mergeCell ref="G410:G411"/>
    <mergeCell ref="G412:G413"/>
    <mergeCell ref="G418:G419"/>
    <mergeCell ref="G423:G424"/>
    <mergeCell ref="G447:G448"/>
  </mergeCells>
  <dataValidations count="4">
    <dataValidation type="decimal" allowBlank="1" showErrorMessage="1" errorTitle="Ошибка" error="Допускается ввод только действительных чисел!" sqref="K308 K327 K338 K343 K356 K359 K362 K365 K368 K371 K374 K377 K380 K383 K386 K389 K392 K395 K10 K120 K207 K204 K201 K198 K195 K192 K189 K186 K183 K180 K177 K174 K171 K168 K155 K150 K139 K214 K210 K233 K244 K249 K262 K265 K268 K271 K274 K277 K280 K283 K286 K292 K295 K298 K301 K304 K289 K398 K402 K421 K432 K437 K450 K453 K456 K459 K462 K465 K468 K471 K474 K477 K480 K483 K486 K489 K492 K5 K122 K216 K310 K404 K124 K218 K312 K406 K126 K220 K314 K408 K128 K222 K316 K410 K130 K224 K318 K412 K132 K226 K320 K414 K134 K228 K322 K416 K136 K230 K324 K418 K141 K235 K329 K423 K157 K251 K345 K439 K159 K253 K347 K441 K161 K255 K349 K443 K163 K257 K351 K445 K165 K259 K353 K447 K143 K237 K331 K425 K145 K239 K333 K427 K147 K241 K335 K429 K152 K246 K340 K4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214:M215 M308:M309 M23 M120:M121 M402:M40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1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75:J75 I24:J24 I43:J43 I54:J54 I59:J59 I72:J72 I78:J78 I81:J81 I84:J84 I87:J87 I90:J90 I93:J93 I96:J96 I99:J99 I102:J102 I105:J105 I108:J108 I111:J111 I308:J308 I327:J327 I338:J338 I343:J343 I356:J356 I359:J359 I362:J362 I365:J365 I368:J368 I371:J371 I374:J374 I377:J377 I380:J380 I383:J383 I386:J386 I389:J389 I392:J392 I8:J8 I114:J114 I210:J210 I139:J139 I150:J150 I155:J155 I168:J168 I171:J171 I174:J174 I177:J177 I180:J180 I183:J183 I186:J186 I189:J189 I192:J192 I195:J195 I198:J198 I201:J201 I204:J204 I207:J207 I214:J214 I120:J120 I233:J233 I244:J244 I249:J249 I262:J262 I265:J265 I268:J268 I271:J271 I274:J274 I277:J277 I280:J280 I283:J283 I286:J286 I292:J292 I295:J295 I298:J298 I301:J301 I304:J304 I289:J289 I395:J395 I398:J398 I402:J402 I421:J421 I432:J432 I437:J437 I450:J450 I453:J453 I456:J456 I459:J459 I462:J462 I465:J465 I468:J468 I471:J471 I474:J474 I477:J477 I480:J480 I483:J483 I486:J486 I489:J489 I492:J492 I2:J2 I5:J5 I26 J26 I122 J122 I216 J216 I310 J310 I404 J404 I28 J28 I124 J124 I218 J218 I312 J312 I406 J406 I30 J30 I126 J126 I220 J220 I314 J314 I408 J408 I32 J32 I128 J128 I222 J222 I316 J316 I410 J410 I34 J34 I130 J130 I224 J224 I318 J318 I412 J412 I36 J36 I132 J132 I226 J226 I320 J320 I414 J414 I38 J38 I134 J134 I228 J228 I322 J322 I416 J416 I40 J40 I136 J136 I230 J230 I324 J324 I418 J418 I45 J45 I141 J141 I235 J235 I329 J329 I423 J423 I61 J61 I157 J157 I251 J251 I345 J345 I439 J439 I63 J63 I159 J159 I253 J253 I347 J347 I441 J441 I65 J65 I161 J161 I255 J255 I349 J349 I443 J443 I67 J67 I163 J163 I257 J257 I351 J351 I445 J445 I69 J69 I165 J165 I259 J259 I353 J353 I447 J447 I47 J47 I143 J143 I237 J237 I331 J331 I425 J425 I49 J49 I145 J145 I239 J239 I333 J333 I427 J427 I51 J51 I147 J147 I241 J241 I335 J335 I429 J429 I56 J56 I152 J152 I246 J246 I340 J340 I434 J43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5089" hidden="1" customWidth="1"/>
    <col min="2" max="2" width="9.140625" style="4619" hidden="1" customWidth="1"/>
    <col min="3" max="3" width="3.7109375" style="3147" customWidth="1"/>
    <col min="4" max="4" width="6.28515625" style="5088" customWidth="1"/>
    <col min="5" max="5" width="53.85546875" style="5088" customWidth="1"/>
    <col min="6" max="7" width="35.7109375" style="5088" customWidth="1"/>
    <col min="8" max="8" width="89.5703125" style="5088" customWidth="1"/>
    <col min="9" max="9" width="10.5703125" style="5088"/>
    <col min="10" max="11" width="10.5703125" style="4620"/>
    <col min="12" max="17" width="10.5703125" style="5088"/>
  </cols>
  <sheetData>
    <row r="1" spans="1:17" ht="14.25" hidden="1" customHeight="1">
      <c r="N1" s="173"/>
      <c r="O1" s="173"/>
      <c r="Q1" s="173"/>
    </row>
    <row r="2" spans="1:17" s="2115" customFormat="1" ht="18.75" hidden="1" customHeight="1">
      <c r="A2" s="34"/>
      <c r="B2" s="1059"/>
      <c r="C2" s="1639" t="s">
        <v>99</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521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5214"/>
      <c r="F5" s="5214"/>
      <c r="G5" s="5215"/>
      <c r="H5" s="184"/>
    </row>
    <row r="6" spans="1:17" s="2115" customFormat="1" ht="17.25" customHeight="1">
      <c r="A6" s="1579"/>
      <c r="B6" s="1059"/>
      <c r="C6" s="304"/>
      <c r="D6" s="5279" t="str">
        <f>IF(org=0,"Не определено",org)</f>
        <v>ПАО "ТГК-1" (филиал "Кольский")</v>
      </c>
      <c r="E6" s="5280"/>
      <c r="F6" s="5280"/>
      <c r="G6" s="5281"/>
      <c r="H6" s="184"/>
      <c r="J6" s="1535"/>
      <c r="K6" s="1535"/>
    </row>
    <row r="7" spans="1:17" ht="14.25" customHeight="1">
      <c r="C7" s="304"/>
      <c r="D7" s="289"/>
      <c r="E7" s="322"/>
      <c r="F7" s="322"/>
      <c r="G7" s="668"/>
      <c r="H7" s="114"/>
    </row>
    <row r="8" spans="1:17" ht="14.25" customHeight="1">
      <c r="C8" s="304"/>
      <c r="D8" s="5274" t="s">
        <v>417</v>
      </c>
      <c r="E8" s="5274"/>
      <c r="F8" s="5274"/>
      <c r="G8" s="5274"/>
      <c r="H8" s="5457" t="s">
        <v>418</v>
      </c>
    </row>
    <row r="9" spans="1:17" ht="14.25" customHeight="1">
      <c r="C9" s="304"/>
      <c r="D9" s="319" t="s">
        <v>83</v>
      </c>
      <c r="E9" s="39" t="s">
        <v>419</v>
      </c>
      <c r="F9" s="39" t="s">
        <v>420</v>
      </c>
      <c r="G9" s="39" t="s">
        <v>509</v>
      </c>
      <c r="H9" s="5457"/>
    </row>
    <row r="10" spans="1:17" ht="14.25" customHeight="1">
      <c r="A10" s="268"/>
      <c r="C10" s="304"/>
      <c r="D10" s="71" t="s">
        <v>114</v>
      </c>
      <c r="E10" s="17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5225" t="s">
        <v>1192</v>
      </c>
    </row>
    <row r="11" spans="1:17" ht="14.25" customHeight="1">
      <c r="A11" s="268"/>
      <c r="C11" s="304"/>
      <c r="D11" s="71" t="s">
        <v>98</v>
      </c>
      <c r="E11" s="17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5226"/>
    </row>
    <row r="12" spans="1:17" ht="14.25" customHeight="1">
      <c r="A12" s="34"/>
      <c r="C12" s="320"/>
      <c r="D12" s="71" t="s">
        <v>85</v>
      </c>
      <c r="E12" s="321" t="str">
        <f>"Сведения о планировании закупочных процедур"&amp;IF(TEMPLATE_SPHERE="TKO"," &lt;1&gt;","")</f>
        <v>Сведения о планировании закупочных процедур</v>
      </c>
      <c r="F12" s="175"/>
      <c r="G12" s="134"/>
      <c r="H12" s="5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86</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5226"/>
      <c r="I13" s="274"/>
      <c r="K13" s="301"/>
    </row>
    <row r="14" spans="1:17" ht="14.25" customHeight="1">
      <c r="A14" s="268"/>
      <c r="C14" s="304"/>
      <c r="D14" s="272"/>
      <c r="E14" s="328" t="s">
        <v>1151</v>
      </c>
      <c r="F14" s="273"/>
      <c r="G14" s="122"/>
      <c r="H14" s="5227"/>
    </row>
    <row r="15" spans="1:17" s="2115" customFormat="1" ht="14.25" customHeight="1">
      <c r="A15" s="268"/>
      <c r="B15" s="1059"/>
      <c r="C15" s="304"/>
      <c r="D15" s="329"/>
      <c r="E15" s="1587"/>
      <c r="F15" s="1588"/>
      <c r="G15" s="1589"/>
      <c r="H15" s="1590"/>
      <c r="J15" s="1535"/>
      <c r="K15" s="1535"/>
    </row>
    <row r="16" spans="1:17" ht="14.25" customHeight="1">
      <c r="D16" s="1591"/>
      <c r="E16" s="5334"/>
      <c r="F16" s="5334"/>
      <c r="G16" s="5334"/>
      <c r="H16" s="53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28" hidden="1" customWidth="1"/>
    <col min="2" max="2" width="9.140625" style="2130" hidden="1" customWidth="1"/>
    <col min="3" max="3" width="4.7109375" style="4603" customWidth="1"/>
    <col min="4" max="4" width="6.28515625" style="2130" customWidth="1"/>
    <col min="5" max="5" width="47.85546875" style="2130" customWidth="1"/>
    <col min="6" max="6" width="9.5703125" style="2130" customWidth="1"/>
    <col min="7" max="7" width="25.7109375" style="1822" hidden="1" customWidth="1"/>
    <col min="8" max="8" width="34" style="1822" hidden="1" customWidth="1"/>
    <col min="9" max="9" width="25.7109375" style="2130" customWidth="1"/>
    <col min="10" max="10" width="34" style="2130" customWidth="1"/>
    <col min="11" max="11" width="50.85546875" style="1823" customWidth="1"/>
    <col min="12" max="20" width="10.5703125" style="2130"/>
    <col min="21" max="21" width="10.5703125" style="4602"/>
  </cols>
  <sheetData>
    <row r="1" spans="1:21" s="1823" customFormat="1" ht="15" hidden="1" customHeight="1">
      <c r="C1" s="592"/>
      <c r="G1" s="350">
        <v>4</v>
      </c>
      <c r="I1" s="350">
        <v>4</v>
      </c>
      <c r="U1" s="352"/>
    </row>
    <row r="2" spans="1:21" s="1824" customFormat="1" ht="15" hidden="1" customHeight="1">
      <c r="A2" s="288"/>
      <c r="C2" s="97"/>
      <c r="D2" s="271"/>
      <c r="E2" s="593"/>
      <c r="F2" s="447"/>
      <c r="G2" s="536"/>
      <c r="H2" s="536"/>
      <c r="I2" s="536"/>
      <c r="J2" s="536"/>
      <c r="U2" s="594"/>
    </row>
    <row r="3" spans="1:21" s="1823" customFormat="1" ht="15" hidden="1" customHeight="1">
      <c r="C3" s="592"/>
      <c r="U3" s="352"/>
    </row>
    <row r="4" spans="1:21" ht="15" customHeight="1">
      <c r="C4" s="97"/>
      <c r="D4" s="434"/>
      <c r="E4" s="434"/>
      <c r="F4" s="434"/>
      <c r="G4" s="434"/>
      <c r="H4" s="434"/>
      <c r="I4" s="434"/>
      <c r="J4" s="434"/>
    </row>
    <row r="5" spans="1:21" ht="63" customHeight="1">
      <c r="C5" s="97"/>
      <c r="D5" s="5298" t="s">
        <v>1193</v>
      </c>
      <c r="E5" s="5298"/>
      <c r="F5" s="5298"/>
      <c r="G5" s="5298"/>
      <c r="H5" s="5298"/>
      <c r="I5" s="5298"/>
      <c r="J5" s="5298"/>
    </row>
    <row r="6" spans="1:21" ht="15" customHeight="1">
      <c r="C6" s="97"/>
      <c r="D6" s="5245" t="str">
        <f>IF(org=0,"Не определено",org)</f>
        <v>ПАО "ТГК-1" (филиал "Кольский")</v>
      </c>
      <c r="E6" s="5245"/>
      <c r="F6" s="5245"/>
      <c r="G6" s="5245"/>
      <c r="H6" s="5245"/>
      <c r="I6" s="5245"/>
      <c r="J6" s="5245"/>
      <c r="K6" s="461"/>
    </row>
    <row r="7" spans="1:21" ht="15" customHeight="1">
      <c r="C7" s="97"/>
      <c r="D7" s="668"/>
      <c r="E7" s="434"/>
      <c r="F7" s="434"/>
      <c r="G7" s="461">
        <v>22</v>
      </c>
      <c r="I7" s="461">
        <v>1</v>
      </c>
      <c r="J7" s="668"/>
    </row>
    <row r="8" spans="1:21" s="1822" customFormat="1" ht="0.75" customHeight="1">
      <c r="A8" s="675"/>
      <c r="C8" s="97"/>
      <c r="D8" s="434"/>
      <c r="E8" s="434"/>
      <c r="F8" s="434"/>
      <c r="G8" s="461"/>
      <c r="H8" s="668"/>
      <c r="I8" s="461" t="s">
        <v>121</v>
      </c>
      <c r="J8" s="668"/>
      <c r="K8" s="350"/>
      <c r="U8" s="595"/>
    </row>
    <row r="9" spans="1:21" ht="15" customHeight="1">
      <c r="C9" s="97"/>
      <c r="D9" s="629"/>
      <c r="E9" s="5388" t="s">
        <v>110</v>
      </c>
      <c r="F9" s="5389"/>
      <c r="G9" s="5409" t="str">
        <f>IF(G8="","",INDEX(DIFFERENTIATION_UNMERGE_VD,MATCH(G8,DIFFERENTIATION_ID_DIFF,0)))</f>
        <v/>
      </c>
      <c r="H9" s="5410"/>
      <c r="I9" s="5409">
        <f>IF(I8="","",INDEX(DIFFERENTIATION_UNMERGE_VD,MATCH(I8,DIFFERENTIATION_ID_DIFF,0)))</f>
        <v>0</v>
      </c>
      <c r="J9" s="5410"/>
      <c r="K9" s="5244" t="s">
        <v>418</v>
      </c>
    </row>
    <row r="10" spans="1:21" s="1822" customFormat="1" ht="15" customHeight="1">
      <c r="A10" s="675"/>
      <c r="C10" s="97"/>
      <c r="D10" s="629"/>
      <c r="E10" s="5388" t="s">
        <v>678</v>
      </c>
      <c r="F10" s="5389"/>
      <c r="G10" s="5409" t="str">
        <f>IF(G8="","",INDEX(DIFFERENTIATION_UNMERGE_AREA,MATCH(G8,DIFFERENTIATION_ID_DIFF,0)))</f>
        <v/>
      </c>
      <c r="H10" s="5410"/>
      <c r="I10" s="5409" t="str">
        <f>IF(I8="","",INDEX(DIFFERENTIATION_UNMERGE_AREA,MATCH(I8,DIFFERENTIATION_ID_DIFF,0)))</f>
        <v/>
      </c>
      <c r="J10" s="5410"/>
      <c r="K10" s="5263"/>
      <c r="U10" s="595"/>
    </row>
    <row r="11" spans="1:21" s="1822" customFormat="1" ht="15" customHeight="1">
      <c r="A11" s="675"/>
      <c r="C11" s="97"/>
      <c r="D11" s="629"/>
      <c r="E11" s="5388" t="s">
        <v>679</v>
      </c>
      <c r="F11" s="5389"/>
      <c r="G11" s="5409" t="str">
        <f>IF(G8="","",INDEX(DIFFERENTIATION_UNMERGE_SYSTEM,MATCH(G8,DIFFERENTIATION_ID_DIFF,0)))</f>
        <v/>
      </c>
      <c r="H11" s="5410"/>
      <c r="I11" s="5409" t="str">
        <f>IF(I8="","",INDEX(DIFFERENTIATION_UNMERGE_SYSTEM,MATCH(I8,DIFFERENTIATION_ID_DIFF,0)))</f>
        <v>без дифференциации</v>
      </c>
      <c r="J11" s="5410"/>
      <c r="K11" s="5263"/>
      <c r="U11" s="595"/>
    </row>
    <row r="12" spans="1:21" s="1822" customFormat="1" ht="15" customHeight="1">
      <c r="A12" s="675"/>
      <c r="C12" s="97"/>
      <c r="D12" s="5390" t="s">
        <v>417</v>
      </c>
      <c r="E12" s="5391"/>
      <c r="F12" s="5391"/>
      <c r="G12" s="799"/>
      <c r="H12" s="799"/>
      <c r="I12" s="799"/>
      <c r="J12" s="799"/>
      <c r="K12" s="5263"/>
      <c r="U12" s="595"/>
    </row>
    <row r="13" spans="1:21" ht="33.75" customHeight="1">
      <c r="C13" s="97"/>
      <c r="D13" s="721" t="s">
        <v>83</v>
      </c>
      <c r="E13" s="723" t="s">
        <v>419</v>
      </c>
      <c r="F13" s="723" t="s">
        <v>680</v>
      </c>
      <c r="G13" s="724" t="s">
        <v>420</v>
      </c>
      <c r="H13" s="723" t="s">
        <v>509</v>
      </c>
      <c r="I13" s="724" t="s">
        <v>420</v>
      </c>
      <c r="J13" s="723" t="s">
        <v>509</v>
      </c>
      <c r="K13" s="5293"/>
    </row>
    <row r="14" spans="1:21" ht="15" hidden="1" customHeight="1">
      <c r="C14" s="97"/>
      <c r="D14" s="515" t="s">
        <v>114</v>
      </c>
      <c r="E14" s="515" t="s">
        <v>98</v>
      </c>
      <c r="F14" s="515" t="s">
        <v>85</v>
      </c>
      <c r="G14" s="579" t="str">
        <f>G1&amp;".1"</f>
        <v>4.1</v>
      </c>
      <c r="H14" s="579"/>
      <c r="I14" s="579" t="str">
        <f>I1&amp;".1"</f>
        <v>4.1</v>
      </c>
      <c r="J14" s="579"/>
      <c r="K14" s="207"/>
    </row>
    <row r="15" spans="1:21" ht="22.5" hidden="1" customHeight="1">
      <c r="A15" s="430"/>
      <c r="C15" s="451"/>
      <c r="D15" s="446">
        <v>1</v>
      </c>
      <c r="E15" s="597" t="s">
        <v>837</v>
      </c>
      <c r="F15" s="446" t="s">
        <v>838</v>
      </c>
      <c r="G15" s="598"/>
      <c r="H15" s="598"/>
      <c r="I15" s="598"/>
      <c r="J15" s="598"/>
      <c r="K15" s="207" t="s">
        <v>839</v>
      </c>
    </row>
    <row r="16" spans="1:21" ht="22.5" hidden="1" customHeight="1">
      <c r="A16" s="430"/>
      <c r="C16" s="451"/>
      <c r="D16" s="446">
        <v>2</v>
      </c>
      <c r="E16" s="198" t="s">
        <v>840</v>
      </c>
      <c r="F16" s="446" t="s">
        <v>841</v>
      </c>
      <c r="G16" s="598"/>
      <c r="H16" s="598"/>
      <c r="I16" s="598"/>
      <c r="J16" s="598"/>
      <c r="K16" s="207" t="s">
        <v>842</v>
      </c>
    </row>
    <row r="17" spans="1:11" ht="123.75" hidden="1" customHeight="1">
      <c r="A17" s="430"/>
      <c r="C17" s="451"/>
      <c r="D17" s="446">
        <v>3</v>
      </c>
      <c r="E17" s="198" t="s">
        <v>1194</v>
      </c>
      <c r="F17" s="446" t="s">
        <v>423</v>
      </c>
      <c r="G17" s="598"/>
      <c r="H17" s="598"/>
      <c r="I17" s="598"/>
      <c r="J17" s="598"/>
      <c r="K17" s="207" t="s">
        <v>1195</v>
      </c>
    </row>
    <row r="18" spans="1:11" ht="45" customHeight="1">
      <c r="A18" s="430"/>
      <c r="C18" s="451"/>
      <c r="D18" s="446">
        <v>4</v>
      </c>
      <c r="E18" s="198" t="s">
        <v>843</v>
      </c>
      <c r="F18" s="446" t="s">
        <v>423</v>
      </c>
      <c r="G18" s="725" t="s">
        <v>423</v>
      </c>
      <c r="H18" s="726" t="s">
        <v>423</v>
      </c>
      <c r="I18" s="446" t="s">
        <v>423</v>
      </c>
      <c r="J18" s="502" t="s">
        <v>423</v>
      </c>
      <c r="K18" s="207" t="s">
        <v>1196</v>
      </c>
    </row>
    <row r="19" spans="1:11" ht="33.75" customHeight="1">
      <c r="A19" s="430"/>
      <c r="C19" s="451"/>
      <c r="D19" s="463" t="s">
        <v>781</v>
      </c>
      <c r="E19" s="483" t="s">
        <v>845</v>
      </c>
      <c r="F19" s="446" t="s">
        <v>846</v>
      </c>
      <c r="G19" s="733"/>
      <c r="H19" s="37"/>
      <c r="I19" s="733"/>
      <c r="J19" s="734"/>
      <c r="K19" s="599"/>
    </row>
    <row r="20" spans="1:11" ht="33.75" customHeight="1">
      <c r="A20" s="430"/>
      <c r="C20" s="451"/>
      <c r="D20" s="463" t="s">
        <v>824</v>
      </c>
      <c r="E20" s="483" t="s">
        <v>847</v>
      </c>
      <c r="F20" s="446" t="s">
        <v>848</v>
      </c>
      <c r="G20" s="733"/>
      <c r="H20" s="37"/>
      <c r="I20" s="733"/>
      <c r="J20" s="37"/>
      <c r="K20" s="599"/>
    </row>
    <row r="21" spans="1:11" ht="45" customHeight="1">
      <c r="A21" s="430"/>
      <c r="C21" s="451"/>
      <c r="D21" s="463" t="s">
        <v>827</v>
      </c>
      <c r="E21" s="483" t="s">
        <v>849</v>
      </c>
      <c r="F21" s="446" t="s">
        <v>685</v>
      </c>
      <c r="G21" s="600"/>
      <c r="H21" s="37"/>
      <c r="I21" s="600"/>
      <c r="J21" s="37"/>
      <c r="K21" s="599"/>
    </row>
    <row r="22" spans="1:11" ht="67.5" hidden="1" customHeight="1">
      <c r="A22" s="430"/>
      <c r="C22" s="451"/>
      <c r="D22" s="446">
        <v>5</v>
      </c>
      <c r="E22" s="198" t="s">
        <v>1197</v>
      </c>
      <c r="F22" s="446" t="s">
        <v>672</v>
      </c>
      <c r="G22" s="601"/>
      <c r="H22" s="602"/>
      <c r="I22" s="601"/>
      <c r="J22" s="602"/>
      <c r="K22" s="207" t="s">
        <v>1198</v>
      </c>
    </row>
    <row r="23" spans="1:11" ht="33.75" hidden="1" customHeight="1">
      <c r="C23" s="381"/>
      <c r="D23" s="446">
        <v>6</v>
      </c>
      <c r="E23" s="198" t="s">
        <v>1199</v>
      </c>
      <c r="F23" s="446" t="s">
        <v>1200</v>
      </c>
      <c r="G23" s="601"/>
      <c r="H23" s="601"/>
      <c r="I23" s="601"/>
      <c r="J23" s="601"/>
      <c r="K23" s="207" t="s">
        <v>1201</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5090" hidden="1"/>
    <col min="2" max="2" width="9.140625" style="5091" hidden="1"/>
    <col min="3" max="3" width="3.7109375" style="5092" customWidth="1"/>
    <col min="4" max="4" width="7" style="5095" customWidth="1"/>
    <col min="5" max="5" width="23.140625" style="5095" customWidth="1"/>
    <col min="6" max="6" width="16" style="5095" customWidth="1"/>
    <col min="7" max="7" width="14.85546875" style="5095" customWidth="1"/>
    <col min="8" max="8" width="47.85546875" style="5095" customWidth="1"/>
    <col min="9" max="9" width="115.7109375" style="5095" customWidth="1"/>
    <col min="10" max="10" width="3.7109375" style="5095" customWidth="1"/>
    <col min="11" max="12" width="9.140625" style="5095"/>
  </cols>
  <sheetData>
    <row r="1" spans="1:12" ht="14.25" hidden="1" customHeight="1"/>
    <row r="2" spans="1:12" ht="14.25" hidden="1" customHeight="1"/>
    <row r="3" spans="1:12" ht="14.25" hidden="1" customHeight="1"/>
    <row r="4" spans="1:12" ht="3" customHeight="1"/>
    <row r="5" spans="1:12" s="1836" customFormat="1" ht="30" customHeight="1">
      <c r="A5" s="45"/>
      <c r="C5" s="24"/>
      <c r="D5" s="5155" t="s">
        <v>1202</v>
      </c>
      <c r="E5" s="5155"/>
      <c r="F5" s="5155"/>
      <c r="G5" s="5155"/>
      <c r="H5" s="5155"/>
      <c r="I5" s="183"/>
    </row>
    <row r="6" spans="1:12" ht="3" hidden="1" customHeight="1">
      <c r="D6" s="49"/>
      <c r="E6" s="49"/>
      <c r="F6" s="49"/>
      <c r="G6" s="49"/>
      <c r="H6" s="49"/>
      <c r="I6" s="49"/>
    </row>
    <row r="7" spans="1:12" s="5090" customFormat="1" ht="14.25" customHeight="1">
      <c r="B7" s="46"/>
      <c r="C7" s="47"/>
      <c r="D7" s="50"/>
      <c r="E7" s="50"/>
      <c r="F7" s="50"/>
      <c r="G7" s="50"/>
      <c r="H7" s="668"/>
      <c r="I7" s="50"/>
      <c r="J7" s="51"/>
    </row>
    <row r="8" spans="1:12" ht="14.25" customHeight="1">
      <c r="D8" s="5274" t="s">
        <v>417</v>
      </c>
      <c r="E8" s="5274"/>
      <c r="F8" s="5274"/>
      <c r="G8" s="5274"/>
      <c r="H8" s="5274"/>
      <c r="I8" s="5274" t="s">
        <v>418</v>
      </c>
    </row>
    <row r="9" spans="1:12" ht="27.75" customHeight="1">
      <c r="D9" s="5274" t="s">
        <v>83</v>
      </c>
      <c r="E9" s="5274" t="s">
        <v>1203</v>
      </c>
      <c r="F9" s="5274"/>
      <c r="G9" s="5274"/>
      <c r="H9" s="5274"/>
      <c r="I9" s="5274"/>
    </row>
    <row r="10" spans="1:12" ht="22.5" customHeight="1">
      <c r="D10" s="5274"/>
      <c r="E10" s="54" t="s">
        <v>1204</v>
      </c>
      <c r="F10" s="54" t="s">
        <v>1205</v>
      </c>
      <c r="G10" s="54" t="s">
        <v>1206</v>
      </c>
      <c r="H10" s="54" t="s">
        <v>509</v>
      </c>
      <c r="I10" s="5274"/>
    </row>
    <row r="11" spans="1:12" ht="12" hidden="1" customHeight="1">
      <c r="D11" s="21" t="s">
        <v>114</v>
      </c>
      <c r="E11" s="21" t="s">
        <v>86</v>
      </c>
      <c r="F11" s="21" t="s">
        <v>115</v>
      </c>
      <c r="G11" s="21" t="s">
        <v>87</v>
      </c>
      <c r="H11" s="21" t="s">
        <v>88</v>
      </c>
      <c r="I11" s="21" t="s">
        <v>116</v>
      </c>
    </row>
    <row r="12" spans="1:12" s="5093" customFormat="1" ht="24.75" customHeight="1">
      <c r="A12" s="69" t="s">
        <v>85</v>
      </c>
      <c r="B12" s="52" t="s">
        <v>24</v>
      </c>
      <c r="C12" s="53"/>
      <c r="D12" s="55" t="s">
        <v>114</v>
      </c>
      <c r="E12" s="314"/>
      <c r="F12" s="314"/>
      <c r="G12" s="1642" t="s">
        <v>24</v>
      </c>
      <c r="H12" s="315"/>
      <c r="I12" s="5225" t="s">
        <v>1207</v>
      </c>
      <c r="K12" s="190"/>
      <c r="L12" s="191"/>
    </row>
    <row r="13" spans="1:12" ht="15" customHeight="1">
      <c r="A13" s="48"/>
      <c r="B13" s="48"/>
      <c r="C13" s="48"/>
      <c r="D13" s="40"/>
      <c r="E13" s="57" t="s">
        <v>589</v>
      </c>
      <c r="F13" s="56"/>
      <c r="G13" s="56"/>
      <c r="H13" s="135"/>
      <c r="I13" s="5227"/>
    </row>
    <row r="14" spans="1:12" ht="3" customHeight="1">
      <c r="A14" s="48"/>
      <c r="B14" s="48"/>
      <c r="C14" s="48"/>
    </row>
    <row r="15" spans="1:12" ht="27.75" customHeight="1">
      <c r="E15" s="5470" t="s">
        <v>1208</v>
      </c>
      <c r="F15" s="5470"/>
      <c r="G15" s="5470"/>
      <c r="H15" s="547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6"/>
  <sheetViews>
    <sheetView showGridLines="0" topLeftCell="C6" zoomScale="90" workbookViewId="0">
      <selection activeCell="E14" sqref="E14"/>
    </sheetView>
  </sheetViews>
  <sheetFormatPr defaultColWidth="9.140625" defaultRowHeight="14.25" customHeight="1"/>
  <cols>
    <col min="1" max="2" width="9.140625" style="5098" hidden="1"/>
    <col min="3" max="3" width="3.7109375" style="5099" customWidth="1"/>
    <col min="4" max="4" width="6.28515625" style="5098" customWidth="1"/>
    <col min="5" max="5" width="94.85546875" style="5098" customWidth="1"/>
    <col min="6" max="9" width="9.140625" style="5098"/>
  </cols>
  <sheetData>
    <row r="1" spans="1:9" ht="14.25" hidden="1" customHeight="1"/>
    <row r="2" spans="1:9" ht="14.25" hidden="1" customHeight="1"/>
    <row r="3" spans="1:9" ht="14.25" hidden="1" customHeight="1"/>
    <row r="4" spans="1:9" ht="14.25" hidden="1" customHeight="1"/>
    <row r="5" spans="1:9" ht="14.25" hidden="1" customHeight="1"/>
    <row r="6" spans="1:9" ht="3" customHeight="1">
      <c r="C6" s="25"/>
      <c r="D6" s="6"/>
      <c r="E6" s="6"/>
    </row>
    <row r="7" spans="1:9" ht="22.5" customHeight="1">
      <c r="C7" s="25"/>
      <c r="D7" s="5471" t="s">
        <v>1209</v>
      </c>
      <c r="E7" s="5472"/>
      <c r="F7" s="185"/>
    </row>
    <row r="8" spans="1:9" ht="3" customHeight="1">
      <c r="C8" s="25"/>
      <c r="D8" s="6"/>
      <c r="E8" s="6"/>
    </row>
    <row r="9" spans="1:9" ht="15.75" customHeight="1">
      <c r="C9" s="25"/>
      <c r="D9" s="36" t="s">
        <v>83</v>
      </c>
      <c r="E9" s="178" t="s">
        <v>1210</v>
      </c>
    </row>
    <row r="10" spans="1:9" ht="0.75" customHeight="1">
      <c r="C10" s="25"/>
      <c r="D10" s="21"/>
      <c r="E10" s="21"/>
    </row>
    <row r="11" spans="1:9" ht="11.25" hidden="1" customHeight="1">
      <c r="C11" s="25"/>
      <c r="D11" s="74">
        <v>0</v>
      </c>
      <c r="E11" s="179"/>
    </row>
    <row r="12" spans="1:9" ht="15" customHeight="1">
      <c r="C12" s="62"/>
      <c r="D12" s="43">
        <v>1</v>
      </c>
      <c r="E12" s="307" t="s">
        <v>1211</v>
      </c>
    </row>
    <row r="13" spans="1:9" ht="15" customHeight="1">
      <c r="A13" s="5096"/>
      <c r="B13" s="5096"/>
      <c r="C13" s="5097" t="s">
        <v>99</v>
      </c>
      <c r="D13" s="43" t="s">
        <v>98</v>
      </c>
      <c r="E13" s="307" t="s">
        <v>1212</v>
      </c>
      <c r="F13" s="5096"/>
      <c r="G13" s="5096"/>
      <c r="H13" s="5096"/>
      <c r="I13" s="5096"/>
    </row>
    <row r="14" spans="1:9" ht="12" customHeight="1">
      <c r="C14" s="25"/>
      <c r="D14" s="180"/>
      <c r="E14" s="181" t="s">
        <v>1213</v>
      </c>
    </row>
    <row r="15" spans="1:9" ht="3" customHeight="1"/>
    <row r="16" spans="1:9" ht="22.5" customHeight="1">
      <c r="C16" s="63"/>
      <c r="D16" s="5470" t="s">
        <v>1214</v>
      </c>
      <c r="E16" s="5470"/>
      <c r="F16" s="64"/>
      <c r="G16" s="64"/>
      <c r="H16" s="64"/>
      <c r="I16" s="64"/>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18" hidden="1" customWidth="1"/>
    <col min="3" max="3" width="3.7109375" style="2121" customWidth="1"/>
    <col min="4" max="4" width="6.85546875" style="2122" customWidth="1"/>
    <col min="5" max="5" width="52.28515625" style="2121" customWidth="1"/>
    <col min="6" max="6" width="48.85546875" style="2121" customWidth="1"/>
    <col min="7" max="7" width="93.42578125" style="2121" customWidth="1"/>
    <col min="8" max="8" width="9.140625" style="2121"/>
    <col min="9" max="9" width="65" style="2121" customWidth="1"/>
  </cols>
  <sheetData>
    <row r="1" spans="1:9" ht="11.25" hidden="1" customHeight="1">
      <c r="A1" s="426" t="s">
        <v>416</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51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5174"/>
      <c r="F5" s="5175"/>
      <c r="I5" s="633"/>
    </row>
    <row r="6" spans="1:9" ht="17.25" customHeight="1">
      <c r="D6" s="5245" t="str">
        <f>IF(region_name=0,"Не определено",region_name)</f>
        <v>Мурманская область</v>
      </c>
      <c r="E6" s="5245"/>
      <c r="F6" s="5245"/>
      <c r="I6" s="633"/>
    </row>
    <row r="7" spans="1:9" s="2117" customFormat="1" ht="11.25" customHeight="1">
      <c r="A7" s="426"/>
      <c r="B7" s="426"/>
      <c r="D7" s="632"/>
      <c r="E7" s="632"/>
      <c r="F7" s="668"/>
      <c r="G7" s="632"/>
    </row>
    <row r="8" spans="1:9" ht="11.25" hidden="1" customHeight="1">
      <c r="A8" s="427"/>
      <c r="B8" s="427"/>
      <c r="C8" s="384"/>
      <c r="D8" s="389"/>
      <c r="E8" s="5272"/>
      <c r="F8" s="5272"/>
    </row>
    <row r="9" spans="1:9" ht="11.25" customHeight="1">
      <c r="A9" s="427"/>
      <c r="B9" s="427"/>
      <c r="C9" s="384"/>
      <c r="D9" s="5268" t="s">
        <v>417</v>
      </c>
      <c r="E9" s="5269"/>
      <c r="F9" s="5269"/>
      <c r="G9" s="5273" t="s">
        <v>418</v>
      </c>
    </row>
    <row r="10" spans="1:9" ht="11.25" customHeight="1">
      <c r="A10" s="427"/>
      <c r="B10" s="427"/>
      <c r="C10" s="384"/>
      <c r="D10" s="1383" t="s">
        <v>83</v>
      </c>
      <c r="E10" s="1385" t="s">
        <v>419</v>
      </c>
      <c r="F10" s="1385" t="s">
        <v>420</v>
      </c>
      <c r="G10" s="5274"/>
    </row>
    <row r="11" spans="1:9" ht="0.75" customHeight="1">
      <c r="A11" s="427"/>
      <c r="B11" s="427"/>
      <c r="C11" s="384"/>
      <c r="D11" s="390"/>
      <c r="E11" s="390"/>
      <c r="F11" s="390"/>
      <c r="G11" s="390"/>
    </row>
    <row r="12" spans="1:9" ht="22.5" customHeight="1">
      <c r="A12" s="427"/>
      <c r="B12" s="427"/>
      <c r="C12" s="384"/>
      <c r="D12" s="1429">
        <v>1</v>
      </c>
      <c r="E12" s="400" t="s">
        <v>1215</v>
      </c>
      <c r="F12" s="1767" t="str">
        <f>IF(org="","",org)</f>
        <v>ПАО "ТГК-1" (филиал "Кольский")</v>
      </c>
      <c r="G12" s="400" t="s">
        <v>1216</v>
      </c>
      <c r="H12" s="1441"/>
    </row>
    <row r="13" spans="1:9" ht="18.75" customHeight="1">
      <c r="A13" s="427"/>
      <c r="B13" s="427"/>
      <c r="C13" s="384"/>
      <c r="D13" s="1429">
        <v>2</v>
      </c>
      <c r="E13" s="1436" t="s">
        <v>1217</v>
      </c>
      <c r="F13" s="1430" t="s">
        <v>423</v>
      </c>
      <c r="G13" s="400"/>
      <c r="H13" s="1441"/>
    </row>
    <row r="14" spans="1:9" ht="18.75" customHeight="1">
      <c r="A14" s="427"/>
      <c r="B14" s="427"/>
      <c r="C14" s="384"/>
      <c r="D14" s="1432" t="s">
        <v>736</v>
      </c>
      <c r="E14" s="1433" t="s">
        <v>1218</v>
      </c>
      <c r="F14" s="1435"/>
      <c r="G14" s="1434" t="s">
        <v>1219</v>
      </c>
      <c r="H14" s="1441"/>
    </row>
    <row r="15" spans="1:9" ht="18.75" customHeight="1">
      <c r="A15" s="427"/>
      <c r="B15" s="427"/>
      <c r="C15" s="384"/>
      <c r="D15" s="1432" t="s">
        <v>424</v>
      </c>
      <c r="E15" s="1433" t="s">
        <v>1220</v>
      </c>
      <c r="F15" s="1435"/>
      <c r="G15" s="1434" t="s">
        <v>1221</v>
      </c>
      <c r="H15" s="1441"/>
    </row>
    <row r="16" spans="1:9" ht="36.75" customHeight="1">
      <c r="A16" s="427"/>
      <c r="B16" s="427"/>
      <c r="C16" s="384"/>
      <c r="D16" s="1432" t="s">
        <v>427</v>
      </c>
      <c r="E16" s="1431" t="s">
        <v>1222</v>
      </c>
      <c r="F16" s="1439"/>
      <c r="G16" s="400" t="s">
        <v>1223</v>
      </c>
      <c r="H16" s="1441"/>
    </row>
    <row r="17" spans="1:9" ht="45" customHeight="1">
      <c r="A17" s="427"/>
      <c r="B17" s="427"/>
      <c r="C17" s="384"/>
      <c r="D17" s="1429">
        <v>3</v>
      </c>
      <c r="E17" s="1436" t="s">
        <v>1224</v>
      </c>
      <c r="F17" s="1435"/>
      <c r="G17" s="400" t="s">
        <v>1225</v>
      </c>
      <c r="H17" s="1441"/>
    </row>
    <row r="18" spans="1:9" ht="45" customHeight="1">
      <c r="A18" s="1384">
        <v>1</v>
      </c>
      <c r="B18" s="427"/>
      <c r="C18" s="1386"/>
      <c r="D18" s="1429" t="s">
        <v>86</v>
      </c>
      <c r="E18" s="1436" t="s">
        <v>1226</v>
      </c>
      <c r="F18" s="1435"/>
      <c r="G18" s="400" t="s">
        <v>1225</v>
      </c>
      <c r="H18" s="1441"/>
      <c r="I18" s="764"/>
    </row>
    <row r="19" spans="1:9" ht="22.5" customHeight="1">
      <c r="A19" s="427"/>
      <c r="B19" s="427"/>
      <c r="C19" s="384"/>
      <c r="D19" s="1429" t="s">
        <v>115</v>
      </c>
      <c r="E19" s="1436" t="s">
        <v>1227</v>
      </c>
      <c r="F19" s="1430" t="s">
        <v>423</v>
      </c>
      <c r="G19" s="5473" t="s">
        <v>1228</v>
      </c>
      <c r="H19" s="401"/>
    </row>
    <row r="20" spans="1:9" s="5100" customFormat="1" ht="5.25" hidden="1" customHeight="1">
      <c r="A20" s="427"/>
      <c r="B20" s="427"/>
      <c r="C20" s="1438"/>
      <c r="D20" s="1437" t="s">
        <v>1144</v>
      </c>
      <c r="E20" s="920"/>
      <c r="F20" s="919"/>
      <c r="G20" s="5474"/>
    </row>
    <row r="21" spans="1:9" ht="15" customHeight="1">
      <c r="A21" s="427"/>
      <c r="B21" s="427"/>
      <c r="C21" s="384"/>
      <c r="D21" s="393"/>
      <c r="E21" s="348" t="s">
        <v>458</v>
      </c>
      <c r="F21" s="395"/>
      <c r="G21" s="5475"/>
      <c r="H21" s="1441"/>
    </row>
    <row r="22" spans="1:9" s="2118" customFormat="1" ht="24.75" customHeight="1">
      <c r="A22" s="427"/>
      <c r="B22" s="427"/>
      <c r="C22" s="427"/>
      <c r="D22" s="1429" t="s">
        <v>87</v>
      </c>
      <c r="E22" s="400" t="s">
        <v>1229</v>
      </c>
      <c r="F22" s="1435"/>
      <c r="G22" s="400" t="s">
        <v>1230</v>
      </c>
      <c r="H22" s="1440"/>
    </row>
    <row r="23" spans="1:9" s="2118" customFormat="1" ht="18.75" customHeight="1">
      <c r="A23" s="427"/>
      <c r="B23" s="427"/>
      <c r="C23" s="427"/>
      <c r="D23" s="1429" t="s">
        <v>88</v>
      </c>
      <c r="E23" s="1436" t="s">
        <v>1231</v>
      </c>
      <c r="F23" s="1439"/>
      <c r="G23" s="400" t="s">
        <v>1232</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12" hidden="1"/>
    <col min="2" max="2" width="9.140625" style="1832" hidden="1"/>
    <col min="3" max="3" width="3.7109375" style="2112" hidden="1" customWidth="1"/>
    <col min="4" max="4" width="3.85546875" style="2129" customWidth="1"/>
    <col min="5" max="5" width="6.28515625" style="2112" customWidth="1"/>
    <col min="6" max="6" width="46.7109375" style="2112" customWidth="1"/>
    <col min="7" max="8" width="16.7109375" style="2112" customWidth="1"/>
    <col min="9" max="9" width="35.28515625" style="2112" customWidth="1"/>
    <col min="10" max="10" width="89.5703125" style="2112"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2112"/>
  </cols>
  <sheetData>
    <row r="1" spans="1:254" ht="14.25" hidden="1" customHeight="1"/>
    <row r="2" spans="1:254" s="1830"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19" customFormat="1" ht="5.25" hidden="1" customHeight="1">
      <c r="A3" s="421"/>
      <c r="D3" s="419"/>
      <c r="F3" s="165" t="s">
        <v>78</v>
      </c>
      <c r="G3" s="419" t="s">
        <v>79</v>
      </c>
      <c r="H3" s="419"/>
      <c r="I3" s="419"/>
      <c r="J3" s="147" t="s">
        <v>80</v>
      </c>
      <c r="K3" s="165" t="s">
        <v>78</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8"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8" customFormat="1" ht="25.5" customHeight="1">
      <c r="A5" s="1054"/>
      <c r="B5" s="1059"/>
      <c r="C5" s="1054"/>
      <c r="D5" s="1404"/>
      <c r="E5" s="515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5155"/>
      <c r="G5" s="5155"/>
      <c r="H5" s="5155"/>
      <c r="I5" s="5155"/>
      <c r="J5" s="5155"/>
      <c r="K5" s="165"/>
      <c r="L5" s="425"/>
      <c r="M5" s="425"/>
      <c r="N5" s="425"/>
      <c r="O5" s="146"/>
      <c r="P5" s="425"/>
      <c r="Q5" s="145"/>
      <c r="R5" s="145"/>
      <c r="S5" s="145"/>
      <c r="T5" s="145"/>
    </row>
    <row r="6" spans="1:254" s="1828"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8" customFormat="1" ht="14.25" customHeight="1">
      <c r="A7" s="1054"/>
      <c r="B7" s="1059"/>
      <c r="C7" s="1054"/>
      <c r="D7" s="1404"/>
      <c r="E7" s="5151" t="s">
        <v>417</v>
      </c>
      <c r="F7" s="5156"/>
      <c r="G7" s="5156"/>
      <c r="H7" s="5156"/>
      <c r="I7" s="5156"/>
      <c r="J7" s="5476" t="s">
        <v>418</v>
      </c>
      <c r="K7" s="425"/>
      <c r="L7" s="425"/>
      <c r="M7" s="425"/>
      <c r="N7" s="425"/>
      <c r="O7" s="146"/>
      <c r="P7" s="425"/>
      <c r="Q7" s="145"/>
      <c r="R7" s="145"/>
      <c r="S7" s="145"/>
      <c r="T7" s="145"/>
    </row>
    <row r="8" spans="1:254" s="1828" customFormat="1" ht="20.25" customHeight="1">
      <c r="A8" s="1054"/>
      <c r="B8" s="1059"/>
      <c r="C8" s="1054"/>
      <c r="D8" s="1404"/>
      <c r="E8" s="1462" t="s">
        <v>83</v>
      </c>
      <c r="F8" s="1448" t="s">
        <v>1233</v>
      </c>
      <c r="G8" s="1448" t="s">
        <v>48</v>
      </c>
      <c r="H8" s="1448" t="s">
        <v>50</v>
      </c>
      <c r="I8" s="1448" t="s">
        <v>1234</v>
      </c>
      <c r="J8" s="5477"/>
      <c r="K8" s="425"/>
      <c r="L8" s="425"/>
      <c r="M8" s="425"/>
      <c r="N8" s="425"/>
      <c r="O8" s="146"/>
      <c r="P8" s="425"/>
      <c r="Q8" s="145"/>
      <c r="R8" s="145"/>
      <c r="S8" s="145"/>
      <c r="T8" s="145"/>
    </row>
    <row r="9" spans="1:254" s="1830" customFormat="1" ht="22.5" customHeight="1">
      <c r="A9" s="5154"/>
      <c r="B9" s="1059">
        <v>1</v>
      </c>
      <c r="C9" s="1059"/>
      <c r="D9" s="717"/>
      <c r="E9" s="1393">
        <v>1</v>
      </c>
      <c r="F9" s="1461"/>
      <c r="G9" s="1400"/>
      <c r="H9" s="1400"/>
      <c r="I9" s="1446"/>
      <c r="J9" s="5478" t="s">
        <v>1235</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0" customFormat="1" ht="15" customHeight="1">
      <c r="A10" s="5154"/>
      <c r="B10" s="1059"/>
      <c r="C10" s="345"/>
      <c r="D10" s="717"/>
      <c r="E10" s="1449"/>
      <c r="F10" s="1409" t="s">
        <v>1236</v>
      </c>
      <c r="G10" s="1450"/>
      <c r="H10" s="1450"/>
      <c r="I10" s="1450"/>
      <c r="J10" s="5479"/>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8"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8"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8"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7" customFormat="1" ht="10.5" customHeight="1">
      <c r="B14" s="750"/>
      <c r="D14" s="103"/>
      <c r="K14" s="425"/>
      <c r="L14" s="425"/>
      <c r="M14" s="425"/>
      <c r="N14" s="425"/>
      <c r="O14" s="146"/>
      <c r="P14" s="425"/>
      <c r="Q14" s="145"/>
      <c r="R14" s="145"/>
      <c r="S14" s="145"/>
      <c r="T14" s="145"/>
    </row>
    <row r="15" spans="1:254" s="1837"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12" hidden="1"/>
    <col min="2" max="2" width="9.140625" style="1832" hidden="1"/>
    <col min="3" max="3" width="3.7109375" style="2112" hidden="1" customWidth="1"/>
    <col min="4" max="4" width="3.85546875" style="2129" customWidth="1"/>
    <col min="5" max="5" width="6.28515625" style="2112" customWidth="1"/>
    <col min="6" max="6" width="27.28515625" style="2112" customWidth="1"/>
    <col min="7" max="7" width="16.7109375" style="2112" customWidth="1"/>
    <col min="8" max="8" width="12.7109375" style="2112" customWidth="1"/>
    <col min="9" max="9" width="32.140625" style="2112" customWidth="1"/>
    <col min="10" max="11" width="41.85546875" style="2112" customWidth="1"/>
    <col min="12" max="12" width="89.5703125" style="2112"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2112"/>
  </cols>
  <sheetData>
    <row r="1" spans="1:256" ht="14.25" hidden="1" customHeight="1"/>
    <row r="2" spans="1:256" s="1830" customFormat="1" ht="22.5" hidden="1" customHeight="1">
      <c r="A2" s="747"/>
      <c r="B2" s="1059">
        <v>1</v>
      </c>
      <c r="C2" s="1059"/>
      <c r="D2" s="717"/>
      <c r="E2" s="1393"/>
      <c r="F2" s="1447" t="str">
        <f>IF(ROIV_INFO_NAME="","",ROIV_INFO_NAME)</f>
        <v>ПАО "ТГК-1" (филиал "Кольский")</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19" customFormat="1" ht="5.25" hidden="1" customHeight="1">
      <c r="A3" s="421"/>
      <c r="D3" s="419"/>
      <c r="F3" s="165" t="s">
        <v>78</v>
      </c>
      <c r="G3" s="1643" t="s">
        <v>79</v>
      </c>
      <c r="H3" s="419"/>
      <c r="I3" s="419"/>
      <c r="J3" s="419"/>
      <c r="K3" s="419"/>
      <c r="L3" s="147" t="s">
        <v>80</v>
      </c>
      <c r="M3" s="165" t="s">
        <v>78</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8"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8" customFormat="1" ht="25.5" customHeight="1">
      <c r="A5" s="1054"/>
      <c r="B5" s="1059"/>
      <c r="C5" s="1054"/>
      <c r="D5" s="1404"/>
      <c r="E5" s="515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5155"/>
      <c r="G5" s="5155"/>
      <c r="H5" s="5155"/>
      <c r="I5" s="5155"/>
      <c r="J5" s="5155"/>
      <c r="K5" s="5155"/>
      <c r="L5" s="510"/>
      <c r="M5" s="165"/>
      <c r="N5" s="425"/>
      <c r="O5" s="425"/>
      <c r="P5" s="425"/>
      <c r="Q5" s="146"/>
      <c r="R5" s="425"/>
      <c r="S5" s="145"/>
      <c r="T5" s="145"/>
      <c r="U5" s="145"/>
      <c r="V5" s="145"/>
    </row>
    <row r="6" spans="1:256" s="1828"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8" customFormat="1" ht="14.25" customHeight="1">
      <c r="A7" s="1054"/>
      <c r="B7" s="1059"/>
      <c r="C7" s="1054"/>
      <c r="D7" s="1404"/>
      <c r="E7" s="5151" t="s">
        <v>417</v>
      </c>
      <c r="F7" s="5156"/>
      <c r="G7" s="5156"/>
      <c r="H7" s="5156"/>
      <c r="I7" s="5156"/>
      <c r="J7" s="5156"/>
      <c r="K7" s="5156"/>
      <c r="L7" s="5476" t="s">
        <v>418</v>
      </c>
      <c r="M7" s="425"/>
      <c r="N7" s="425"/>
      <c r="O7" s="425"/>
      <c r="P7" s="425"/>
      <c r="Q7" s="146"/>
      <c r="R7" s="425"/>
      <c r="S7" s="145"/>
      <c r="T7" s="145"/>
      <c r="U7" s="145"/>
      <c r="V7" s="145"/>
    </row>
    <row r="8" spans="1:256" s="1828" customFormat="1" ht="47.25" customHeight="1">
      <c r="A8" s="1054"/>
      <c r="B8" s="1059"/>
      <c r="C8" s="1054"/>
      <c r="D8" s="1404"/>
      <c r="E8" s="5481" t="s">
        <v>83</v>
      </c>
      <c r="F8" s="5481" t="s">
        <v>1215</v>
      </c>
      <c r="G8" s="548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5484"/>
      <c r="I8" s="5485"/>
      <c r="J8" s="548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548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5480"/>
      <c r="M8" s="425"/>
      <c r="N8" s="425"/>
      <c r="O8" s="425"/>
      <c r="P8" s="425"/>
      <c r="Q8" s="146"/>
      <c r="R8" s="425"/>
      <c r="S8" s="145"/>
      <c r="T8" s="145"/>
      <c r="U8" s="145"/>
      <c r="V8" s="145"/>
    </row>
    <row r="9" spans="1:256" s="1828" customFormat="1" ht="56.25" customHeight="1">
      <c r="A9" s="1054"/>
      <c r="B9" s="1059"/>
      <c r="C9" s="1054"/>
      <c r="D9" s="1404"/>
      <c r="E9" s="5482"/>
      <c r="F9" s="5482"/>
      <c r="G9" s="1445" t="s">
        <v>1237</v>
      </c>
      <c r="H9" s="1445" t="s">
        <v>1238</v>
      </c>
      <c r="I9" s="1445" t="s">
        <v>1239</v>
      </c>
      <c r="J9" s="5482"/>
      <c r="K9" s="5482"/>
      <c r="L9" s="5477"/>
      <c r="M9" s="425"/>
      <c r="N9" s="425"/>
      <c r="O9" s="425"/>
      <c r="P9" s="425"/>
      <c r="Q9" s="146"/>
      <c r="R9" s="425"/>
      <c r="S9" s="145"/>
      <c r="T9" s="145"/>
      <c r="U9" s="145"/>
      <c r="V9" s="145"/>
    </row>
    <row r="10" spans="1:256" s="1830" customFormat="1" ht="22.5" customHeight="1">
      <c r="A10" s="5154"/>
      <c r="B10" s="1059">
        <v>1</v>
      </c>
      <c r="C10" s="1059"/>
      <c r="D10" s="716"/>
      <c r="E10" s="714">
        <v>1</v>
      </c>
      <c r="F10" s="1447" t="str">
        <f>IF(ROIV_INFO_NAME="","",ROIV_INFO_NAME)</f>
        <v>ПАО "ТГК-1" (филиал "Кольский")</v>
      </c>
      <c r="G10" s="1641" t="s">
        <v>24</v>
      </c>
      <c r="H10" s="1442"/>
      <c r="I10" s="1442"/>
      <c r="J10" s="1063"/>
      <c r="K10" s="1063"/>
      <c r="L10" s="5478" t="s">
        <v>1240</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0" customFormat="1" ht="15" customHeight="1">
      <c r="A11" s="5154"/>
      <c r="B11" s="1059"/>
      <c r="C11" s="345"/>
      <c r="D11" s="717"/>
      <c r="E11" s="353"/>
      <c r="F11" s="349" t="s">
        <v>1241</v>
      </c>
      <c r="G11" s="108"/>
      <c r="H11" s="108"/>
      <c r="I11" s="108"/>
      <c r="J11" s="108"/>
      <c r="K11" s="108"/>
      <c r="L11" s="5479"/>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8"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8"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8"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2112" hidden="1"/>
    <col min="2" max="2" width="9.140625" style="1832" hidden="1"/>
    <col min="3" max="3" width="3.7109375" style="2112" hidden="1" customWidth="1"/>
    <col min="4" max="4" width="3.85546875" style="2129" customWidth="1"/>
    <col min="5" max="5" width="10.140625" style="2112" customWidth="1"/>
    <col min="6" max="6" width="6.28515625" style="2112" customWidth="1"/>
    <col min="7" max="7" width="27.28515625" style="2112" customWidth="1"/>
    <col min="8" max="8" width="29.28515625" style="2112" customWidth="1"/>
    <col min="9" max="9" width="25.42578125" style="2112" customWidth="1"/>
    <col min="10" max="10" width="5.5703125" style="2112" customWidth="1"/>
    <col min="11" max="11" width="6.5703125" style="2112" customWidth="1"/>
    <col min="12" max="12" width="41.85546875" style="2112" customWidth="1"/>
    <col min="13" max="13" width="42.42578125" style="2112" customWidth="1"/>
    <col min="14" max="14" width="41.5703125" style="2112" customWidth="1"/>
    <col min="15" max="15" width="64.140625" style="2112"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2112"/>
  </cols>
  <sheetData>
    <row r="1" spans="1:259" ht="14.25" hidden="1" customHeight="1"/>
    <row r="2" spans="1:259" s="1830" customFormat="1" ht="22.5" hidden="1" customHeight="1">
      <c r="A2" s="421"/>
      <c r="B2" s="1059">
        <v>1</v>
      </c>
      <c r="C2" s="1059"/>
      <c r="D2" s="717"/>
      <c r="E2" s="5180"/>
      <c r="F2" s="5180">
        <v>1</v>
      </c>
      <c r="G2" s="5494" t="str">
        <f>IF(region_name="","",region_name)</f>
        <v>Мурманская область</v>
      </c>
      <c r="H2" s="5495"/>
      <c r="I2" s="5496"/>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0" customFormat="1" ht="22.5" hidden="1" customHeight="1">
      <c r="A3" s="747"/>
      <c r="B3" s="1059"/>
      <c r="C3" s="1059"/>
      <c r="D3" s="717"/>
      <c r="E3" s="5180"/>
      <c r="F3" s="5180"/>
      <c r="G3" s="5494"/>
      <c r="H3" s="5495"/>
      <c r="I3" s="5497"/>
      <c r="J3" s="1452"/>
      <c r="K3" s="1409"/>
      <c r="L3" s="1409" t="s">
        <v>1242</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19" customFormat="1" ht="5.25" hidden="1" customHeight="1">
      <c r="A4" s="421"/>
      <c r="D4" s="419"/>
      <c r="G4" s="165" t="s">
        <v>78</v>
      </c>
      <c r="H4" s="419" t="s">
        <v>79</v>
      </c>
      <c r="I4" s="419"/>
      <c r="J4" s="1457"/>
      <c r="K4" s="1457"/>
      <c r="L4" s="1457"/>
      <c r="M4" s="1457"/>
      <c r="N4" s="1457"/>
      <c r="O4" s="1457"/>
      <c r="P4" s="165" t="s">
        <v>78</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8"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8" customFormat="1" ht="25.5" customHeight="1">
      <c r="A6" s="1054"/>
      <c r="B6" s="1059"/>
      <c r="C6" s="1054"/>
      <c r="D6" s="1404"/>
      <c r="E6" s="5155" t="s">
        <v>1243</v>
      </c>
      <c r="F6" s="5155"/>
      <c r="G6" s="5155"/>
      <c r="H6" s="5155"/>
      <c r="I6" s="5155"/>
      <c r="J6" s="5155"/>
      <c r="K6" s="5155"/>
      <c r="L6" s="5155"/>
      <c r="M6" s="5155"/>
      <c r="N6" s="5155"/>
      <c r="O6" s="5155"/>
      <c r="P6" s="165"/>
      <c r="Q6" s="425"/>
      <c r="R6" s="425"/>
      <c r="S6" s="425"/>
      <c r="T6" s="146"/>
      <c r="U6" s="425"/>
      <c r="V6" s="145"/>
      <c r="W6" s="145"/>
      <c r="X6" s="145"/>
      <c r="Y6" s="145"/>
    </row>
    <row r="7" spans="1:259" s="1828"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5102" customFormat="1" ht="42.75" customHeight="1">
      <c r="A8" s="1378"/>
      <c r="B8" s="1387"/>
      <c r="C8" s="1378"/>
      <c r="D8" s="1404"/>
      <c r="E8" s="1465" t="s">
        <v>418</v>
      </c>
      <c r="F8" s="1465"/>
      <c r="G8" s="1466" t="s">
        <v>422</v>
      </c>
      <c r="H8" s="1466" t="s">
        <v>1244</v>
      </c>
      <c r="I8" s="1466" t="s">
        <v>426</v>
      </c>
      <c r="J8" s="5489"/>
      <c r="K8" s="5490"/>
      <c r="L8" s="5491"/>
      <c r="M8" s="1466" t="s">
        <v>1245</v>
      </c>
      <c r="N8" s="1466" t="s">
        <v>1246</v>
      </c>
      <c r="O8" s="1466" t="s">
        <v>1247</v>
      </c>
      <c r="P8" s="1458"/>
      <c r="Q8" s="1458"/>
      <c r="R8" s="1458"/>
      <c r="S8" s="1458"/>
      <c r="T8" s="1459"/>
      <c r="U8" s="1458"/>
      <c r="V8" s="1460"/>
      <c r="W8" s="1460"/>
      <c r="X8" s="1460"/>
      <c r="Y8" s="1460"/>
    </row>
    <row r="9" spans="1:259" s="1828" customFormat="1" ht="47.25" customHeight="1">
      <c r="A9" s="1054"/>
      <c r="B9" s="1059"/>
      <c r="C9" s="1054"/>
      <c r="D9" s="1404"/>
      <c r="E9" s="5293" t="s">
        <v>417</v>
      </c>
      <c r="F9" s="5482" t="s">
        <v>83</v>
      </c>
      <c r="G9" s="5482" t="s">
        <v>421</v>
      </c>
      <c r="H9" s="5482" t="s">
        <v>1248</v>
      </c>
      <c r="I9" s="5482"/>
      <c r="J9" s="5482" t="s">
        <v>1249</v>
      </c>
      <c r="K9" s="5482"/>
      <c r="L9" s="5482"/>
      <c r="M9" s="5482" t="s">
        <v>1250</v>
      </c>
      <c r="N9" s="5482" t="s">
        <v>1251</v>
      </c>
      <c r="O9" s="548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8" customFormat="1" ht="63.75" customHeight="1">
      <c r="A10" s="1054"/>
      <c r="B10" s="1059"/>
      <c r="C10" s="1054"/>
      <c r="D10" s="1404"/>
      <c r="E10" s="5180"/>
      <c r="F10" s="5488"/>
      <c r="G10" s="5488"/>
      <c r="H10" s="93" t="s">
        <v>1252</v>
      </c>
      <c r="I10" s="93" t="s">
        <v>425</v>
      </c>
      <c r="J10" s="5481"/>
      <c r="K10" s="5481"/>
      <c r="L10" s="5488"/>
      <c r="M10" s="5488"/>
      <c r="N10" s="5488"/>
      <c r="O10" s="5488"/>
      <c r="P10" s="425"/>
      <c r="Q10" s="425"/>
      <c r="R10" s="425"/>
      <c r="S10" s="425"/>
      <c r="T10" s="146"/>
      <c r="U10" s="425"/>
      <c r="V10" s="145"/>
      <c r="W10" s="145"/>
      <c r="X10" s="145"/>
      <c r="Y10" s="145"/>
    </row>
    <row r="11" spans="1:259" s="1830" customFormat="1" ht="22.5" customHeight="1">
      <c r="A11" s="5154">
        <v>26379339</v>
      </c>
      <c r="B11" s="1059">
        <v>1</v>
      </c>
      <c r="C11" s="1059"/>
      <c r="D11" s="717"/>
      <c r="E11" s="5293"/>
      <c r="F11" s="5293">
        <v>1</v>
      </c>
      <c r="G11" s="5486" t="str">
        <f>IF(region_name="","",region_name)</f>
        <v>Мурманская область</v>
      </c>
      <c r="H11" s="5487"/>
      <c r="I11" s="5492"/>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0" customFormat="1" ht="22.5" customHeight="1">
      <c r="A12" s="5154"/>
      <c r="B12" s="1059"/>
      <c r="C12" s="1059"/>
      <c r="D12" s="717"/>
      <c r="E12" s="5293"/>
      <c r="F12" s="5293"/>
      <c r="G12" s="5486"/>
      <c r="H12" s="5487"/>
      <c r="I12" s="5493"/>
      <c r="J12" s="1452"/>
      <c r="K12" s="1409"/>
      <c r="L12" s="1409" t="s">
        <v>1242</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0" customFormat="1" ht="22.5" customHeight="1">
      <c r="A13" s="5154"/>
      <c r="B13" s="1059"/>
      <c r="C13" s="345"/>
      <c r="D13" s="717"/>
      <c r="E13" s="1449"/>
      <c r="F13" s="1452"/>
      <c r="G13" s="1409" t="s">
        <v>1236</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8"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8"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8"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5098" hidden="1"/>
    <col min="3" max="3" width="3.7109375" style="5099" customWidth="1"/>
    <col min="4" max="4" width="6.28515625" style="5098" customWidth="1"/>
    <col min="5" max="5" width="94.85546875" style="5098" customWidth="1"/>
    <col min="6" max="12" width="9.140625" style="5098"/>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5155" t="s">
        <v>1253</v>
      </c>
      <c r="E7" s="5155"/>
      <c r="F7" s="185"/>
    </row>
    <row r="8" spans="3:12" ht="3" customHeight="1">
      <c r="C8" s="25"/>
      <c r="D8" s="6"/>
      <c r="E8" s="6"/>
    </row>
    <row r="9" spans="3:12" ht="15.75" customHeight="1">
      <c r="C9" s="25"/>
      <c r="D9" s="36" t="s">
        <v>83</v>
      </c>
      <c r="E9" s="39" t="s">
        <v>404</v>
      </c>
    </row>
    <row r="10" spans="3:12" ht="12" customHeight="1">
      <c r="C10" s="25"/>
      <c r="D10" s="21" t="s">
        <v>114</v>
      </c>
      <c r="E10" s="21" t="s">
        <v>98</v>
      </c>
    </row>
    <row r="11" spans="3:12" ht="15" hidden="1" customHeight="1">
      <c r="C11" s="25"/>
      <c r="D11" s="43">
        <v>0</v>
      </c>
      <c r="E11" s="73"/>
    </row>
    <row r="12" spans="3:12" ht="14.25" customHeight="1">
      <c r="C12" s="25"/>
      <c r="D12" s="40"/>
      <c r="E12" s="38" t="s">
        <v>1213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5103" customWidth="1"/>
    <col min="2" max="2" width="34.5703125" style="5103" customWidth="1"/>
    <col min="3" max="3" width="85.5703125" style="5103" customWidth="1"/>
    <col min="4" max="4" width="17.7109375" style="5103" customWidth="1"/>
    <col min="5" max="5" width="9.140625" style="5103"/>
  </cols>
  <sheetData>
    <row r="1" spans="2:5" ht="3" customHeight="1"/>
    <row r="2" spans="2:5" ht="22.5" customHeight="1">
      <c r="B2" s="5498" t="s">
        <v>1254</v>
      </c>
      <c r="C2" s="5498"/>
      <c r="D2" s="5498"/>
      <c r="E2" s="186"/>
    </row>
    <row r="3" spans="2:5" ht="3" customHeight="1"/>
    <row r="4" spans="2:5" ht="21.75" customHeight="1">
      <c r="B4" s="316" t="s">
        <v>1255</v>
      </c>
      <c r="C4" s="316" t="s">
        <v>1256</v>
      </c>
      <c r="D4" s="316" t="s">
        <v>1257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5103" customWidth="1"/>
    <col min="2" max="2" width="10" style="5103" customWidth="1"/>
    <col min="3" max="3" width="9.140625" style="5103"/>
    <col min="4" max="4" width="11.140625" style="5103" customWidth="1"/>
    <col min="5" max="5" width="16.5703125" style="5103" customWidth="1"/>
    <col min="6" max="6" width="16.28515625" style="5103" customWidth="1"/>
    <col min="7" max="7" width="19.140625" style="5103" customWidth="1"/>
    <col min="8" max="11" width="10" style="5103" customWidth="1"/>
    <col min="12" max="12" width="12.7109375" style="5103" customWidth="1"/>
    <col min="13" max="13" width="61.28515625" style="5103" customWidth="1"/>
    <col min="14" max="14" width="10" style="5103" customWidth="1"/>
    <col min="15" max="17" width="23.7109375" style="5103" customWidth="1"/>
    <col min="18" max="18" width="11.7109375" style="5103" customWidth="1"/>
    <col min="19" max="19" width="8.5703125" style="5103" customWidth="1"/>
    <col min="20" max="20" width="11.7109375" style="5103" customWidth="1"/>
    <col min="21" max="21" width="8.5703125" style="5103" customWidth="1"/>
    <col min="22" max="22" width="4.7109375" style="5103" customWidth="1"/>
    <col min="23" max="23" width="115.7109375" style="5103" customWidth="1"/>
    <col min="24" max="24" width="115.28515625" style="5103" customWidth="1"/>
    <col min="25" max="27" width="9.140625" style="5103"/>
    <col min="28" max="28" width="115.7109375" style="5103" customWidth="1"/>
    <col min="29" max="29" width="9.140625" style="5103"/>
    <col min="30" max="90" width="115.7109375" style="5103" customWidth="1"/>
    <col min="91" max="184" width="9.140625" style="5103"/>
  </cols>
  <sheetData>
    <row r="2" spans="1:80" s="5104" customFormat="1" ht="17.25" customHeight="1">
      <c r="A2" s="1723" t="s">
        <v>1258</v>
      </c>
    </row>
    <row r="4" spans="1:80" s="5098" customFormat="1" ht="15" customHeight="1">
      <c r="C4" s="1724"/>
      <c r="D4" s="43"/>
      <c r="E4" s="307"/>
    </row>
    <row r="6" spans="1:80" s="5104" customFormat="1" ht="17.25" customHeight="1">
      <c r="A6" s="1723" t="s">
        <v>1259</v>
      </c>
    </row>
    <row r="8" spans="1:80" s="5098" customFormat="1" ht="17.25" customHeight="1">
      <c r="C8" s="1725"/>
      <c r="D8" s="43"/>
      <c r="E8" s="44"/>
    </row>
    <row r="11" spans="1:80" s="5104" customFormat="1" ht="17.25" customHeight="1">
      <c r="A11" s="1723" t="s">
        <v>1260</v>
      </c>
    </row>
    <row r="13" spans="1:80" s="5105" customFormat="1" ht="15" customHeight="1">
      <c r="A13" s="5158">
        <v>1</v>
      </c>
      <c r="B13" s="1059"/>
      <c r="C13" s="717" t="s">
        <v>99</v>
      </c>
      <c r="D13" s="1726"/>
      <c r="E13" s="1713">
        <f>A13</f>
        <v>1</v>
      </c>
      <c r="F13" s="720"/>
      <c r="G13" s="464" t="str">
        <f>"Территория "&amp;E13</f>
        <v>Территория 1</v>
      </c>
      <c r="H13" s="708"/>
      <c r="I13" s="708"/>
      <c r="J13" s="705"/>
      <c r="K13" s="1535"/>
      <c r="L13" s="1535"/>
      <c r="M13" s="1535"/>
      <c r="N13" s="146"/>
      <c r="O13" s="1535"/>
      <c r="P13" s="145"/>
      <c r="Q13" s="145"/>
      <c r="R13" s="145"/>
      <c r="S13" s="145"/>
    </row>
    <row r="14" spans="1:80" s="1830" customFormat="1" ht="15" customHeight="1">
      <c r="A14" s="5158"/>
      <c r="B14" s="1059">
        <v>1</v>
      </c>
      <c r="C14" s="1059"/>
      <c r="D14" s="716"/>
      <c r="E14" s="1721"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0" customFormat="1" ht="15" customHeight="1">
      <c r="A15" s="5158"/>
      <c r="B15" s="1059"/>
      <c r="C15" s="345"/>
      <c r="D15" s="717"/>
      <c r="E15" s="353"/>
      <c r="F15" s="98"/>
      <c r="G15" s="348" t="s">
        <v>97</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5104" customFormat="1" ht="17.25" customHeight="1">
      <c r="A17" s="1723" t="s">
        <v>1261</v>
      </c>
    </row>
    <row r="19" spans="1:80" s="4600" customFormat="1" ht="15" customHeight="1">
      <c r="A19" s="1789"/>
      <c r="B19" s="1281">
        <v>1</v>
      </c>
      <c r="C19" s="1281"/>
      <c r="D19" s="716" t="s">
        <v>99</v>
      </c>
      <c r="E19" s="1785"/>
      <c r="F19" s="1790">
        <f>$F$20</f>
        <v>0</v>
      </c>
      <c r="G19" s="1794"/>
      <c r="H19" s="1794"/>
      <c r="I19" s="1792"/>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0" customFormat="1" ht="15" customHeight="1">
      <c r="A21" s="1723" t="s">
        <v>1262</v>
      </c>
      <c r="B21" s="1723"/>
      <c r="C21" s="1723"/>
      <c r="D21" s="1723"/>
      <c r="E21" s="1723"/>
      <c r="F21" s="1723"/>
      <c r="G21" s="1723"/>
      <c r="H21" s="1723"/>
      <c r="I21" s="1723"/>
      <c r="J21" s="1723"/>
      <c r="K21" s="1723"/>
      <c r="L21" s="1723"/>
      <c r="M21" s="1723"/>
      <c r="N21" s="1723"/>
      <c r="O21" s="1723"/>
      <c r="P21" s="1723"/>
      <c r="Q21" s="1723"/>
      <c r="R21" s="1723"/>
      <c r="S21" s="1723"/>
      <c r="T21" s="1723"/>
      <c r="U21" s="105"/>
      <c r="V21" s="1723"/>
      <c r="W21" s="1723"/>
    </row>
    <row r="22" spans="1:80" s="1830" customFormat="1" ht="15" customHeight="1">
      <c r="U22" s="106"/>
    </row>
    <row r="23" spans="1:80" s="5106" customFormat="1" ht="15" customHeight="1">
      <c r="A23" s="355"/>
      <c r="B23" s="355"/>
      <c r="C23" s="1637" t="s">
        <v>99</v>
      </c>
      <c r="D23" s="5162" t="s">
        <v>114</v>
      </c>
      <c r="E23" s="5163"/>
      <c r="F23" s="5161" t="s">
        <v>57</v>
      </c>
      <c r="G23" s="5531"/>
      <c r="H23" s="5180">
        <v>1</v>
      </c>
      <c r="I23" s="5533" t="str">
        <f>IF(U23="","",INDEX(TERRITORY_MR_LIST,MATCH(U23,TERRITORY_LIST_ID,0)))</f>
        <v/>
      </c>
      <c r="J23" s="5161" t="s">
        <v>57</v>
      </c>
      <c r="K23" s="748"/>
      <c r="L23" s="1690" t="s">
        <v>114</v>
      </c>
      <c r="M23" s="524"/>
      <c r="N23" s="525"/>
      <c r="O23" s="525"/>
      <c r="P23" s="525"/>
      <c r="Q23" s="525"/>
      <c r="R23" s="525"/>
      <c r="S23" s="525"/>
      <c r="T23" s="525"/>
      <c r="U23" s="526"/>
      <c r="V23" s="525"/>
      <c r="W23" s="525"/>
      <c r="X23" s="517"/>
      <c r="Y23" s="517" t="s">
        <v>122</v>
      </c>
      <c r="Z23" s="517">
        <v>1705000</v>
      </c>
      <c r="AA23" s="517"/>
      <c r="AB23" s="517"/>
      <c r="AC23" s="517"/>
      <c r="AD23" s="517"/>
      <c r="AE23" s="517"/>
      <c r="AF23" s="517"/>
      <c r="AG23" s="517"/>
      <c r="AH23" s="517"/>
      <c r="AI23" s="517"/>
      <c r="AJ23" s="517"/>
      <c r="AK23" s="517"/>
      <c r="AL23" s="517"/>
    </row>
    <row r="24" spans="1:80" s="5106" customFormat="1" ht="15" customHeight="1">
      <c r="A24" s="355"/>
      <c r="B24" s="355"/>
      <c r="C24" s="97"/>
      <c r="D24" s="5162"/>
      <c r="E24" s="5164"/>
      <c r="F24" s="5161"/>
      <c r="G24" s="5532"/>
      <c r="H24" s="5180"/>
      <c r="I24" s="5534"/>
      <c r="J24" s="5161"/>
      <c r="K24" s="353"/>
      <c r="L24" s="98"/>
      <c r="M24" s="527" t="s">
        <v>123</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5106" customFormat="1" ht="15" customHeight="1">
      <c r="A25" s="355"/>
      <c r="B25" s="355"/>
      <c r="C25" s="97"/>
      <c r="D25" s="5162"/>
      <c r="E25" s="5165"/>
      <c r="F25" s="5161"/>
      <c r="G25" s="353"/>
      <c r="H25" s="98"/>
      <c r="I25" s="504" t="s">
        <v>124</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0" customFormat="1" ht="15" customHeight="1">
      <c r="U26" s="106"/>
    </row>
    <row r="27" spans="1:80" s="1830" customFormat="1" ht="15" customHeight="1">
      <c r="A27" s="1723" t="s">
        <v>1263</v>
      </c>
      <c r="B27" s="1723"/>
      <c r="C27" s="1723"/>
      <c r="D27" s="1723"/>
      <c r="E27" s="1723"/>
      <c r="F27" s="1723"/>
      <c r="G27" s="1723"/>
      <c r="H27" s="1723"/>
      <c r="I27" s="1723"/>
      <c r="J27" s="1723"/>
      <c r="K27" s="1723"/>
      <c r="L27" s="1723"/>
      <c r="M27" s="1723"/>
      <c r="N27" s="1723"/>
      <c r="O27" s="1723"/>
      <c r="P27" s="1723"/>
      <c r="Q27" s="1723"/>
      <c r="R27" s="1723"/>
      <c r="S27" s="1723"/>
      <c r="T27" s="1723"/>
      <c r="U27" s="105"/>
      <c r="V27" s="1723"/>
      <c r="W27" s="1723"/>
    </row>
    <row r="28" spans="1:80" s="1830" customFormat="1" ht="15" customHeight="1">
      <c r="U28" s="106"/>
    </row>
    <row r="29" spans="1:80" s="5106" customFormat="1" ht="15" customHeight="1">
      <c r="A29" s="355"/>
      <c r="B29" s="355"/>
      <c r="C29" s="97"/>
      <c r="D29" s="1727"/>
      <c r="E29" s="1727"/>
      <c r="F29" s="1727"/>
      <c r="G29" s="5535" t="s">
        <v>99</v>
      </c>
      <c r="H29" s="5150">
        <v>1</v>
      </c>
      <c r="I29" s="5536" t="str">
        <f>IF(U29="","",INDEX(TERRITORY_MR_LIST,MATCH(U29,TERRITORY_LIST_ID,0)))</f>
        <v/>
      </c>
      <c r="J29" s="5161" t="s">
        <v>57</v>
      </c>
      <c r="K29" s="748"/>
      <c r="L29" s="1690" t="s">
        <v>114</v>
      </c>
      <c r="M29" s="524"/>
      <c r="N29" s="525"/>
      <c r="O29" s="525"/>
      <c r="P29" s="525"/>
      <c r="Q29" s="525"/>
      <c r="R29" s="525"/>
      <c r="S29" s="525"/>
      <c r="T29" s="525"/>
      <c r="U29" s="526"/>
      <c r="V29" s="525"/>
      <c r="W29" s="525"/>
      <c r="X29" s="517"/>
      <c r="Y29" s="517" t="s">
        <v>122</v>
      </c>
      <c r="Z29" s="517">
        <v>1705000</v>
      </c>
      <c r="AA29" s="517"/>
      <c r="AB29" s="517"/>
      <c r="AC29" s="517"/>
      <c r="AD29" s="517"/>
      <c r="AE29" s="517"/>
      <c r="AF29" s="517"/>
      <c r="AG29" s="517"/>
      <c r="AH29" s="517"/>
      <c r="AI29" s="517"/>
      <c r="AJ29" s="517"/>
      <c r="AK29" s="517"/>
      <c r="AL29" s="517"/>
    </row>
    <row r="30" spans="1:80" s="5106" customFormat="1" ht="15" customHeight="1">
      <c r="A30" s="355"/>
      <c r="B30" s="355"/>
      <c r="C30" s="97"/>
      <c r="D30" s="1727"/>
      <c r="E30" s="1727"/>
      <c r="F30" s="1727"/>
      <c r="G30" s="5535"/>
      <c r="H30" s="5150"/>
      <c r="I30" s="5536"/>
      <c r="J30" s="5161"/>
      <c r="K30" s="353"/>
      <c r="L30" s="98"/>
      <c r="M30" s="527" t="s">
        <v>123</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0" customFormat="1" ht="15" customHeight="1">
      <c r="U31" s="106"/>
    </row>
    <row r="32" spans="1:80" s="1830" customFormat="1" ht="15" customHeight="1">
      <c r="A32" s="1723" t="s">
        <v>1264</v>
      </c>
      <c r="B32" s="1723"/>
      <c r="C32" s="1723"/>
      <c r="D32" s="1723"/>
      <c r="E32" s="1723"/>
      <c r="F32" s="1723"/>
      <c r="G32" s="1723"/>
      <c r="H32" s="1723"/>
      <c r="I32" s="1723"/>
      <c r="J32" s="1723"/>
      <c r="K32" s="1723"/>
      <c r="L32" s="1723"/>
      <c r="M32" s="1723"/>
      <c r="N32" s="1723"/>
      <c r="O32" s="1723"/>
      <c r="P32" s="1723"/>
      <c r="Q32" s="1723"/>
      <c r="R32" s="1723"/>
      <c r="S32" s="1723"/>
      <c r="T32" s="1723"/>
      <c r="U32" s="105"/>
      <c r="V32" s="1723"/>
      <c r="W32" s="1723"/>
    </row>
    <row r="33" spans="1:38" s="1830" customFormat="1" ht="15" customHeight="1">
      <c r="U33" s="106"/>
    </row>
    <row r="34" spans="1:38" s="5106" customFormat="1" ht="15" customHeight="1">
      <c r="A34" s="355"/>
      <c r="B34" s="355"/>
      <c r="C34" s="97"/>
      <c r="D34" s="1727"/>
      <c r="E34" s="1727"/>
      <c r="F34" s="1727"/>
      <c r="G34" s="1727"/>
      <c r="H34" s="1727"/>
      <c r="I34" s="1727"/>
      <c r="J34" s="1727"/>
      <c r="K34" s="1707" t="s">
        <v>99</v>
      </c>
      <c r="L34" s="1638" t="s">
        <v>114</v>
      </c>
      <c r="M34" s="727"/>
      <c r="N34" s="728"/>
      <c r="O34" s="525"/>
      <c r="P34" s="525"/>
      <c r="Q34" s="525"/>
      <c r="R34" s="525"/>
      <c r="S34" s="525"/>
      <c r="T34" s="525"/>
      <c r="U34" s="526"/>
      <c r="V34" s="525"/>
      <c r="W34" s="525"/>
      <c r="X34" s="517"/>
      <c r="Y34" s="517" t="s">
        <v>122</v>
      </c>
      <c r="Z34" s="517">
        <v>1705000</v>
      </c>
      <c r="AA34" s="517"/>
      <c r="AB34" s="517"/>
      <c r="AC34" s="517"/>
      <c r="AD34" s="517"/>
      <c r="AE34" s="517"/>
      <c r="AF34" s="517"/>
      <c r="AG34" s="517"/>
      <c r="AH34" s="517"/>
      <c r="AI34" s="517"/>
      <c r="AJ34" s="517"/>
      <c r="AK34" s="517"/>
      <c r="AL34" s="517"/>
    </row>
    <row r="35" spans="1:38" s="1830" customFormat="1" ht="15" customHeight="1">
      <c r="U35" s="106"/>
    </row>
    <row r="36" spans="1:38" s="1830" customFormat="1" ht="15" customHeight="1">
      <c r="U36" s="106"/>
    </row>
    <row r="37" spans="1:38" s="5104" customFormat="1" ht="11.25" customHeight="1">
      <c r="A37" s="1723" t="s">
        <v>1265</v>
      </c>
    </row>
    <row r="38" spans="1:38" ht="11.25" customHeight="1"/>
    <row r="39" spans="1:38" s="2121" customFormat="1" ht="22.5" customHeight="1">
      <c r="A39" s="1699"/>
      <c r="B39" s="384"/>
      <c r="C39" s="771"/>
      <c r="D39" s="371"/>
      <c r="E39" s="772"/>
      <c r="F39" s="1720"/>
      <c r="G39" s="1728"/>
      <c r="H39" s="401"/>
    </row>
    <row r="40" spans="1:38" ht="11.25" customHeight="1"/>
    <row r="41" spans="1:38" s="5104" customFormat="1" ht="11.25" customHeight="1">
      <c r="A41" s="1723" t="s">
        <v>1266</v>
      </c>
    </row>
    <row r="42" spans="1:38" ht="11.25" customHeight="1"/>
    <row r="43" spans="1:38" s="2121" customFormat="1" ht="22.5" customHeight="1">
      <c r="A43" s="384"/>
      <c r="B43" s="384"/>
      <c r="C43" s="384"/>
      <c r="D43" s="371"/>
      <c r="E43" s="772"/>
      <c r="F43" s="773"/>
      <c r="G43" s="1728"/>
      <c r="H43" s="401"/>
    </row>
    <row r="46" spans="1:38" s="5104" customFormat="1" ht="17.25" customHeight="1">
      <c r="A46" s="1723" t="s">
        <v>1267</v>
      </c>
    </row>
    <row r="48" spans="1:38" s="2135" customFormat="1" ht="18.75" customHeight="1">
      <c r="A48" s="23"/>
      <c r="B48" s="1729"/>
      <c r="C48" s="1729"/>
      <c r="D48" s="1730"/>
      <c r="E48" s="1717"/>
      <c r="F48" s="780">
        <v>13</v>
      </c>
      <c r="G48" s="779"/>
      <c r="H48" s="709"/>
      <c r="I48" s="707"/>
      <c r="J48" s="445" t="s">
        <v>62</v>
      </c>
      <c r="K48" s="1731" t="s">
        <v>24</v>
      </c>
      <c r="L48" s="23"/>
      <c r="M48" s="1547"/>
      <c r="N48" s="1547"/>
      <c r="O48" s="1547"/>
      <c r="P48" s="441" t="s">
        <v>511</v>
      </c>
      <c r="Q48" s="441" t="s">
        <v>512</v>
      </c>
      <c r="R48" s="442" t="s">
        <v>513</v>
      </c>
      <c r="S48" s="1547" t="s">
        <v>514</v>
      </c>
      <c r="T48" s="1547"/>
      <c r="U48" s="1547"/>
      <c r="V48" s="1547"/>
    </row>
    <row r="50" spans="1:45" s="5104" customFormat="1" ht="11.25" customHeight="1">
      <c r="A50" s="1723" t="s">
        <v>1268</v>
      </c>
    </row>
    <row r="52" spans="1:45" s="2115" customFormat="1" ht="14.25" customHeight="1">
      <c r="C52" s="1598"/>
      <c r="D52" s="1777"/>
      <c r="E52" s="1685" t="s">
        <v>24</v>
      </c>
      <c r="F52" s="1776"/>
      <c r="G52" s="768"/>
      <c r="H52" s="1686"/>
      <c r="I52" s="1686"/>
      <c r="J52" s="364"/>
      <c r="K52" s="1771"/>
      <c r="L52" s="363"/>
      <c r="M52" s="1771"/>
      <c r="N52" s="364"/>
      <c r="O52" s="1771"/>
      <c r="P52" s="364"/>
      <c r="Q52" s="1771"/>
      <c r="R52" s="364"/>
      <c r="S52" s="766"/>
      <c r="T52" s="1686"/>
      <c r="U52" s="364"/>
      <c r="V52" s="364"/>
      <c r="W52" s="1775"/>
      <c r="X52" s="1686"/>
      <c r="Y52" s="364"/>
      <c r="Z52" s="364"/>
      <c r="AA52" s="1775"/>
      <c r="AB52" s="1686"/>
      <c r="AC52" s="364"/>
      <c r="AD52" s="1775"/>
      <c r="AE52" s="23"/>
      <c r="AF52" s="23"/>
      <c r="AG52" s="23"/>
      <c r="AH52" s="23"/>
      <c r="AJ52" s="1547"/>
      <c r="AK52" s="1547"/>
      <c r="AL52" s="1547"/>
      <c r="AM52" s="1547"/>
      <c r="AN52" s="1547"/>
      <c r="AO52" s="1547"/>
      <c r="AP52" s="1535" t="s">
        <v>500</v>
      </c>
      <c r="AQ52" s="1535" t="s">
        <v>500</v>
      </c>
      <c r="AR52" s="1547"/>
      <c r="AS52" s="1547"/>
    </row>
    <row r="54" spans="1:45" s="5104" customFormat="1" ht="11.25" customHeight="1">
      <c r="A54" s="1723" t="s">
        <v>1269</v>
      </c>
    </row>
    <row r="56" spans="1:45" s="5094" customFormat="1" ht="15" customHeight="1">
      <c r="A56" s="69" t="s">
        <v>85</v>
      </c>
      <c r="B56" s="52" t="s">
        <v>24</v>
      </c>
      <c r="C56" s="1732"/>
      <c r="D56" s="55"/>
      <c r="E56" s="314"/>
      <c r="F56" s="314"/>
      <c r="G56" s="1711"/>
      <c r="H56" s="1731"/>
      <c r="I56" s="1712"/>
      <c r="K56" s="190"/>
      <c r="L56" s="191"/>
    </row>
    <row r="58" spans="1:45" s="5104" customFormat="1" ht="11.25" customHeight="1">
      <c r="A58" s="1723" t="s">
        <v>1270</v>
      </c>
    </row>
    <row r="60" spans="1:45" s="2115" customFormat="1" ht="14.25" customHeight="1">
      <c r="A60" s="268"/>
      <c r="B60" s="1059"/>
      <c r="C60" s="304"/>
      <c r="D60" s="1718"/>
      <c r="E60" s="798"/>
      <c r="F60" s="1731"/>
      <c r="G60" s="23"/>
      <c r="I60" s="1535"/>
      <c r="J60" s="1535"/>
    </row>
    <row r="62" spans="1:45" s="5104" customFormat="1" ht="11.25" customHeight="1">
      <c r="A62" s="1723" t="s">
        <v>1271</v>
      </c>
    </row>
    <row r="64" spans="1:45" s="2115" customFormat="1" ht="27" customHeight="1">
      <c r="A64" s="1065"/>
      <c r="B64" s="1065"/>
      <c r="C64" s="1065"/>
      <c r="D64" s="1059"/>
      <c r="E64" s="1733"/>
      <c r="F64" s="5548"/>
      <c r="G64" s="5549"/>
      <c r="H64" s="5550" t="s">
        <v>62</v>
      </c>
      <c r="I64" s="5552"/>
      <c r="J64" s="5526"/>
      <c r="K64" s="5554"/>
      <c r="L64" s="5528"/>
      <c r="M64" s="5528"/>
      <c r="N64" s="5529"/>
      <c r="O64" s="5529"/>
      <c r="P64" s="5530" t="e">
        <f>DATEDIF(DATEVALUE(N64),DATEVALUE(O64),"y")&amp;"г. "&amp;DATEDIF(DATEVALUE(N64),DATEVALUE(O64),"ym")&amp;"мес. "&amp;DATEVALUE(O64)-DATE(YEAR(DATEVALUE(O64)),MONTH(DATEVALUE(O64)),1)&amp;"дн. "</f>
        <v>#VALUE!</v>
      </c>
      <c r="Q64" s="5525"/>
      <c r="R64" s="5525"/>
      <c r="S64" s="5525"/>
      <c r="T64" s="5526"/>
      <c r="U64" s="5525"/>
      <c r="V64" s="5525"/>
      <c r="W64" s="5525"/>
      <c r="X64" s="5526"/>
      <c r="Y64" s="5523" t="s">
        <v>62</v>
      </c>
      <c r="Z64" s="1716"/>
      <c r="AA64" s="1700">
        <v>1</v>
      </c>
      <c r="AB64" s="1150"/>
      <c r="AD64" s="1547" t="s">
        <v>1272</v>
      </c>
    </row>
    <row r="65" spans="1:58" s="2115" customFormat="1" ht="10.5" customHeight="1">
      <c r="A65" s="1065"/>
      <c r="B65" s="1065"/>
      <c r="C65" s="1065"/>
      <c r="D65" s="1059"/>
      <c r="E65" s="855"/>
      <c r="F65" s="5548"/>
      <c r="G65" s="5549"/>
      <c r="H65" s="5551"/>
      <c r="I65" s="5553"/>
      <c r="J65" s="5527"/>
      <c r="K65" s="5554"/>
      <c r="L65" s="5528"/>
      <c r="M65" s="5528"/>
      <c r="N65" s="5529"/>
      <c r="O65" s="5529"/>
      <c r="P65" s="5530"/>
      <c r="Q65" s="5525"/>
      <c r="R65" s="5525"/>
      <c r="S65" s="5525"/>
      <c r="T65" s="5527"/>
      <c r="U65" s="5525"/>
      <c r="V65" s="5525"/>
      <c r="W65" s="5525"/>
      <c r="X65" s="5527"/>
      <c r="Y65" s="5524"/>
      <c r="Z65" s="272"/>
      <c r="AA65" s="496"/>
      <c r="AB65" s="572" t="s">
        <v>1273</v>
      </c>
    </row>
    <row r="67" spans="1:58" s="5104" customFormat="1" ht="11.25" customHeight="1">
      <c r="A67" s="1723" t="s">
        <v>1274</v>
      </c>
    </row>
    <row r="69" spans="1:58" s="2115" customFormat="1" ht="27" customHeight="1">
      <c r="A69" s="1065"/>
      <c r="B69" s="1065"/>
      <c r="C69" s="1065"/>
      <c r="D69" s="1059"/>
      <c r="E69" s="1733"/>
      <c r="F69" s="1705"/>
      <c r="G69" s="1654"/>
      <c r="H69" s="1655"/>
      <c r="I69" s="1656"/>
      <c r="J69" s="1657"/>
      <c r="K69" s="1658"/>
      <c r="L69" s="1659"/>
      <c r="M69" s="1659"/>
      <c r="N69" s="1660"/>
      <c r="O69" s="1660"/>
      <c r="P69" s="1661"/>
      <c r="Q69" s="1662"/>
      <c r="R69" s="1662"/>
      <c r="S69" s="1662"/>
      <c r="T69" s="1657"/>
      <c r="U69" s="1662"/>
      <c r="V69" s="1662"/>
      <c r="W69" s="1662"/>
      <c r="X69" s="1657"/>
      <c r="Y69" s="1655"/>
      <c r="Z69" s="1716"/>
      <c r="AA69" s="1700">
        <v>1</v>
      </c>
      <c r="AB69" s="1150"/>
      <c r="AD69" s="1547" t="s">
        <v>1272</v>
      </c>
    </row>
    <row r="71" spans="1:58" s="5104" customFormat="1" ht="11.25" customHeight="1">
      <c r="A71" s="1723" t="s">
        <v>1275</v>
      </c>
    </row>
    <row r="72" spans="1:58" ht="17.25" customHeight="1"/>
    <row r="73" spans="1:58" s="2115"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29"/>
      <c r="AN73" s="1729"/>
      <c r="AO73" s="1729"/>
      <c r="AP73" s="1729"/>
      <c r="AQ73" s="1729"/>
      <c r="AR73" s="1729"/>
      <c r="AS73" s="1729"/>
      <c r="AT73" s="1729"/>
      <c r="AU73" s="1729"/>
      <c r="AV73" s="1729"/>
      <c r="AW73" s="1729"/>
      <c r="AX73" s="1729"/>
      <c r="AY73" s="1729"/>
      <c r="AZ73" s="1729"/>
      <c r="BA73" s="1729"/>
      <c r="BB73" s="1729"/>
      <c r="BC73" s="1729"/>
      <c r="BD73" s="1729"/>
      <c r="BE73" s="1729"/>
      <c r="BF73" s="1729"/>
    </row>
    <row r="74" spans="1:58" s="2115" customFormat="1" ht="11.25" customHeight="1">
      <c r="A74" s="1065"/>
      <c r="B74" s="1065"/>
      <c r="C74" s="1065"/>
      <c r="D74" s="1059"/>
      <c r="E74" s="1069"/>
      <c r="F74" s="5521"/>
      <c r="G74" s="5434"/>
      <c r="H74" s="5434" t="s">
        <v>114</v>
      </c>
      <c r="I74" s="5507"/>
      <c r="J74" s="5497"/>
      <c r="K74" s="5508"/>
      <c r="L74" s="5500" t="s">
        <v>57</v>
      </c>
      <c r="M74" s="5162"/>
      <c r="N74" s="1078"/>
      <c r="O74" s="1077" t="s">
        <v>495</v>
      </c>
      <c r="P74" s="1078"/>
      <c r="Q74" s="1078"/>
      <c r="R74" s="1078"/>
      <c r="S74" s="1078"/>
      <c r="T74" s="1078"/>
      <c r="U74" s="1078"/>
      <c r="V74" s="1078"/>
      <c r="W74" s="1078"/>
      <c r="X74" s="1078"/>
      <c r="Y74" s="1078"/>
      <c r="Z74" s="1078"/>
      <c r="AA74" s="1078"/>
      <c r="AB74" s="1078"/>
      <c r="AC74" s="1078"/>
      <c r="AD74" s="1078"/>
      <c r="AE74" s="1078"/>
      <c r="AF74" s="5499"/>
      <c r="AG74" s="5500"/>
      <c r="AH74" s="5500"/>
      <c r="AI74" s="5499"/>
      <c r="AJ74" s="5500"/>
      <c r="AK74" s="5500"/>
      <c r="AL74" s="1072"/>
      <c r="AM74" s="1729"/>
      <c r="AN74" s="1729"/>
      <c r="AO74" s="1729"/>
      <c r="AP74" s="1729"/>
      <c r="AQ74" s="1729"/>
      <c r="AR74" s="1729"/>
      <c r="AS74" s="1729"/>
      <c r="AT74" s="1729"/>
      <c r="AU74" s="1729"/>
      <c r="AV74" s="1729"/>
      <c r="AW74" s="1729"/>
      <c r="AX74" s="1729"/>
      <c r="AY74" s="1729"/>
      <c r="AZ74" s="1729"/>
      <c r="BA74" s="1729"/>
      <c r="BB74" s="1729"/>
      <c r="BC74" s="1729"/>
      <c r="BD74" s="1729"/>
      <c r="BE74" s="1729"/>
      <c r="BF74" s="1729"/>
    </row>
    <row r="75" spans="1:58" s="2115" customFormat="1" ht="11.25" customHeight="1">
      <c r="A75" s="1065"/>
      <c r="B75" s="1065"/>
      <c r="C75" s="1065"/>
      <c r="D75" s="1059"/>
      <c r="E75" s="1069"/>
      <c r="F75" s="5521"/>
      <c r="G75" s="5434"/>
      <c r="H75" s="5434"/>
      <c r="I75" s="5507"/>
      <c r="J75" s="5497"/>
      <c r="K75" s="5508"/>
      <c r="L75" s="5500"/>
      <c r="M75" s="5162"/>
      <c r="N75" s="5501"/>
      <c r="O75" s="5502">
        <v>1</v>
      </c>
      <c r="P75" s="5503" t="s">
        <v>57</v>
      </c>
      <c r="Q75" s="5415" t="s">
        <v>24</v>
      </c>
      <c r="R75" s="5415" t="s">
        <v>24</v>
      </c>
      <c r="S75" s="5415" t="s">
        <v>24</v>
      </c>
      <c r="T75" s="5415" t="s">
        <v>24</v>
      </c>
      <c r="U75" s="5415" t="s">
        <v>24</v>
      </c>
      <c r="V75" s="5415" t="s">
        <v>24</v>
      </c>
      <c r="W75" s="5415" t="s">
        <v>24</v>
      </c>
      <c r="X75" s="5415" t="s">
        <v>24</v>
      </c>
      <c r="Y75" s="5415"/>
      <c r="Z75" s="1075"/>
      <c r="AA75" s="1076"/>
      <c r="AB75" s="1076"/>
      <c r="AC75" s="1080"/>
      <c r="AD75" s="1080"/>
      <c r="AE75" s="1081"/>
      <c r="AF75" s="5499"/>
      <c r="AG75" s="5500"/>
      <c r="AH75" s="5500"/>
      <c r="AI75" s="5499"/>
      <c r="AJ75" s="5500"/>
      <c r="AK75" s="5500"/>
      <c r="AL75" s="1072"/>
      <c r="AM75" s="1729"/>
      <c r="AN75" s="1729"/>
      <c r="AO75" s="1729"/>
      <c r="AP75" s="1729"/>
      <c r="AQ75" s="1729"/>
      <c r="AR75" s="1729"/>
      <c r="AS75" s="1729"/>
      <c r="AT75" s="1729"/>
      <c r="AU75" s="1729"/>
      <c r="AV75" s="1729"/>
      <c r="AW75" s="1729"/>
      <c r="AX75" s="1729"/>
      <c r="AY75" s="1729"/>
      <c r="AZ75" s="1729"/>
      <c r="BA75" s="1729"/>
      <c r="BB75" s="1729"/>
      <c r="BC75" s="1729"/>
      <c r="BD75" s="1729"/>
      <c r="BE75" s="1729"/>
      <c r="BF75" s="1729"/>
    </row>
    <row r="76" spans="1:58" s="2115" customFormat="1" ht="11.25" customHeight="1">
      <c r="A76" s="1065"/>
      <c r="B76" s="1065"/>
      <c r="C76" s="1065"/>
      <c r="D76" s="1059"/>
      <c r="E76" s="1069"/>
      <c r="F76" s="5521"/>
      <c r="G76" s="5434"/>
      <c r="H76" s="5434"/>
      <c r="I76" s="5507"/>
      <c r="J76" s="5497"/>
      <c r="K76" s="5508"/>
      <c r="L76" s="5500"/>
      <c r="M76" s="5162"/>
      <c r="N76" s="5501"/>
      <c r="O76" s="5502"/>
      <c r="P76" s="5504"/>
      <c r="Q76" s="5415"/>
      <c r="R76" s="5415"/>
      <c r="S76" s="5506"/>
      <c r="T76" s="5415"/>
      <c r="U76" s="5415"/>
      <c r="V76" s="5415"/>
      <c r="W76" s="5415"/>
      <c r="X76" s="5415"/>
      <c r="Y76" s="5415"/>
      <c r="Z76" s="1734"/>
      <c r="AA76" s="1702">
        <v>1</v>
      </c>
      <c r="AB76" s="1079"/>
      <c r="AC76" s="1068"/>
      <c r="AD76" s="1079">
        <f>AB76</f>
        <v>0</v>
      </c>
      <c r="AE76" s="1068"/>
      <c r="AF76" s="5499"/>
      <c r="AG76" s="5500"/>
      <c r="AH76" s="5500"/>
      <c r="AI76" s="5499"/>
      <c r="AJ76" s="5500"/>
      <c r="AK76" s="5500"/>
      <c r="AL76" s="1072"/>
      <c r="AM76" s="1729"/>
      <c r="AN76" s="1729"/>
      <c r="AO76" s="1729"/>
      <c r="AP76" s="1729"/>
      <c r="AQ76" s="1729"/>
      <c r="AR76" s="1729"/>
      <c r="AS76" s="1729"/>
      <c r="AT76" s="1729"/>
      <c r="AU76" s="1729"/>
      <c r="AV76" s="1729"/>
      <c r="AW76" s="1729"/>
      <c r="AX76" s="1729"/>
      <c r="AY76" s="1729"/>
      <c r="AZ76" s="1729"/>
      <c r="BA76" s="1729"/>
      <c r="BB76" s="1729"/>
      <c r="BC76" s="1729"/>
      <c r="BD76" s="1729"/>
      <c r="BE76" s="1729"/>
      <c r="BF76" s="1729"/>
    </row>
    <row r="77" spans="1:58" s="2115" customFormat="1" ht="11.25" customHeight="1">
      <c r="A77" s="1065"/>
      <c r="B77" s="1065"/>
      <c r="C77" s="1065"/>
      <c r="D77" s="1059"/>
      <c r="E77" s="1069"/>
      <c r="F77" s="5521"/>
      <c r="G77" s="5434"/>
      <c r="H77" s="5434"/>
      <c r="I77" s="5507"/>
      <c r="J77" s="5497"/>
      <c r="K77" s="5508"/>
      <c r="L77" s="5500"/>
      <c r="M77" s="5162"/>
      <c r="N77" s="5501"/>
      <c r="O77" s="5502"/>
      <c r="P77" s="5505"/>
      <c r="Q77" s="5415"/>
      <c r="R77" s="5415"/>
      <c r="S77" s="5506"/>
      <c r="T77" s="5415"/>
      <c r="U77" s="5415"/>
      <c r="V77" s="5415"/>
      <c r="W77" s="5415"/>
      <c r="X77" s="5415"/>
      <c r="Y77" s="5415"/>
      <c r="Z77" s="1075"/>
      <c r="AA77" s="1076"/>
      <c r="AB77" s="1149" t="s">
        <v>1276</v>
      </c>
      <c r="AC77" s="1080"/>
      <c r="AD77" s="1080"/>
      <c r="AE77" s="1082"/>
      <c r="AF77" s="5499"/>
      <c r="AG77" s="5500"/>
      <c r="AH77" s="5500"/>
      <c r="AI77" s="5499"/>
      <c r="AJ77" s="5500"/>
      <c r="AK77" s="5500"/>
      <c r="AL77" s="1072"/>
      <c r="AM77" s="1729"/>
      <c r="AN77" s="1729"/>
      <c r="AO77" s="1729"/>
      <c r="AP77" s="1729"/>
      <c r="AQ77" s="1729"/>
      <c r="AR77" s="1729"/>
      <c r="AS77" s="1729"/>
      <c r="AT77" s="1729"/>
      <c r="AU77" s="1729"/>
      <c r="AV77" s="1729"/>
      <c r="AW77" s="1729"/>
      <c r="AX77" s="1729"/>
      <c r="AY77" s="1729"/>
      <c r="AZ77" s="1729"/>
      <c r="BA77" s="1729"/>
      <c r="BB77" s="1729"/>
      <c r="BC77" s="1729"/>
      <c r="BD77" s="1729"/>
      <c r="BE77" s="1729"/>
      <c r="BF77" s="1729"/>
    </row>
    <row r="78" spans="1:58" s="2115" customFormat="1" ht="11.25" customHeight="1">
      <c r="A78" s="1065"/>
      <c r="B78" s="1065"/>
      <c r="C78" s="1065"/>
      <c r="D78" s="1059"/>
      <c r="E78" s="1069"/>
      <c r="F78" s="5521"/>
      <c r="G78" s="5434"/>
      <c r="H78" s="5434"/>
      <c r="I78" s="5507"/>
      <c r="J78" s="5497"/>
      <c r="K78" s="5508"/>
      <c r="L78" s="5500"/>
      <c r="M78" s="5162"/>
      <c r="N78" s="1076"/>
      <c r="O78" s="1076"/>
      <c r="P78" s="1067" t="s">
        <v>1277</v>
      </c>
      <c r="Q78" s="1076"/>
      <c r="R78" s="1076"/>
      <c r="S78" s="1076"/>
      <c r="T78" s="1076"/>
      <c r="U78" s="1076"/>
      <c r="V78" s="1076"/>
      <c r="W78" s="1076"/>
      <c r="X78" s="1076"/>
      <c r="Y78" s="1076"/>
      <c r="Z78" s="1076"/>
      <c r="AA78" s="1076"/>
      <c r="AB78" s="1076"/>
      <c r="AC78" s="1076"/>
      <c r="AD78" s="1076"/>
      <c r="AE78" s="1083"/>
      <c r="AF78" s="5499"/>
      <c r="AG78" s="5500"/>
      <c r="AH78" s="5500"/>
      <c r="AI78" s="5499"/>
      <c r="AJ78" s="5500"/>
      <c r="AK78" s="5500"/>
      <c r="AL78" s="1072"/>
      <c r="AM78" s="1729"/>
      <c r="AN78" s="1729"/>
      <c r="AO78" s="1729"/>
      <c r="AP78" s="1729"/>
      <c r="AQ78" s="1729"/>
      <c r="AR78" s="1729"/>
      <c r="AS78" s="1729"/>
      <c r="AT78" s="1729"/>
      <c r="AU78" s="1729"/>
      <c r="AV78" s="1729"/>
      <c r="AW78" s="1729"/>
      <c r="AX78" s="1729"/>
      <c r="AY78" s="1729"/>
      <c r="AZ78" s="1729"/>
      <c r="BA78" s="1729"/>
      <c r="BB78" s="1729"/>
      <c r="BC78" s="1729"/>
      <c r="BD78" s="1729"/>
      <c r="BE78" s="1729"/>
      <c r="BF78" s="1729"/>
    </row>
    <row r="79" spans="1:58" s="2115" customFormat="1" ht="12" customHeight="1">
      <c r="A79" s="1065"/>
      <c r="B79" s="1065"/>
      <c r="C79" s="1065"/>
      <c r="D79" s="1059"/>
      <c r="E79" s="1069"/>
      <c r="F79" s="5522"/>
      <c r="G79" s="1091"/>
      <c r="H79" s="1091"/>
      <c r="I79" s="5520" t="s">
        <v>1278</v>
      </c>
      <c r="J79" s="5520"/>
      <c r="K79" s="5520"/>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29"/>
      <c r="AN79" s="1729"/>
      <c r="AO79" s="1729"/>
      <c r="AP79" s="1729"/>
      <c r="AQ79" s="1729"/>
      <c r="AR79" s="1729"/>
      <c r="AS79" s="1729"/>
      <c r="AT79" s="1729"/>
      <c r="AU79" s="1729"/>
      <c r="AV79" s="1729"/>
      <c r="AW79" s="1729"/>
      <c r="AX79" s="1729"/>
      <c r="AY79" s="1729"/>
      <c r="AZ79" s="1729"/>
      <c r="BA79" s="1729"/>
      <c r="BB79" s="1729"/>
      <c r="BC79" s="1729"/>
      <c r="BD79" s="1729"/>
      <c r="BE79" s="1729"/>
      <c r="BF79" s="1729"/>
    </row>
    <row r="81" spans="1:58" s="5104" customFormat="1" ht="11.25" customHeight="1">
      <c r="A81" s="1723" t="s">
        <v>1279</v>
      </c>
    </row>
    <row r="83" spans="1:58" s="2115" customFormat="1" ht="11.25" customHeight="1">
      <c r="A83" s="1065"/>
      <c r="B83" s="1065"/>
      <c r="C83" s="1065"/>
      <c r="D83" s="1059"/>
      <c r="E83" s="1069"/>
      <c r="F83" s="1735"/>
      <c r="G83" s="1736"/>
      <c r="H83" s="1736"/>
      <c r="I83" s="1671"/>
      <c r="J83" s="1671"/>
      <c r="K83" s="1737"/>
      <c r="L83" s="1671"/>
      <c r="M83" s="1736"/>
      <c r="N83" s="5547"/>
      <c r="O83" s="5502">
        <v>1</v>
      </c>
      <c r="P83" s="5503" t="s">
        <v>57</v>
      </c>
      <c r="Q83" s="5415" t="s">
        <v>24</v>
      </c>
      <c r="R83" s="5415" t="s">
        <v>24</v>
      </c>
      <c r="S83" s="5415" t="s">
        <v>24</v>
      </c>
      <c r="T83" s="5415" t="s">
        <v>24</v>
      </c>
      <c r="U83" s="5415" t="s">
        <v>24</v>
      </c>
      <c r="V83" s="5415" t="s">
        <v>24</v>
      </c>
      <c r="W83" s="5415" t="s">
        <v>24</v>
      </c>
      <c r="X83" s="5415" t="s">
        <v>24</v>
      </c>
      <c r="Y83" s="5415"/>
      <c r="Z83" s="1075"/>
      <c r="AA83" s="1076"/>
      <c r="AB83" s="1076"/>
      <c r="AC83" s="1080"/>
      <c r="AD83" s="1080"/>
      <c r="AE83" s="1080"/>
      <c r="AF83" s="1738"/>
      <c r="AG83" s="1666"/>
      <c r="AH83" s="1666"/>
      <c r="AI83" s="1738"/>
      <c r="AJ83" s="1666"/>
      <c r="AK83" s="1666"/>
      <c r="AL83" s="1072"/>
      <c r="AM83" s="1729"/>
      <c r="AN83" s="1729"/>
      <c r="AO83" s="1729"/>
      <c r="AP83" s="1729"/>
      <c r="AQ83" s="1729"/>
      <c r="AR83" s="1729"/>
      <c r="AS83" s="1729"/>
      <c r="AT83" s="1729"/>
      <c r="AU83" s="1729"/>
      <c r="AV83" s="1729"/>
      <c r="AW83" s="1729"/>
      <c r="AX83" s="1729"/>
      <c r="AY83" s="1729"/>
      <c r="AZ83" s="1729"/>
      <c r="BA83" s="1729"/>
      <c r="BB83" s="1729"/>
      <c r="BC83" s="1729"/>
      <c r="BD83" s="1729"/>
      <c r="BE83" s="1729"/>
      <c r="BF83" s="1729"/>
    </row>
    <row r="84" spans="1:58" s="2115" customFormat="1" ht="11.25" customHeight="1">
      <c r="A84" s="1065"/>
      <c r="B84" s="1065"/>
      <c r="C84" s="1065"/>
      <c r="D84" s="1059"/>
      <c r="E84" s="1069"/>
      <c r="F84" s="1735"/>
      <c r="G84" s="1736"/>
      <c r="H84" s="1736"/>
      <c r="I84" s="1672"/>
      <c r="J84" s="1672"/>
      <c r="K84" s="1737"/>
      <c r="L84" s="1672"/>
      <c r="M84" s="1736"/>
      <c r="N84" s="5547"/>
      <c r="O84" s="5502"/>
      <c r="P84" s="5504"/>
      <c r="Q84" s="5415"/>
      <c r="R84" s="5415"/>
      <c r="S84" s="5506"/>
      <c r="T84" s="5415"/>
      <c r="U84" s="5415"/>
      <c r="V84" s="5415"/>
      <c r="W84" s="5415"/>
      <c r="X84" s="5415"/>
      <c r="Y84" s="5415"/>
      <c r="Z84" s="1734"/>
      <c r="AA84" s="1702">
        <v>1</v>
      </c>
      <c r="AB84" s="1079"/>
      <c r="AC84" s="1068"/>
      <c r="AD84" s="1079">
        <f>AB84</f>
        <v>0</v>
      </c>
      <c r="AE84" s="642"/>
      <c r="AF84" s="1737"/>
      <c r="AG84" s="1666"/>
      <c r="AH84" s="1666"/>
      <c r="AI84" s="1737"/>
      <c r="AJ84" s="1666"/>
      <c r="AK84" s="1666"/>
      <c r="AL84" s="1072"/>
      <c r="AM84" s="1729"/>
      <c r="AN84" s="1729"/>
      <c r="AO84" s="1729"/>
      <c r="AP84" s="1729"/>
      <c r="AQ84" s="1729"/>
      <c r="AR84" s="1729"/>
      <c r="AS84" s="1729"/>
      <c r="AT84" s="1729"/>
      <c r="AU84" s="1729"/>
      <c r="AV84" s="1729"/>
      <c r="AW84" s="1729"/>
      <c r="AX84" s="1729"/>
      <c r="AY84" s="1729"/>
      <c r="AZ84" s="1729"/>
      <c r="BA84" s="1729"/>
      <c r="BB84" s="1729"/>
      <c r="BC84" s="1729"/>
      <c r="BD84" s="1729"/>
      <c r="BE84" s="1729"/>
      <c r="BF84" s="1729"/>
    </row>
    <row r="85" spans="1:58" s="2115" customFormat="1" ht="11.25" customHeight="1">
      <c r="A85" s="1065"/>
      <c r="B85" s="1065"/>
      <c r="C85" s="1065"/>
      <c r="D85" s="1059"/>
      <c r="E85" s="1069"/>
      <c r="F85" s="1735"/>
      <c r="G85" s="1736"/>
      <c r="H85" s="1736"/>
      <c r="I85" s="1673"/>
      <c r="J85" s="1673"/>
      <c r="K85" s="1737"/>
      <c r="L85" s="1673"/>
      <c r="M85" s="1736"/>
      <c r="N85" s="5547"/>
      <c r="O85" s="5502"/>
      <c r="P85" s="5505"/>
      <c r="Q85" s="5415"/>
      <c r="R85" s="5415"/>
      <c r="S85" s="5506"/>
      <c r="T85" s="5415"/>
      <c r="U85" s="5415"/>
      <c r="V85" s="5415"/>
      <c r="W85" s="5415"/>
      <c r="X85" s="5415"/>
      <c r="Y85" s="5415"/>
      <c r="Z85" s="1075"/>
      <c r="AA85" s="1076"/>
      <c r="AB85" s="1149" t="s">
        <v>1276</v>
      </c>
      <c r="AC85" s="1080"/>
      <c r="AD85" s="1080"/>
      <c r="AE85" s="1080"/>
      <c r="AF85" s="1739"/>
      <c r="AG85" s="1666"/>
      <c r="AH85" s="1666"/>
      <c r="AI85" s="1739"/>
      <c r="AJ85" s="1666"/>
      <c r="AK85" s="1666"/>
      <c r="AL85" s="1072"/>
      <c r="AM85" s="1729"/>
      <c r="AN85" s="1729"/>
      <c r="AO85" s="1729"/>
      <c r="AP85" s="1729"/>
      <c r="AQ85" s="1729"/>
      <c r="AR85" s="1729"/>
      <c r="AS85" s="1729"/>
      <c r="AT85" s="1729"/>
      <c r="AU85" s="1729"/>
      <c r="AV85" s="1729"/>
      <c r="AW85" s="1729"/>
      <c r="AX85" s="1729"/>
      <c r="AY85" s="1729"/>
      <c r="AZ85" s="1729"/>
      <c r="BA85" s="1729"/>
      <c r="BB85" s="1729"/>
      <c r="BC85" s="1729"/>
      <c r="BD85" s="1729"/>
      <c r="BE85" s="1729"/>
      <c r="BF85" s="1729"/>
    </row>
    <row r="87" spans="1:58" s="5104" customFormat="1" ht="11.25" customHeight="1">
      <c r="A87" s="1723" t="s">
        <v>1280</v>
      </c>
    </row>
    <row r="89" spans="1:58" s="2115" customFormat="1" ht="11.25" customHeight="1">
      <c r="A89" s="1065"/>
      <c r="B89" s="1065"/>
      <c r="C89" s="1065"/>
      <c r="D89" s="1059"/>
      <c r="E89" s="1069"/>
      <c r="F89" s="1736"/>
      <c r="G89" s="1736"/>
      <c r="H89" s="1736"/>
      <c r="I89" s="1736"/>
      <c r="J89" s="1736"/>
      <c r="K89" s="1736"/>
      <c r="L89" s="1736"/>
      <c r="M89" s="1736"/>
      <c r="N89" s="1736"/>
      <c r="O89" s="1736"/>
      <c r="P89" s="1736"/>
      <c r="Q89" s="1736"/>
      <c r="R89" s="1736"/>
      <c r="S89" s="1736"/>
      <c r="T89" s="1736"/>
      <c r="U89" s="1736"/>
      <c r="V89" s="1736"/>
      <c r="W89" s="1736"/>
      <c r="X89" s="1736"/>
      <c r="Y89" s="1736"/>
      <c r="Z89" s="1740"/>
      <c r="AA89" s="1722">
        <v>1</v>
      </c>
      <c r="AB89" s="1079"/>
      <c r="AC89" s="1068"/>
      <c r="AD89" s="1079">
        <f>AB89</f>
        <v>0</v>
      </c>
      <c r="AE89" s="1068"/>
      <c r="AF89" s="1737"/>
      <c r="AG89" s="1666"/>
      <c r="AH89" s="1666"/>
      <c r="AI89" s="1737"/>
      <c r="AJ89" s="1666"/>
      <c r="AK89" s="1666"/>
      <c r="AL89" s="1072"/>
      <c r="AM89" s="1729"/>
      <c r="AN89" s="1729"/>
      <c r="AO89" s="1729"/>
      <c r="AP89" s="1729"/>
      <c r="AQ89" s="1729"/>
      <c r="AR89" s="1729"/>
      <c r="AS89" s="1729"/>
      <c r="AT89" s="1729"/>
      <c r="AU89" s="1729"/>
      <c r="AV89" s="1729"/>
      <c r="AW89" s="1729"/>
      <c r="AX89" s="1729"/>
      <c r="AY89" s="1729"/>
      <c r="AZ89" s="1729"/>
      <c r="BA89" s="1729"/>
      <c r="BB89" s="1729"/>
      <c r="BC89" s="1729"/>
      <c r="BD89" s="1729"/>
      <c r="BE89" s="1729"/>
      <c r="BF89" s="1729"/>
    </row>
    <row r="91" spans="1:58" s="5104" customFormat="1" ht="11.25" customHeight="1">
      <c r="A91" s="1723" t="s">
        <v>1281</v>
      </c>
    </row>
    <row r="93" spans="1:58" s="2115" customFormat="1" ht="11.25" customHeight="1">
      <c r="A93" s="1065"/>
      <c r="B93" s="1065"/>
      <c r="C93" s="1065"/>
      <c r="D93" s="1059"/>
      <c r="E93" s="1069"/>
      <c r="F93" s="1735"/>
      <c r="G93" s="1736"/>
      <c r="H93" s="5434" t="s">
        <v>114</v>
      </c>
      <c r="I93" s="5507"/>
      <c r="J93" s="5497"/>
      <c r="K93" s="5508"/>
      <c r="L93" s="5500" t="s">
        <v>57</v>
      </c>
      <c r="M93" s="5162"/>
      <c r="N93" s="1078"/>
      <c r="O93" s="1077" t="s">
        <v>495</v>
      </c>
      <c r="P93" s="1078"/>
      <c r="Q93" s="1078"/>
      <c r="R93" s="1078"/>
      <c r="S93" s="1078"/>
      <c r="T93" s="1078"/>
      <c r="U93" s="1078"/>
      <c r="V93" s="1078"/>
      <c r="W93" s="1078"/>
      <c r="X93" s="1078"/>
      <c r="Y93" s="1078"/>
      <c r="Z93" s="1078"/>
      <c r="AA93" s="1078"/>
      <c r="AB93" s="1078"/>
      <c r="AC93" s="1078"/>
      <c r="AD93" s="1078"/>
      <c r="AE93" s="1078"/>
      <c r="AF93" s="5499"/>
      <c r="AG93" s="5500"/>
      <c r="AH93" s="5500"/>
      <c r="AI93" s="5499"/>
      <c r="AJ93" s="5500"/>
      <c r="AK93" s="5500"/>
      <c r="AL93" s="1072"/>
      <c r="AM93" s="1729"/>
      <c r="AN93" s="1729"/>
      <c r="AO93" s="1729"/>
      <c r="AP93" s="1729"/>
      <c r="AQ93" s="1729"/>
      <c r="AR93" s="1729"/>
      <c r="AS93" s="1729"/>
      <c r="AT93" s="1729"/>
      <c r="AU93" s="1729"/>
      <c r="AV93" s="1729"/>
      <c r="AW93" s="1729"/>
      <c r="AX93" s="1729"/>
      <c r="AY93" s="1729"/>
      <c r="AZ93" s="1729"/>
      <c r="BA93" s="1729"/>
      <c r="BB93" s="1729"/>
      <c r="BC93" s="1729"/>
      <c r="BD93" s="1729"/>
      <c r="BE93" s="1729"/>
      <c r="BF93" s="1729"/>
    </row>
    <row r="94" spans="1:58" s="2115" customFormat="1" ht="11.25" customHeight="1">
      <c r="A94" s="1065"/>
      <c r="B94" s="1065"/>
      <c r="C94" s="1065"/>
      <c r="D94" s="1059"/>
      <c r="E94" s="1069"/>
      <c r="F94" s="1735"/>
      <c r="G94" s="1736"/>
      <c r="H94" s="5434"/>
      <c r="I94" s="5507"/>
      <c r="J94" s="5497"/>
      <c r="K94" s="5508"/>
      <c r="L94" s="5500"/>
      <c r="M94" s="5162"/>
      <c r="N94" s="5501"/>
      <c r="O94" s="5502">
        <v>1</v>
      </c>
      <c r="P94" s="5503" t="s">
        <v>57</v>
      </c>
      <c r="Q94" s="5415" t="s">
        <v>24</v>
      </c>
      <c r="R94" s="5415" t="s">
        <v>24</v>
      </c>
      <c r="S94" s="5415" t="s">
        <v>24</v>
      </c>
      <c r="T94" s="5415" t="s">
        <v>24</v>
      </c>
      <c r="U94" s="5415" t="s">
        <v>24</v>
      </c>
      <c r="V94" s="5415" t="s">
        <v>24</v>
      </c>
      <c r="W94" s="5415" t="s">
        <v>24</v>
      </c>
      <c r="X94" s="5415" t="s">
        <v>24</v>
      </c>
      <c r="Y94" s="5415"/>
      <c r="Z94" s="1075"/>
      <c r="AA94" s="1076"/>
      <c r="AB94" s="1076"/>
      <c r="AC94" s="1080"/>
      <c r="AD94" s="1080"/>
      <c r="AE94" s="1081"/>
      <c r="AF94" s="5499"/>
      <c r="AG94" s="5500"/>
      <c r="AH94" s="5500"/>
      <c r="AI94" s="5499"/>
      <c r="AJ94" s="5500"/>
      <c r="AK94" s="5500"/>
      <c r="AL94" s="1072"/>
      <c r="AM94" s="1729"/>
      <c r="AN94" s="1729"/>
      <c r="AO94" s="1729"/>
      <c r="AP94" s="1729"/>
      <c r="AQ94" s="1729"/>
      <c r="AR94" s="1729"/>
      <c r="AS94" s="1729"/>
      <c r="AT94" s="1729"/>
      <c r="AU94" s="1729"/>
      <c r="AV94" s="1729"/>
      <c r="AW94" s="1729"/>
      <c r="AX94" s="1729"/>
      <c r="AY94" s="1729"/>
      <c r="AZ94" s="1729"/>
      <c r="BA94" s="1729"/>
      <c r="BB94" s="1729"/>
      <c r="BC94" s="1729"/>
      <c r="BD94" s="1729"/>
      <c r="BE94" s="1729"/>
      <c r="BF94" s="1729"/>
    </row>
    <row r="95" spans="1:58" s="2115" customFormat="1" ht="11.25" customHeight="1">
      <c r="A95" s="1065"/>
      <c r="B95" s="1065"/>
      <c r="C95" s="1065"/>
      <c r="D95" s="1059"/>
      <c r="E95" s="1069"/>
      <c r="F95" s="1735"/>
      <c r="G95" s="1736"/>
      <c r="H95" s="5434"/>
      <c r="I95" s="5507"/>
      <c r="J95" s="5497"/>
      <c r="K95" s="5508"/>
      <c r="L95" s="5500"/>
      <c r="M95" s="5162"/>
      <c r="N95" s="5501"/>
      <c r="O95" s="5502"/>
      <c r="P95" s="5504"/>
      <c r="Q95" s="5415"/>
      <c r="R95" s="5415"/>
      <c r="S95" s="5506"/>
      <c r="T95" s="5415"/>
      <c r="U95" s="5415"/>
      <c r="V95" s="5415"/>
      <c r="W95" s="5415"/>
      <c r="X95" s="5415"/>
      <c r="Y95" s="5415"/>
      <c r="Z95" s="1734"/>
      <c r="AA95" s="1702">
        <v>1</v>
      </c>
      <c r="AB95" s="1079"/>
      <c r="AC95" s="1068"/>
      <c r="AD95" s="1079">
        <f>AB95</f>
        <v>0</v>
      </c>
      <c r="AE95" s="1068"/>
      <c r="AF95" s="5499"/>
      <c r="AG95" s="5500"/>
      <c r="AH95" s="5500"/>
      <c r="AI95" s="5499"/>
      <c r="AJ95" s="5500"/>
      <c r="AK95" s="5500"/>
      <c r="AL95" s="1072"/>
      <c r="AM95" s="1729"/>
      <c r="AN95" s="1729"/>
      <c r="AO95" s="1729"/>
      <c r="AP95" s="1729"/>
      <c r="AQ95" s="1729"/>
      <c r="AR95" s="1729"/>
      <c r="AS95" s="1729"/>
      <c r="AT95" s="1729"/>
      <c r="AU95" s="1729"/>
      <c r="AV95" s="1729"/>
      <c r="AW95" s="1729"/>
      <c r="AX95" s="1729"/>
      <c r="AY95" s="1729"/>
      <c r="AZ95" s="1729"/>
      <c r="BA95" s="1729"/>
      <c r="BB95" s="1729"/>
      <c r="BC95" s="1729"/>
      <c r="BD95" s="1729"/>
      <c r="BE95" s="1729"/>
      <c r="BF95" s="1729"/>
    </row>
    <row r="96" spans="1:58" s="2115" customFormat="1" ht="11.25" customHeight="1">
      <c r="A96" s="1065"/>
      <c r="B96" s="1065"/>
      <c r="C96" s="1065"/>
      <c r="D96" s="1059"/>
      <c r="E96" s="1069"/>
      <c r="F96" s="1735"/>
      <c r="G96" s="1736"/>
      <c r="H96" s="5434"/>
      <c r="I96" s="5507"/>
      <c r="J96" s="5497"/>
      <c r="K96" s="5508"/>
      <c r="L96" s="5500"/>
      <c r="M96" s="5162"/>
      <c r="N96" s="5501"/>
      <c r="O96" s="5502"/>
      <c r="P96" s="5505"/>
      <c r="Q96" s="5415"/>
      <c r="R96" s="5415"/>
      <c r="S96" s="5506"/>
      <c r="T96" s="5415"/>
      <c r="U96" s="5415"/>
      <c r="V96" s="5415"/>
      <c r="W96" s="5415"/>
      <c r="X96" s="5415"/>
      <c r="Y96" s="5415"/>
      <c r="Z96" s="1075"/>
      <c r="AA96" s="1076"/>
      <c r="AB96" s="1149" t="s">
        <v>1276</v>
      </c>
      <c r="AC96" s="1080"/>
      <c r="AD96" s="1080"/>
      <c r="AE96" s="1082"/>
      <c r="AF96" s="5499"/>
      <c r="AG96" s="5500"/>
      <c r="AH96" s="5500"/>
      <c r="AI96" s="5499"/>
      <c r="AJ96" s="5500"/>
      <c r="AK96" s="5500"/>
      <c r="AL96" s="1072"/>
      <c r="AM96" s="1729"/>
      <c r="AN96" s="1729"/>
      <c r="AO96" s="1729"/>
      <c r="AP96" s="1729"/>
      <c r="AQ96" s="1729"/>
      <c r="AR96" s="1729"/>
      <c r="AS96" s="1729"/>
      <c r="AT96" s="1729"/>
      <c r="AU96" s="1729"/>
      <c r="AV96" s="1729"/>
      <c r="AW96" s="1729"/>
      <c r="AX96" s="1729"/>
      <c r="AY96" s="1729"/>
      <c r="AZ96" s="1729"/>
      <c r="BA96" s="1729"/>
      <c r="BB96" s="1729"/>
      <c r="BC96" s="1729"/>
      <c r="BD96" s="1729"/>
      <c r="BE96" s="1729"/>
      <c r="BF96" s="1729"/>
    </row>
    <row r="97" spans="1:184" s="2115" customFormat="1" ht="11.25" customHeight="1">
      <c r="A97" s="1065"/>
      <c r="B97" s="1065"/>
      <c r="C97" s="1065"/>
      <c r="D97" s="1059"/>
      <c r="E97" s="1069"/>
      <c r="F97" s="1735"/>
      <c r="G97" s="1736"/>
      <c r="H97" s="5434"/>
      <c r="I97" s="5507"/>
      <c r="J97" s="5497"/>
      <c r="K97" s="5508"/>
      <c r="L97" s="5500"/>
      <c r="M97" s="5162"/>
      <c r="N97" s="1076"/>
      <c r="O97" s="1076"/>
      <c r="P97" s="1067" t="s">
        <v>1277</v>
      </c>
      <c r="Q97" s="1076"/>
      <c r="R97" s="1076"/>
      <c r="S97" s="1076"/>
      <c r="T97" s="1076"/>
      <c r="U97" s="1076"/>
      <c r="V97" s="1076"/>
      <c r="W97" s="1076"/>
      <c r="X97" s="1076"/>
      <c r="Y97" s="1076"/>
      <c r="Z97" s="1076"/>
      <c r="AA97" s="1076"/>
      <c r="AB97" s="1076"/>
      <c r="AC97" s="1076"/>
      <c r="AD97" s="1076"/>
      <c r="AE97" s="1083"/>
      <c r="AF97" s="5499"/>
      <c r="AG97" s="5500"/>
      <c r="AH97" s="5500"/>
      <c r="AI97" s="5499"/>
      <c r="AJ97" s="5500"/>
      <c r="AK97" s="5500"/>
      <c r="AL97" s="1072"/>
      <c r="AM97" s="1729"/>
      <c r="AN97" s="1729"/>
      <c r="AO97" s="1729"/>
      <c r="AP97" s="1729"/>
      <c r="AQ97" s="1729"/>
      <c r="AR97" s="1729"/>
      <c r="AS97" s="1729"/>
      <c r="AT97" s="1729"/>
      <c r="AU97" s="1729"/>
      <c r="AV97" s="1729"/>
      <c r="AW97" s="1729"/>
      <c r="AX97" s="1729"/>
      <c r="AY97" s="1729"/>
      <c r="AZ97" s="1729"/>
      <c r="BA97" s="1729"/>
      <c r="BB97" s="1729"/>
      <c r="BC97" s="1729"/>
      <c r="BD97" s="1729"/>
      <c r="BE97" s="1729"/>
      <c r="BF97" s="1729"/>
    </row>
    <row r="99" spans="1:184" s="5104" customFormat="1" ht="11.25" customHeight="1">
      <c r="A99" s="1723" t="s">
        <v>1282</v>
      </c>
    </row>
    <row r="100" spans="1:184" ht="17.25" customHeight="1"/>
    <row r="101" spans="1:184" s="4609"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4609" customFormat="1" ht="24.75" customHeight="1">
      <c r="B102" s="834"/>
      <c r="C102" s="835"/>
      <c r="D102" s="835"/>
      <c r="E102" s="1741"/>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4609" customFormat="1" ht="12" customHeight="1">
      <c r="A103" s="835"/>
      <c r="B103" s="834"/>
      <c r="C103" s="835"/>
      <c r="D103" s="835"/>
      <c r="E103" s="835"/>
      <c r="F103" s="1115"/>
      <c r="G103" s="1708" t="s">
        <v>1283</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5104" customFormat="1" ht="11.25" customHeight="1">
      <c r="A105" s="1723" t="s">
        <v>1284</v>
      </c>
    </row>
    <row r="107" spans="1:184" s="1830" customFormat="1" ht="15" customHeight="1">
      <c r="A107" s="543"/>
      <c r="B107" s="544"/>
      <c r="C107" s="544"/>
      <c r="D107" s="5544" t="s">
        <v>114</v>
      </c>
      <c r="E107" s="5396" t="s">
        <v>110</v>
      </c>
      <c r="F107" s="5397"/>
      <c r="G107" s="5398"/>
      <c r="H107" s="5402" t="str">
        <f>IF(A107="","",INDEX(DIFFERENTIATION_UNMERGE_VD,MATCH(A107,DIFFERENTIATION_ID_DIFF,0)))</f>
        <v/>
      </c>
      <c r="I107" s="5402"/>
      <c r="J107" s="5402"/>
      <c r="K107" s="5402"/>
      <c r="L107" s="5402"/>
      <c r="M107" s="5402"/>
      <c r="N107" s="5402"/>
      <c r="O107" s="5402"/>
      <c r="P107" s="5402"/>
      <c r="Q107" s="5402"/>
      <c r="R107" s="5402"/>
      <c r="S107" s="637"/>
      <c r="T107" s="634"/>
      <c r="U107" s="545"/>
      <c r="V107" s="545"/>
      <c r="W107" s="546"/>
      <c r="X107" s="546"/>
      <c r="Y107" s="546"/>
      <c r="Z107" s="546"/>
      <c r="AA107" s="547"/>
      <c r="AB107" s="548"/>
      <c r="AC107" s="5394"/>
      <c r="AD107" s="549"/>
      <c r="AE107" s="550" t="s">
        <v>24</v>
      </c>
      <c r="AF107" s="550"/>
      <c r="AG107" s="551" t="s">
        <v>723</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0" customFormat="1" ht="15" customHeight="1">
      <c r="A108" s="543"/>
      <c r="B108" s="544"/>
      <c r="C108" s="544"/>
      <c r="D108" s="5545"/>
      <c r="E108" s="5396" t="s">
        <v>678</v>
      </c>
      <c r="F108" s="5397"/>
      <c r="G108" s="5398"/>
      <c r="H108" s="5402" t="str">
        <f>IF(A107="","",INDEX(DIFFERENTIATION_UNMERGE_AREA,MATCH(A107,DIFFERENTIATION_ID_DIFF,0)))</f>
        <v/>
      </c>
      <c r="I108" s="5402"/>
      <c r="J108" s="5402"/>
      <c r="K108" s="5402"/>
      <c r="L108" s="5402"/>
      <c r="M108" s="5402"/>
      <c r="N108" s="5402"/>
      <c r="O108" s="5402"/>
      <c r="P108" s="5402"/>
      <c r="Q108" s="5402"/>
      <c r="R108" s="5402"/>
      <c r="S108" s="637"/>
      <c r="T108" s="634"/>
      <c r="U108" s="545"/>
      <c r="V108" s="545"/>
      <c r="W108" s="546"/>
      <c r="X108" s="546"/>
      <c r="Y108" s="546"/>
      <c r="Z108" s="546"/>
      <c r="AA108" s="547"/>
      <c r="AB108" s="548"/>
      <c r="AC108" s="5394"/>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0" customFormat="1" ht="15" customHeight="1">
      <c r="A109" s="543"/>
      <c r="B109" s="544"/>
      <c r="C109" s="544"/>
      <c r="D109" s="5545"/>
      <c r="E109" s="5396" t="s">
        <v>679</v>
      </c>
      <c r="F109" s="5397"/>
      <c r="G109" s="5398"/>
      <c r="H109" s="5402" t="str">
        <f>IF(A107="","",INDEX(DIFFERENTIATION_UNMERGE_SYSTEM,MATCH(A107,DIFFERENTIATION_ID_DIFF,0)))</f>
        <v/>
      </c>
      <c r="I109" s="5402"/>
      <c r="J109" s="5402"/>
      <c r="K109" s="5402"/>
      <c r="L109" s="5402"/>
      <c r="M109" s="5402"/>
      <c r="N109" s="5402"/>
      <c r="O109" s="5402"/>
      <c r="P109" s="5402"/>
      <c r="Q109" s="5402"/>
      <c r="R109" s="5402"/>
      <c r="S109" s="637"/>
      <c r="T109" s="634"/>
      <c r="U109" s="545"/>
      <c r="V109" s="545"/>
      <c r="W109" s="546"/>
      <c r="X109" s="546"/>
      <c r="Y109" s="546"/>
      <c r="Z109" s="546"/>
      <c r="AA109" s="547"/>
      <c r="AB109" s="548"/>
      <c r="AC109" s="5394"/>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0" customFormat="1" ht="24.75" customHeight="1">
      <c r="A110" s="1714"/>
      <c r="B110" s="1059"/>
      <c r="C110" s="345"/>
      <c r="D110" s="5545"/>
      <c r="E110" s="5395" t="s">
        <v>724</v>
      </c>
      <c r="F110" s="5395"/>
      <c r="G110" s="5395"/>
      <c r="H110" s="5395"/>
      <c r="I110" s="5395"/>
      <c r="J110" s="5395"/>
      <c r="K110" s="5395"/>
      <c r="L110" s="5395"/>
      <c r="M110" s="5395"/>
      <c r="N110" s="5395"/>
      <c r="O110" s="5395"/>
      <c r="P110" s="5395"/>
      <c r="Q110" s="482">
        <f>SUMIF(T111:T112,"i",Q111:Q112)</f>
        <v>0</v>
      </c>
      <c r="R110" s="923"/>
      <c r="S110" s="1706" t="s">
        <v>725</v>
      </c>
      <c r="T110" s="635" t="s">
        <v>726</v>
      </c>
      <c r="U110" s="5313">
        <v>1</v>
      </c>
      <c r="V110" s="5313" t="s">
        <v>689</v>
      </c>
      <c r="W110" s="1059"/>
      <c r="X110" s="1059"/>
      <c r="Y110" s="1059"/>
      <c r="Z110" s="1059"/>
      <c r="AA110" s="1547"/>
      <c r="AB110" s="1059"/>
      <c r="AC110" s="5394"/>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0" customFormat="1" ht="11.25" hidden="1" customHeight="1">
      <c r="A111" s="1701"/>
      <c r="B111" s="1547"/>
      <c r="C111" s="1547"/>
      <c r="D111" s="5545"/>
      <c r="E111" s="555"/>
      <c r="F111" s="555">
        <v>0</v>
      </c>
      <c r="G111" s="555"/>
      <c r="H111" s="555"/>
      <c r="I111" s="555"/>
      <c r="J111" s="555"/>
      <c r="K111" s="555"/>
      <c r="L111" s="555"/>
      <c r="M111" s="555"/>
      <c r="N111" s="555"/>
      <c r="O111" s="555"/>
      <c r="P111" s="555"/>
      <c r="Q111" s="555"/>
      <c r="R111" s="555"/>
      <c r="S111" s="556"/>
      <c r="T111" s="636"/>
      <c r="U111" s="5313"/>
      <c r="V111" s="5313"/>
      <c r="W111" s="1547"/>
      <c r="X111" s="1547"/>
      <c r="Y111" s="1547"/>
      <c r="Z111" s="1547"/>
      <c r="AA111" s="1547"/>
      <c r="AB111" s="1059"/>
      <c r="AC111" s="5394"/>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0" customFormat="1" ht="11.25" customHeight="1">
      <c r="A112" s="1714"/>
      <c r="B112" s="1059"/>
      <c r="C112" s="345"/>
      <c r="D112" s="5545"/>
      <c r="E112" s="569" t="s">
        <v>24</v>
      </c>
      <c r="F112" s="1067" t="s">
        <v>24</v>
      </c>
      <c r="G112" s="1067" t="s">
        <v>1285</v>
      </c>
      <c r="H112" s="571" t="s">
        <v>24</v>
      </c>
      <c r="I112" s="571"/>
      <c r="J112" s="571"/>
      <c r="K112" s="571"/>
      <c r="L112" s="571"/>
      <c r="M112" s="571"/>
      <c r="N112" s="571"/>
      <c r="O112" s="571"/>
      <c r="P112" s="571"/>
      <c r="Q112" s="571"/>
      <c r="R112" s="572"/>
      <c r="S112" s="573"/>
      <c r="T112" s="636"/>
      <c r="U112" s="5313"/>
      <c r="V112" s="5313"/>
      <c r="W112" s="1059"/>
      <c r="X112" s="1059"/>
      <c r="Y112" s="1059"/>
      <c r="Z112" s="1059"/>
      <c r="AA112" s="1547"/>
      <c r="AB112" s="1059"/>
      <c r="AC112" s="5394"/>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0" customFormat="1" ht="24.75" customHeight="1">
      <c r="A113" s="1714"/>
      <c r="B113" s="1059"/>
      <c r="C113" s="345"/>
      <c r="D113" s="5545"/>
      <c r="E113" s="5395" t="s">
        <v>727</v>
      </c>
      <c r="F113" s="5395"/>
      <c r="G113" s="5395"/>
      <c r="H113" s="5395"/>
      <c r="I113" s="5395"/>
      <c r="J113" s="5395"/>
      <c r="K113" s="5395"/>
      <c r="L113" s="5395"/>
      <c r="M113" s="5395"/>
      <c r="N113" s="5395"/>
      <c r="O113" s="5395"/>
      <c r="P113" s="5395"/>
      <c r="Q113" s="482">
        <f>SUMIF(T114:T115,"i",Q114:Q115)</f>
        <v>0</v>
      </c>
      <c r="R113" s="923"/>
      <c r="S113" s="1706" t="s">
        <v>728</v>
      </c>
      <c r="T113" s="635" t="s">
        <v>726</v>
      </c>
      <c r="U113" s="5313">
        <v>1</v>
      </c>
      <c r="V113" s="5313" t="s">
        <v>689</v>
      </c>
      <c r="W113" s="1059"/>
      <c r="X113" s="1059"/>
      <c r="Y113" s="1059"/>
      <c r="Z113" s="1059"/>
      <c r="AA113" s="1547"/>
      <c r="AB113" s="1059"/>
      <c r="AC113" s="1704"/>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0" customFormat="1" ht="11.25" hidden="1" customHeight="1">
      <c r="A114" s="1701"/>
      <c r="B114" s="1547"/>
      <c r="C114" s="1547"/>
      <c r="D114" s="5545"/>
      <c r="E114" s="555"/>
      <c r="F114" s="555">
        <v>0</v>
      </c>
      <c r="G114" s="555"/>
      <c r="H114" s="555"/>
      <c r="I114" s="555"/>
      <c r="J114" s="555"/>
      <c r="K114" s="555"/>
      <c r="L114" s="555"/>
      <c r="M114" s="555"/>
      <c r="N114" s="555"/>
      <c r="O114" s="555"/>
      <c r="P114" s="555"/>
      <c r="Q114" s="555"/>
      <c r="R114" s="555"/>
      <c r="S114" s="556"/>
      <c r="T114" s="636"/>
      <c r="U114" s="5313"/>
      <c r="V114" s="5313"/>
      <c r="W114" s="1547"/>
      <c r="X114" s="1547"/>
      <c r="Y114" s="1547"/>
      <c r="Z114" s="1547"/>
      <c r="AA114" s="1547"/>
      <c r="AB114" s="1059"/>
      <c r="AC114" s="1704"/>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0" customFormat="1" ht="11.25" customHeight="1">
      <c r="A115" s="1714"/>
      <c r="B115" s="1059"/>
      <c r="C115" s="345"/>
      <c r="D115" s="5546"/>
      <c r="E115" s="569" t="s">
        <v>24</v>
      </c>
      <c r="F115" s="1067" t="s">
        <v>24</v>
      </c>
      <c r="G115" s="1067" t="s">
        <v>1285</v>
      </c>
      <c r="H115" s="571" t="s">
        <v>24</v>
      </c>
      <c r="I115" s="571"/>
      <c r="J115" s="571"/>
      <c r="K115" s="571"/>
      <c r="L115" s="571"/>
      <c r="M115" s="571"/>
      <c r="N115" s="571"/>
      <c r="O115" s="571"/>
      <c r="P115" s="571"/>
      <c r="Q115" s="571"/>
      <c r="R115" s="572"/>
      <c r="S115" s="573"/>
      <c r="T115" s="636"/>
      <c r="U115" s="5313"/>
      <c r="V115" s="5313"/>
      <c r="W115" s="1059"/>
      <c r="X115" s="1059"/>
      <c r="Y115" s="1059"/>
      <c r="Z115" s="1059"/>
      <c r="AA115" s="1547"/>
      <c r="AB115" s="1059"/>
      <c r="AC115" s="1704"/>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5104" customFormat="1" ht="11.25" customHeight="1">
      <c r="A117" s="1723" t="s">
        <v>1286</v>
      </c>
    </row>
    <row r="119" spans="1:83" s="1830" customFormat="1" ht="15" customHeight="1">
      <c r="A119" s="543"/>
      <c r="B119" s="544"/>
      <c r="C119" s="544"/>
      <c r="D119" s="5544" t="s">
        <v>114</v>
      </c>
      <c r="E119" s="5396" t="s">
        <v>110</v>
      </c>
      <c r="F119" s="5397"/>
      <c r="G119" s="5398"/>
      <c r="H119" s="5402" t="str">
        <f>IF(A119="","",INDEX(DIFFERENTIATION_UNMERGE_VD,MATCH(A119,DIFFERENTIATION_ID_DIFF,0)))</f>
        <v/>
      </c>
      <c r="I119" s="5402"/>
      <c r="J119" s="5402"/>
      <c r="K119" s="5402"/>
      <c r="L119" s="5402"/>
      <c r="M119" s="5402"/>
      <c r="N119" s="5402"/>
      <c r="O119" s="5402"/>
      <c r="P119" s="5402"/>
      <c r="Q119" s="5402"/>
      <c r="R119" s="5402"/>
      <c r="S119" s="637"/>
      <c r="T119" s="634"/>
      <c r="U119" s="545"/>
      <c r="V119" s="545"/>
      <c r="W119" s="546"/>
      <c r="X119" s="546"/>
      <c r="Y119" s="546"/>
      <c r="Z119" s="546"/>
      <c r="AA119" s="547"/>
      <c r="AB119" s="548"/>
      <c r="AC119" s="5394"/>
      <c r="AD119" s="549"/>
      <c r="AE119" s="550" t="s">
        <v>24</v>
      </c>
      <c r="AF119" s="550"/>
      <c r="AG119" s="551" t="s">
        <v>723</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0" customFormat="1" ht="15" customHeight="1">
      <c r="A120" s="543"/>
      <c r="B120" s="544"/>
      <c r="C120" s="544"/>
      <c r="D120" s="5545"/>
      <c r="E120" s="5396" t="s">
        <v>678</v>
      </c>
      <c r="F120" s="5397"/>
      <c r="G120" s="5398"/>
      <c r="H120" s="5402" t="str">
        <f>IF(A119="","",INDEX(DIFFERENTIATION_UNMERGE_AREA,MATCH(A119,DIFFERENTIATION_ID_DIFF,0)))</f>
        <v/>
      </c>
      <c r="I120" s="5402"/>
      <c r="J120" s="5402"/>
      <c r="K120" s="5402"/>
      <c r="L120" s="5402"/>
      <c r="M120" s="5402"/>
      <c r="N120" s="5402"/>
      <c r="O120" s="5402"/>
      <c r="P120" s="5402"/>
      <c r="Q120" s="5402"/>
      <c r="R120" s="5402"/>
      <c r="S120" s="637"/>
      <c r="T120" s="634"/>
      <c r="U120" s="545"/>
      <c r="V120" s="545"/>
      <c r="W120" s="546"/>
      <c r="X120" s="546"/>
      <c r="Y120" s="546"/>
      <c r="Z120" s="546"/>
      <c r="AA120" s="547"/>
      <c r="AB120" s="548"/>
      <c r="AC120" s="5394"/>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0" customFormat="1" ht="15" customHeight="1">
      <c r="A121" s="543"/>
      <c r="B121" s="544"/>
      <c r="C121" s="544"/>
      <c r="D121" s="5545"/>
      <c r="E121" s="5396" t="s">
        <v>679</v>
      </c>
      <c r="F121" s="5397"/>
      <c r="G121" s="5398"/>
      <c r="H121" s="5402" t="str">
        <f>IF(A119="","",INDEX(DIFFERENTIATION_UNMERGE_SYSTEM,MATCH(A119,DIFFERENTIATION_ID_DIFF,0)))</f>
        <v/>
      </c>
      <c r="I121" s="5402"/>
      <c r="J121" s="5402"/>
      <c r="K121" s="5402"/>
      <c r="L121" s="5402"/>
      <c r="M121" s="5402"/>
      <c r="N121" s="5402"/>
      <c r="O121" s="5402"/>
      <c r="P121" s="5402"/>
      <c r="Q121" s="5402"/>
      <c r="R121" s="5402"/>
      <c r="S121" s="637"/>
      <c r="T121" s="634"/>
      <c r="U121" s="545"/>
      <c r="V121" s="545"/>
      <c r="W121" s="546"/>
      <c r="X121" s="546"/>
      <c r="Y121" s="546"/>
      <c r="Z121" s="546"/>
      <c r="AA121" s="547"/>
      <c r="AB121" s="548"/>
      <c r="AC121" s="5394"/>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0" customFormat="1" ht="24.75" customHeight="1">
      <c r="A122" s="1714"/>
      <c r="B122" s="1059"/>
      <c r="C122" s="345"/>
      <c r="D122" s="5545"/>
      <c r="E122" s="5395" t="s">
        <v>724</v>
      </c>
      <c r="F122" s="5395"/>
      <c r="G122" s="5395"/>
      <c r="H122" s="5395"/>
      <c r="I122" s="5395"/>
      <c r="J122" s="5395"/>
      <c r="K122" s="5395"/>
      <c r="L122" s="5395"/>
      <c r="M122" s="5395"/>
      <c r="N122" s="5395"/>
      <c r="O122" s="5395"/>
      <c r="P122" s="5395"/>
      <c r="Q122" s="482">
        <f>SUMIF(T123:T124,"i",Q123:Q124)</f>
        <v>0</v>
      </c>
      <c r="R122" s="923"/>
      <c r="S122" s="1706" t="s">
        <v>725</v>
      </c>
      <c r="T122" s="635" t="s">
        <v>726</v>
      </c>
      <c r="U122" s="5313">
        <v>1</v>
      </c>
      <c r="V122" s="5313" t="s">
        <v>689</v>
      </c>
      <c r="W122" s="1059"/>
      <c r="X122" s="1059"/>
      <c r="Y122" s="1059"/>
      <c r="Z122" s="1059"/>
      <c r="AA122" s="1547"/>
      <c r="AB122" s="1059"/>
      <c r="AC122" s="5394"/>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0" customFormat="1" ht="11.25" hidden="1" customHeight="1">
      <c r="A123" s="1701"/>
      <c r="B123" s="1547"/>
      <c r="C123" s="1547"/>
      <c r="D123" s="5545"/>
      <c r="E123" s="555"/>
      <c r="F123" s="555">
        <v>0</v>
      </c>
      <c r="G123" s="555"/>
      <c r="H123" s="555"/>
      <c r="I123" s="555"/>
      <c r="J123" s="555"/>
      <c r="K123" s="555"/>
      <c r="L123" s="555"/>
      <c r="M123" s="555"/>
      <c r="N123" s="555"/>
      <c r="O123" s="555"/>
      <c r="P123" s="555"/>
      <c r="Q123" s="555"/>
      <c r="R123" s="555"/>
      <c r="S123" s="556"/>
      <c r="T123" s="636"/>
      <c r="U123" s="5313"/>
      <c r="V123" s="5313"/>
      <c r="W123" s="1547"/>
      <c r="X123" s="1547"/>
      <c r="Y123" s="1547"/>
      <c r="Z123" s="1547"/>
      <c r="AA123" s="1547"/>
      <c r="AB123" s="1059"/>
      <c r="AC123" s="5394"/>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0" customFormat="1" ht="11.25" customHeight="1">
      <c r="A124" s="1714"/>
      <c r="B124" s="1059"/>
      <c r="C124" s="345"/>
      <c r="D124" s="5545"/>
      <c r="E124" s="569" t="s">
        <v>24</v>
      </c>
      <c r="F124" s="1067" t="s">
        <v>24</v>
      </c>
      <c r="G124" s="1067" t="s">
        <v>1285</v>
      </c>
      <c r="H124" s="571" t="s">
        <v>24</v>
      </c>
      <c r="I124" s="571"/>
      <c r="J124" s="571"/>
      <c r="K124" s="571"/>
      <c r="L124" s="571"/>
      <c r="M124" s="571"/>
      <c r="N124" s="571"/>
      <c r="O124" s="571"/>
      <c r="P124" s="571"/>
      <c r="Q124" s="571"/>
      <c r="R124" s="572"/>
      <c r="S124" s="573"/>
      <c r="T124" s="636"/>
      <c r="U124" s="5313"/>
      <c r="V124" s="5313"/>
      <c r="W124" s="1059"/>
      <c r="X124" s="1059"/>
      <c r="Y124" s="1059"/>
      <c r="Z124" s="1059"/>
      <c r="AA124" s="1547"/>
      <c r="AB124" s="1059"/>
      <c r="AC124" s="5394"/>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1" customFormat="1" ht="5.25" hidden="1" customHeight="1">
      <c r="A125" s="1701"/>
      <c r="B125" s="1547"/>
      <c r="C125" s="1547"/>
      <c r="D125" s="5545"/>
      <c r="E125" s="945"/>
      <c r="F125" s="945"/>
      <c r="G125" s="945"/>
      <c r="H125" s="945"/>
      <c r="I125" s="945"/>
      <c r="J125" s="945"/>
      <c r="K125" s="945"/>
      <c r="L125" s="945"/>
      <c r="M125" s="945"/>
      <c r="N125" s="945"/>
      <c r="O125" s="945"/>
      <c r="P125" s="945"/>
      <c r="Q125" s="946"/>
      <c r="R125" s="947"/>
      <c r="S125" s="948"/>
      <c r="T125" s="635" t="s">
        <v>726</v>
      </c>
      <c r="U125" s="5313">
        <v>1</v>
      </c>
      <c r="V125" s="5313" t="s">
        <v>689</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1" customFormat="1" ht="5.25" hidden="1" customHeight="1">
      <c r="A126" s="1701"/>
      <c r="B126" s="1547"/>
      <c r="C126" s="1547"/>
      <c r="D126" s="5545"/>
      <c r="E126" s="555"/>
      <c r="F126" s="555"/>
      <c r="G126" s="555"/>
      <c r="H126" s="555"/>
      <c r="I126" s="555"/>
      <c r="J126" s="555"/>
      <c r="K126" s="555"/>
      <c r="L126" s="555"/>
      <c r="M126" s="555"/>
      <c r="N126" s="555"/>
      <c r="O126" s="555"/>
      <c r="P126" s="555"/>
      <c r="Q126" s="555"/>
      <c r="R126" s="555"/>
      <c r="S126" s="556"/>
      <c r="T126" s="636"/>
      <c r="U126" s="5313"/>
      <c r="V126" s="5313"/>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1" customFormat="1" ht="5.25" hidden="1" customHeight="1">
      <c r="A127" s="1701"/>
      <c r="B127" s="1547"/>
      <c r="C127" s="1547"/>
      <c r="D127" s="5546"/>
      <c r="E127" s="949"/>
      <c r="F127" s="950"/>
      <c r="G127" s="950"/>
      <c r="H127" s="951"/>
      <c r="I127" s="951"/>
      <c r="J127" s="951"/>
      <c r="K127" s="951"/>
      <c r="L127" s="951"/>
      <c r="M127" s="951"/>
      <c r="N127" s="951"/>
      <c r="O127" s="951"/>
      <c r="P127" s="951"/>
      <c r="Q127" s="951"/>
      <c r="R127" s="854"/>
      <c r="S127" s="952"/>
      <c r="T127" s="636"/>
      <c r="U127" s="5313"/>
      <c r="V127" s="5313"/>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2"/>
    </row>
    <row r="129" spans="1:29" s="5104" customFormat="1" ht="11.25" customHeight="1">
      <c r="A129" s="1723" t="s">
        <v>1287</v>
      </c>
    </row>
    <row r="131" spans="1:29" s="1830" customFormat="1" ht="45" customHeight="1">
      <c r="A131" s="1714"/>
      <c r="B131" s="1059"/>
      <c r="C131" s="345"/>
      <c r="D131" s="23"/>
      <c r="E131" s="5537"/>
      <c r="F131" s="5162" t="s">
        <v>114</v>
      </c>
      <c r="G131" s="5540" t="s">
        <v>24</v>
      </c>
      <c r="H131" s="207"/>
      <c r="I131" s="557" t="s">
        <v>114</v>
      </c>
      <c r="J131" s="1715" t="s">
        <v>1288</v>
      </c>
      <c r="K131" s="558" t="s">
        <v>660</v>
      </c>
      <c r="L131" s="5287" t="s">
        <v>660</v>
      </c>
      <c r="M131" s="5208"/>
      <c r="N131" s="558" t="s">
        <v>660</v>
      </c>
      <c r="O131" s="558" t="s">
        <v>660</v>
      </c>
      <c r="P131" s="558" t="s">
        <v>660</v>
      </c>
      <c r="Q131" s="559">
        <f>SUM(Q132:Q134)</f>
        <v>0</v>
      </c>
      <c r="R131" s="559">
        <f>IF(R128=0,0,(Q128/R128)*100)</f>
        <v>0</v>
      </c>
      <c r="S131" s="5248"/>
      <c r="T131" s="635" t="s">
        <v>726</v>
      </c>
      <c r="U131" s="23"/>
      <c r="V131" s="23"/>
      <c r="AC131" s="23"/>
    </row>
    <row r="132" spans="1:29" s="1830" customFormat="1" ht="11.25" customHeight="1">
      <c r="A132" s="1714"/>
      <c r="B132" s="1059"/>
      <c r="C132" s="345"/>
      <c r="D132" s="23"/>
      <c r="E132" s="5538"/>
      <c r="F132" s="5162"/>
      <c r="G132" s="5540"/>
      <c r="H132" s="5180"/>
      <c r="I132" s="5434" t="s">
        <v>1050</v>
      </c>
      <c r="J132" s="5542"/>
      <c r="K132" s="5543"/>
      <c r="L132" s="560"/>
      <c r="M132" s="561" t="s">
        <v>114</v>
      </c>
      <c r="N132" s="1703"/>
      <c r="O132" s="562"/>
      <c r="P132" s="563"/>
      <c r="Q132" s="562"/>
      <c r="R132" s="564">
        <v>0</v>
      </c>
      <c r="S132" s="5248"/>
      <c r="T132" s="635"/>
      <c r="U132" s="23"/>
      <c r="V132" s="23"/>
      <c r="AC132" s="23"/>
    </row>
    <row r="133" spans="1:29" s="1830" customFormat="1" ht="11.25" customHeight="1">
      <c r="A133" s="1714"/>
      <c r="B133" s="1059"/>
      <c r="C133" s="345"/>
      <c r="D133" s="23"/>
      <c r="E133" s="5538"/>
      <c r="F133" s="5162"/>
      <c r="G133" s="5540"/>
      <c r="H133" s="5180"/>
      <c r="I133" s="5434"/>
      <c r="J133" s="5542"/>
      <c r="K133" s="5242"/>
      <c r="L133" s="565"/>
      <c r="M133" s="566"/>
      <c r="N133" s="567" t="s">
        <v>1289</v>
      </c>
      <c r="O133" s="567"/>
      <c r="P133" s="567"/>
      <c r="Q133" s="567"/>
      <c r="R133" s="568"/>
      <c r="S133" s="5248"/>
      <c r="T133" s="635"/>
      <c r="U133" s="23"/>
      <c r="V133" s="23"/>
      <c r="AC133" s="23"/>
    </row>
    <row r="134" spans="1:29" s="1830" customFormat="1" ht="11.25" customHeight="1">
      <c r="A134" s="1714"/>
      <c r="B134" s="1059"/>
      <c r="C134" s="345"/>
      <c r="D134" s="23"/>
      <c r="E134" s="5539"/>
      <c r="F134" s="5162"/>
      <c r="G134" s="5541"/>
      <c r="H134" s="565" t="s">
        <v>24</v>
      </c>
      <c r="I134" s="566"/>
      <c r="J134" s="567" t="s">
        <v>1290</v>
      </c>
      <c r="K134" s="567"/>
      <c r="L134" s="567"/>
      <c r="M134" s="567"/>
      <c r="N134" s="567"/>
      <c r="O134" s="567"/>
      <c r="P134" s="567"/>
      <c r="Q134" s="567"/>
      <c r="R134" s="568"/>
      <c r="S134" s="5248"/>
      <c r="T134" s="635"/>
      <c r="U134" s="23"/>
      <c r="V134" s="23"/>
      <c r="AC134" s="23"/>
    </row>
    <row r="139" spans="1:29" s="1830" customFormat="1" ht="11.25" customHeight="1">
      <c r="A139" s="1714"/>
      <c r="B139" s="1059"/>
      <c r="C139" s="345"/>
      <c r="D139" s="23"/>
      <c r="E139" s="1736"/>
      <c r="F139" s="1736"/>
      <c r="G139" s="1736"/>
      <c r="H139" s="5180"/>
      <c r="I139" s="5434" t="s">
        <v>1050</v>
      </c>
      <c r="J139" s="5542"/>
      <c r="K139" s="5543"/>
      <c r="L139" s="560"/>
      <c r="M139" s="561" t="s">
        <v>114</v>
      </c>
      <c r="N139" s="1703"/>
      <c r="O139" s="562"/>
      <c r="P139" s="563"/>
      <c r="Q139" s="562"/>
      <c r="R139" s="564">
        <v>0</v>
      </c>
      <c r="S139" s="23"/>
      <c r="T139" s="635"/>
      <c r="U139" s="23"/>
      <c r="V139" s="23"/>
      <c r="AC139" s="23"/>
    </row>
    <row r="140" spans="1:29" s="1830" customFormat="1" ht="11.25" customHeight="1">
      <c r="A140" s="1714"/>
      <c r="B140" s="1059"/>
      <c r="C140" s="345"/>
      <c r="D140" s="23"/>
      <c r="E140" s="1736"/>
      <c r="F140" s="1736"/>
      <c r="G140" s="1736"/>
      <c r="H140" s="5180"/>
      <c r="I140" s="5434"/>
      <c r="J140" s="5542"/>
      <c r="K140" s="5242"/>
      <c r="L140" s="565"/>
      <c r="M140" s="566"/>
      <c r="N140" s="567" t="s">
        <v>1289</v>
      </c>
      <c r="O140" s="567"/>
      <c r="P140" s="567"/>
      <c r="Q140" s="567"/>
      <c r="R140" s="568"/>
      <c r="S140" s="23"/>
      <c r="T140" s="635"/>
      <c r="U140" s="23"/>
      <c r="V140" s="23"/>
      <c r="AC140" s="23"/>
    </row>
    <row r="142" spans="1:29" s="1830" customFormat="1" ht="11.25" customHeight="1">
      <c r="A142" s="1714"/>
      <c r="B142" s="1059"/>
      <c r="C142" s="345"/>
      <c r="D142" s="23"/>
      <c r="E142" s="1743"/>
      <c r="F142" s="1741"/>
      <c r="G142" s="1741"/>
      <c r="H142" s="1744"/>
      <c r="I142" s="1736"/>
      <c r="J142" s="1737"/>
      <c r="K142" s="1737"/>
      <c r="L142" s="560"/>
      <c r="M142" s="561" t="s">
        <v>114</v>
      </c>
      <c r="N142" s="1703"/>
      <c r="O142" s="562"/>
      <c r="P142" s="563"/>
      <c r="Q142" s="562"/>
      <c r="R142" s="564">
        <v>0</v>
      </c>
      <c r="S142" s="23"/>
      <c r="T142" s="635"/>
      <c r="U142" s="23"/>
      <c r="V142" s="23"/>
      <c r="AC142" s="23"/>
    </row>
    <row r="144" spans="1:29" s="5104" customFormat="1" ht="17.25" customHeight="1">
      <c r="A144" s="1723" t="s">
        <v>1291</v>
      </c>
    </row>
    <row r="145" spans="1:43" ht="17.25" customHeight="1">
      <c r="G145" s="1745"/>
      <c r="H145" s="1745"/>
      <c r="I145" s="1745"/>
      <c r="M145" s="1741"/>
    </row>
    <row r="146" spans="1:43" s="5107" customFormat="1" ht="17.25" customHeight="1">
      <c r="A146" s="1746"/>
      <c r="C146" s="1748"/>
      <c r="D146" s="5234"/>
      <c r="E146" s="5196"/>
      <c r="F146" s="5198"/>
      <c r="G146" s="5210"/>
      <c r="H146" s="5234"/>
      <c r="I146" s="5234">
        <v>1</v>
      </c>
      <c r="J146" s="5237"/>
      <c r="K146" s="5240" t="s">
        <v>62</v>
      </c>
      <c r="L146" s="5162"/>
      <c r="M146" s="5162" t="s">
        <v>114</v>
      </c>
      <c r="N146" s="5235" t="str">
        <f>IF(Z146="","",INDEX(TERRITORY_MR_LIST,MATCH(Z146,TERRITORY_LIST_ID,0)))</f>
        <v/>
      </c>
      <c r="O146" s="5240" t="s">
        <v>62</v>
      </c>
      <c r="P146" s="5162"/>
      <c r="Q146" s="5162" t="s">
        <v>114</v>
      </c>
      <c r="R146" s="5242" t="s">
        <v>24</v>
      </c>
      <c r="S146" s="5161" t="s">
        <v>62</v>
      </c>
      <c r="T146" s="1719"/>
      <c r="U146" s="1719" t="s">
        <v>114</v>
      </c>
      <c r="V146" s="1749" t="s">
        <v>24</v>
      </c>
      <c r="W146" s="1709"/>
      <c r="Y146" s="1185"/>
      <c r="Z146" s="1185"/>
      <c r="AA146" s="1185"/>
      <c r="AB146" s="1185"/>
      <c r="AC146" s="1185"/>
      <c r="AD146" s="1185"/>
      <c r="AE146" s="1185"/>
      <c r="AF146" s="1185"/>
      <c r="AG146" s="1185"/>
      <c r="AH146" s="1185"/>
      <c r="AI146" s="1185"/>
      <c r="AJ146" s="1185"/>
      <c r="AK146" s="1185"/>
      <c r="AL146" s="1750"/>
      <c r="AM146" s="1750"/>
      <c r="AN146" s="1185"/>
      <c r="AO146" s="1185"/>
      <c r="AP146" s="1185"/>
      <c r="AQ146" s="1185"/>
    </row>
    <row r="147" spans="1:43" s="5107" customFormat="1" ht="17.25" customHeight="1">
      <c r="A147" s="1746"/>
      <c r="C147" s="1751"/>
      <c r="D147" s="5234"/>
      <c r="E147" s="5196"/>
      <c r="F147" s="5199"/>
      <c r="G147" s="5210"/>
      <c r="H147" s="5234"/>
      <c r="I147" s="5234"/>
      <c r="J147" s="5237"/>
      <c r="K147" s="5241"/>
      <c r="L147" s="5162"/>
      <c r="M147" s="5162"/>
      <c r="N147" s="5235"/>
      <c r="O147" s="5241"/>
      <c r="P147" s="5162"/>
      <c r="Q147" s="5162"/>
      <c r="R147" s="5242"/>
      <c r="S147" s="5161"/>
      <c r="T147" s="240"/>
      <c r="U147" s="241"/>
      <c r="V147" s="241" t="s">
        <v>168</v>
      </c>
      <c r="W147" s="242"/>
      <c r="Y147" s="1178"/>
      <c r="Z147" s="1178"/>
      <c r="AA147" s="1178"/>
      <c r="AB147" s="1178"/>
      <c r="AC147" s="1178"/>
      <c r="AD147" s="1178"/>
      <c r="AE147" s="1178"/>
      <c r="AF147" s="1178"/>
      <c r="AG147" s="1178"/>
      <c r="AH147" s="1178"/>
      <c r="AI147" s="1178"/>
      <c r="AJ147" s="1178"/>
      <c r="AK147" s="1178"/>
    </row>
    <row r="148" spans="1:43" s="5107" customFormat="1" ht="17.25" customHeight="1">
      <c r="A148" s="1746"/>
      <c r="C148" s="1751"/>
      <c r="D148" s="5195"/>
      <c r="E148" s="5197"/>
      <c r="F148" s="5199"/>
      <c r="G148" s="5211"/>
      <c r="H148" s="5195"/>
      <c r="I148" s="5195"/>
      <c r="J148" s="5238"/>
      <c r="K148" s="5241"/>
      <c r="L148" s="5195"/>
      <c r="M148" s="5195"/>
      <c r="N148" s="5236"/>
      <c r="O148" s="5166"/>
      <c r="P148" s="240"/>
      <c r="Q148" s="241"/>
      <c r="R148" s="241" t="s">
        <v>169</v>
      </c>
      <c r="S148" s="1752"/>
      <c r="T148" s="1752"/>
      <c r="U148" s="1752"/>
      <c r="V148" s="1752"/>
      <c r="W148" s="242"/>
      <c r="Y148" s="1178"/>
      <c r="Z148" s="1178"/>
      <c r="AA148" s="1178"/>
      <c r="AB148" s="1178"/>
      <c r="AC148" s="1178"/>
      <c r="AD148" s="1178"/>
      <c r="AE148" s="1178"/>
      <c r="AF148" s="1178"/>
      <c r="AG148" s="1178"/>
      <c r="AH148" s="1178"/>
      <c r="AI148" s="1178"/>
      <c r="AJ148" s="1178"/>
      <c r="AK148" s="1178"/>
    </row>
    <row r="149" spans="1:43" s="5107" customFormat="1" ht="17.25" customHeight="1">
      <c r="A149" s="1746"/>
      <c r="C149" s="1751"/>
      <c r="D149" s="5195"/>
      <c r="E149" s="5197"/>
      <c r="F149" s="5199"/>
      <c r="G149" s="5211"/>
      <c r="H149" s="5195"/>
      <c r="I149" s="5195"/>
      <c r="J149" s="5238"/>
      <c r="K149" s="5166"/>
      <c r="L149" s="240"/>
      <c r="M149" s="241"/>
      <c r="N149" s="241" t="s">
        <v>174</v>
      </c>
      <c r="O149" s="241"/>
      <c r="P149" s="241"/>
      <c r="Q149" s="241"/>
      <c r="R149" s="241"/>
      <c r="S149" s="1752"/>
      <c r="T149" s="1752"/>
      <c r="U149" s="1752"/>
      <c r="V149" s="1752"/>
      <c r="W149" s="242"/>
      <c r="Y149" s="1178"/>
      <c r="Z149" s="1178"/>
      <c r="AA149" s="1178"/>
      <c r="AB149" s="1178"/>
      <c r="AC149" s="1178"/>
      <c r="AD149" s="1178"/>
      <c r="AE149" s="1178"/>
      <c r="AF149" s="1178"/>
      <c r="AG149" s="1178"/>
      <c r="AH149" s="1178"/>
      <c r="AI149" s="1178"/>
      <c r="AJ149" s="1178"/>
      <c r="AK149" s="1178"/>
    </row>
    <row r="150" spans="1:43" s="5107" customFormat="1" ht="17.25" customHeight="1">
      <c r="A150" s="1746"/>
      <c r="C150" s="1751"/>
      <c r="D150" s="5195"/>
      <c r="E150" s="5197"/>
      <c r="F150" s="5200"/>
      <c r="G150" s="5211"/>
      <c r="H150" s="240"/>
      <c r="I150" s="241"/>
      <c r="J150" s="241" t="s">
        <v>215</v>
      </c>
      <c r="K150" s="241"/>
      <c r="L150" s="241"/>
      <c r="M150" s="241"/>
      <c r="N150" s="241"/>
      <c r="O150" s="241"/>
      <c r="P150" s="241"/>
      <c r="Q150" s="241"/>
      <c r="R150" s="241"/>
      <c r="S150" s="1752"/>
      <c r="T150" s="1752"/>
      <c r="U150" s="1752"/>
      <c r="V150" s="1752"/>
      <c r="W150" s="242"/>
      <c r="Y150" s="1178"/>
      <c r="Z150" s="1178"/>
      <c r="AA150" s="1178"/>
      <c r="AB150" s="1178"/>
      <c r="AC150" s="1178"/>
      <c r="AD150" s="1178"/>
      <c r="AE150" s="1178"/>
      <c r="AF150" s="1178"/>
      <c r="AG150" s="1178"/>
      <c r="AH150" s="1178"/>
      <c r="AI150" s="1178"/>
      <c r="AJ150" s="1178"/>
      <c r="AK150" s="1178"/>
    </row>
    <row r="151" spans="1:43" ht="17.25" customHeight="1">
      <c r="G151" s="1745"/>
      <c r="H151" s="1745"/>
      <c r="I151" s="1745"/>
      <c r="M151" s="1741"/>
    </row>
    <row r="152" spans="1:43" s="5107" customFormat="1" ht="17.25" customHeight="1">
      <c r="A152" s="1746"/>
      <c r="C152" s="1748"/>
      <c r="D152" s="1736"/>
      <c r="E152" s="1753"/>
      <c r="F152" s="1692"/>
      <c r="G152" s="1754"/>
      <c r="H152" s="5234"/>
      <c r="I152" s="5234">
        <v>1</v>
      </c>
      <c r="J152" s="5237"/>
      <c r="K152" s="5240" t="s">
        <v>62</v>
      </c>
      <c r="L152" s="5162"/>
      <c r="M152" s="5162" t="s">
        <v>114</v>
      </c>
      <c r="N152" s="5235" t="str">
        <f>IF(Z152="","",INDEX(TERRITORY_MR_LIST,MATCH(Z152,TERRITORY_LIST_ID,0)))</f>
        <v/>
      </c>
      <c r="O152" s="5240" t="s">
        <v>62</v>
      </c>
      <c r="P152" s="5162"/>
      <c r="Q152" s="5162" t="s">
        <v>114</v>
      </c>
      <c r="R152" s="5242" t="s">
        <v>24</v>
      </c>
      <c r="S152" s="5161" t="s">
        <v>62</v>
      </c>
      <c r="T152" s="1719"/>
      <c r="U152" s="1719" t="s">
        <v>114</v>
      </c>
      <c r="V152" s="1749" t="s">
        <v>24</v>
      </c>
      <c r="W152" s="1709"/>
      <c r="Y152" s="1185"/>
      <c r="Z152" s="1185"/>
      <c r="AA152" s="1185"/>
      <c r="AB152" s="1185"/>
      <c r="AC152" s="1185"/>
      <c r="AD152" s="1185"/>
      <c r="AE152" s="1185"/>
      <c r="AF152" s="1185"/>
      <c r="AG152" s="1185"/>
      <c r="AH152" s="1185"/>
      <c r="AI152" s="1185"/>
      <c r="AJ152" s="1185"/>
      <c r="AK152" s="1185"/>
      <c r="AL152" s="1750"/>
      <c r="AM152" s="1750"/>
      <c r="AN152" s="1185"/>
      <c r="AO152" s="1185"/>
      <c r="AP152" s="1185"/>
      <c r="AQ152" s="1185"/>
    </row>
    <row r="153" spans="1:43" s="5107" customFormat="1" ht="17.25" customHeight="1">
      <c r="A153" s="1746"/>
      <c r="C153" s="1751"/>
      <c r="D153" s="1736"/>
      <c r="E153" s="1753"/>
      <c r="F153" s="1692"/>
      <c r="G153" s="1754"/>
      <c r="H153" s="5234"/>
      <c r="I153" s="5234"/>
      <c r="J153" s="5237"/>
      <c r="K153" s="5241"/>
      <c r="L153" s="5162"/>
      <c r="M153" s="5162"/>
      <c r="N153" s="5235"/>
      <c r="O153" s="5241"/>
      <c r="P153" s="5162"/>
      <c r="Q153" s="5162"/>
      <c r="R153" s="5242"/>
      <c r="S153" s="5161"/>
      <c r="T153" s="240"/>
      <c r="U153" s="241"/>
      <c r="V153" s="241" t="s">
        <v>168</v>
      </c>
      <c r="W153" s="242"/>
      <c r="Y153" s="1178"/>
      <c r="Z153" s="1178"/>
      <c r="AA153" s="1178"/>
      <c r="AB153" s="1178"/>
      <c r="AC153" s="1178"/>
      <c r="AD153" s="1178"/>
      <c r="AE153" s="1178"/>
      <c r="AF153" s="1178"/>
      <c r="AG153" s="1178"/>
      <c r="AH153" s="1178"/>
      <c r="AI153" s="1178"/>
      <c r="AJ153" s="1178"/>
      <c r="AK153" s="1178"/>
    </row>
    <row r="154" spans="1:43" s="5107" customFormat="1" ht="17.25" customHeight="1">
      <c r="A154" s="1746"/>
      <c r="C154" s="1751"/>
      <c r="D154" s="1736"/>
      <c r="E154" s="1753"/>
      <c r="F154" s="1692"/>
      <c r="G154" s="1754"/>
      <c r="H154" s="5195"/>
      <c r="I154" s="5195"/>
      <c r="J154" s="5238"/>
      <c r="K154" s="5241"/>
      <c r="L154" s="5195"/>
      <c r="M154" s="5195"/>
      <c r="N154" s="5236"/>
      <c r="O154" s="5166"/>
      <c r="P154" s="240"/>
      <c r="Q154" s="241"/>
      <c r="R154" s="241" t="s">
        <v>169</v>
      </c>
      <c r="S154" s="1752"/>
      <c r="T154" s="1752"/>
      <c r="U154" s="1752"/>
      <c r="V154" s="1752"/>
      <c r="W154" s="242"/>
      <c r="Y154" s="1178"/>
      <c r="Z154" s="1178"/>
      <c r="AA154" s="1178"/>
      <c r="AB154" s="1178"/>
      <c r="AC154" s="1178"/>
      <c r="AD154" s="1178"/>
      <c r="AE154" s="1178"/>
      <c r="AF154" s="1178"/>
      <c r="AG154" s="1178"/>
      <c r="AH154" s="1178"/>
      <c r="AI154" s="1178"/>
      <c r="AJ154" s="1178"/>
      <c r="AK154" s="1178"/>
    </row>
    <row r="155" spans="1:43" s="5107" customFormat="1" ht="17.25" customHeight="1">
      <c r="A155" s="1746"/>
      <c r="C155" s="1751"/>
      <c r="D155" s="1736"/>
      <c r="E155" s="1753"/>
      <c r="F155" s="1692"/>
      <c r="G155" s="1754"/>
      <c r="H155" s="5195"/>
      <c r="I155" s="5195"/>
      <c r="J155" s="5238"/>
      <c r="K155" s="5166"/>
      <c r="L155" s="240"/>
      <c r="M155" s="241"/>
      <c r="N155" s="241" t="s">
        <v>174</v>
      </c>
      <c r="O155" s="241"/>
      <c r="P155" s="241"/>
      <c r="Q155" s="241"/>
      <c r="R155" s="241"/>
      <c r="S155" s="1752"/>
      <c r="T155" s="1752"/>
      <c r="U155" s="1752"/>
      <c r="V155" s="1752"/>
      <c r="W155" s="242"/>
      <c r="Y155" s="1178"/>
      <c r="Z155" s="1178"/>
      <c r="AA155" s="1178"/>
      <c r="AB155" s="1178"/>
      <c r="AC155" s="1178"/>
      <c r="AD155" s="1178"/>
      <c r="AE155" s="1178"/>
      <c r="AF155" s="1178"/>
      <c r="AG155" s="1178"/>
      <c r="AH155" s="1178"/>
      <c r="AI155" s="1178"/>
      <c r="AJ155" s="1178"/>
      <c r="AK155" s="1178"/>
    </row>
    <row r="156" spans="1:43" ht="17.25" customHeight="1">
      <c r="G156" s="1745"/>
      <c r="H156" s="1745"/>
      <c r="I156" s="1745"/>
      <c r="M156" s="1741"/>
    </row>
    <row r="157" spans="1:43" s="5107" customFormat="1" ht="17.25" customHeight="1">
      <c r="A157" s="1746"/>
      <c r="C157" s="1748"/>
      <c r="D157" s="1736"/>
      <c r="E157" s="1753"/>
      <c r="F157" s="1692"/>
      <c r="G157" s="1754"/>
      <c r="H157" s="1736"/>
      <c r="I157" s="1736"/>
      <c r="J157" s="1755"/>
      <c r="K157" s="1667"/>
      <c r="L157" s="5162"/>
      <c r="M157" s="5162" t="s">
        <v>114</v>
      </c>
      <c r="N157" s="5235" t="str">
        <f>IF(Z157="","",INDEX(TERRITORY_MR_LIST,MATCH(Z157,TERRITORY_LIST_ID,0)))</f>
        <v/>
      </c>
      <c r="O157" s="5240" t="s">
        <v>62</v>
      </c>
      <c r="P157" s="5162"/>
      <c r="Q157" s="5162" t="s">
        <v>114</v>
      </c>
      <c r="R157" s="5242" t="s">
        <v>24</v>
      </c>
      <c r="S157" s="5161" t="s">
        <v>62</v>
      </c>
      <c r="T157" s="1719"/>
      <c r="U157" s="1719" t="s">
        <v>114</v>
      </c>
      <c r="V157" s="1749" t="s">
        <v>24</v>
      </c>
      <c r="W157" s="1709"/>
      <c r="Y157" s="1185"/>
      <c r="Z157" s="1185"/>
      <c r="AA157" s="1185"/>
      <c r="AB157" s="1185"/>
      <c r="AC157" s="1185"/>
      <c r="AD157" s="1185"/>
      <c r="AE157" s="1185"/>
      <c r="AF157" s="1185"/>
      <c r="AG157" s="1185"/>
      <c r="AH157" s="1185"/>
      <c r="AI157" s="1185"/>
      <c r="AJ157" s="1185"/>
      <c r="AK157" s="1185"/>
      <c r="AL157" s="1750"/>
      <c r="AM157" s="1750"/>
      <c r="AN157" s="1185"/>
      <c r="AO157" s="1185"/>
      <c r="AP157" s="1185"/>
      <c r="AQ157" s="1185"/>
    </row>
    <row r="158" spans="1:43" s="5107" customFormat="1" ht="17.25" customHeight="1">
      <c r="A158" s="1746"/>
      <c r="C158" s="1751"/>
      <c r="D158" s="1736"/>
      <c r="E158" s="1753"/>
      <c r="F158" s="1692"/>
      <c r="G158" s="1754"/>
      <c r="H158" s="1736"/>
      <c r="I158" s="1736"/>
      <c r="J158" s="1755"/>
      <c r="K158" s="1667"/>
      <c r="L158" s="5162"/>
      <c r="M158" s="5162"/>
      <c r="N158" s="5235"/>
      <c r="O158" s="5241"/>
      <c r="P158" s="5162"/>
      <c r="Q158" s="5162"/>
      <c r="R158" s="5242"/>
      <c r="S158" s="5161"/>
      <c r="T158" s="240"/>
      <c r="U158" s="241"/>
      <c r="V158" s="241" t="s">
        <v>168</v>
      </c>
      <c r="W158" s="242"/>
      <c r="Y158" s="1178"/>
      <c r="Z158" s="1178"/>
      <c r="AA158" s="1178"/>
      <c r="AB158" s="1178"/>
      <c r="AC158" s="1178"/>
      <c r="AD158" s="1178"/>
      <c r="AE158" s="1178"/>
      <c r="AF158" s="1178"/>
      <c r="AG158" s="1178"/>
      <c r="AH158" s="1178"/>
      <c r="AI158" s="1178"/>
      <c r="AJ158" s="1178"/>
      <c r="AK158" s="1178"/>
    </row>
    <row r="159" spans="1:43" s="5107" customFormat="1" ht="17.25" customHeight="1">
      <c r="A159" s="1746"/>
      <c r="C159" s="1751"/>
      <c r="D159" s="1736"/>
      <c r="E159" s="1753"/>
      <c r="F159" s="1692"/>
      <c r="G159" s="1754"/>
      <c r="H159" s="1736"/>
      <c r="I159" s="1736"/>
      <c r="J159" s="1755"/>
      <c r="K159" s="1667"/>
      <c r="L159" s="5195"/>
      <c r="M159" s="5195"/>
      <c r="N159" s="5236"/>
      <c r="O159" s="5166"/>
      <c r="P159" s="240"/>
      <c r="Q159" s="241"/>
      <c r="R159" s="241" t="s">
        <v>169</v>
      </c>
      <c r="S159" s="1752"/>
      <c r="T159" s="1752"/>
      <c r="U159" s="1752"/>
      <c r="V159" s="1752"/>
      <c r="W159" s="242"/>
      <c r="Y159" s="1178"/>
      <c r="Z159" s="1178"/>
      <c r="AA159" s="1178"/>
      <c r="AB159" s="1178"/>
      <c r="AC159" s="1178"/>
      <c r="AD159" s="1178"/>
      <c r="AE159" s="1178"/>
      <c r="AF159" s="1178"/>
      <c r="AG159" s="1178"/>
      <c r="AH159" s="1178"/>
      <c r="AI159" s="1178"/>
      <c r="AJ159" s="1178"/>
      <c r="AK159" s="1178"/>
    </row>
    <row r="160" spans="1:43" ht="17.25" customHeight="1">
      <c r="G160" s="1745"/>
      <c r="H160" s="1745"/>
      <c r="I160" s="1745"/>
      <c r="M160" s="1741"/>
    </row>
    <row r="161" spans="1:43" s="5107" customFormat="1" ht="17.25" customHeight="1">
      <c r="A161" s="1746"/>
      <c r="C161" s="1748"/>
      <c r="D161" s="1736"/>
      <c r="E161" s="1753"/>
      <c r="F161" s="1692"/>
      <c r="G161" s="1754"/>
      <c r="H161" s="1736"/>
      <c r="I161" s="1736"/>
      <c r="J161" s="1755"/>
      <c r="K161" s="1667"/>
      <c r="L161" s="1663"/>
      <c r="M161" s="1663"/>
      <c r="N161" s="1756"/>
      <c r="O161" s="1695"/>
      <c r="P161" s="5162"/>
      <c r="Q161" s="5162" t="s">
        <v>114</v>
      </c>
      <c r="R161" s="5242" t="s">
        <v>24</v>
      </c>
      <c r="S161" s="5161" t="s">
        <v>62</v>
      </c>
      <c r="T161" s="1719"/>
      <c r="U161" s="1719" t="s">
        <v>114</v>
      </c>
      <c r="V161" s="1749" t="s">
        <v>24</v>
      </c>
      <c r="W161" s="1709"/>
      <c r="Y161" s="1185"/>
      <c r="Z161" s="1185"/>
      <c r="AA161" s="1185"/>
      <c r="AB161" s="1185"/>
      <c r="AC161" s="1185"/>
      <c r="AD161" s="1185"/>
      <c r="AE161" s="1185"/>
      <c r="AF161" s="1185"/>
      <c r="AG161" s="1185"/>
      <c r="AH161" s="1185"/>
      <c r="AI161" s="1185"/>
      <c r="AJ161" s="1185"/>
      <c r="AK161" s="1185"/>
      <c r="AL161" s="1750"/>
      <c r="AM161" s="1750"/>
      <c r="AN161" s="1185"/>
      <c r="AO161" s="1185"/>
      <c r="AP161" s="1185"/>
      <c r="AQ161" s="1185"/>
    </row>
    <row r="162" spans="1:43" s="5107" customFormat="1" ht="17.25" customHeight="1">
      <c r="A162" s="1746"/>
      <c r="C162" s="1751"/>
      <c r="D162" s="1736"/>
      <c r="E162" s="1753"/>
      <c r="F162" s="1692"/>
      <c r="G162" s="1754"/>
      <c r="H162" s="1736"/>
      <c r="I162" s="1736"/>
      <c r="J162" s="1755"/>
      <c r="K162" s="1667"/>
      <c r="L162" s="1663"/>
      <c r="M162" s="1663"/>
      <c r="N162" s="1756"/>
      <c r="O162" s="1695"/>
      <c r="P162" s="5162"/>
      <c r="Q162" s="5162"/>
      <c r="R162" s="5242"/>
      <c r="S162" s="5161"/>
      <c r="T162" s="240"/>
      <c r="U162" s="241"/>
      <c r="V162" s="241" t="s">
        <v>168</v>
      </c>
      <c r="W162" s="242"/>
      <c r="Y162" s="1178"/>
      <c r="Z162" s="1178"/>
      <c r="AA162" s="1178"/>
      <c r="AB162" s="1178"/>
      <c r="AC162" s="1178"/>
      <c r="AD162" s="1178"/>
      <c r="AE162" s="1178"/>
      <c r="AF162" s="1178"/>
      <c r="AG162" s="1178"/>
      <c r="AH162" s="1178"/>
      <c r="AI162" s="1178"/>
      <c r="AJ162" s="1178"/>
      <c r="AK162" s="1178"/>
    </row>
    <row r="163" spans="1:43" ht="17.25" customHeight="1">
      <c r="G163" s="1745"/>
      <c r="H163" s="1745"/>
      <c r="I163" s="1745"/>
      <c r="M163" s="1741"/>
    </row>
    <row r="164" spans="1:43" s="5107" customFormat="1" ht="17.25" customHeight="1">
      <c r="A164" s="1746"/>
      <c r="C164" s="1748"/>
      <c r="D164" s="1736"/>
      <c r="E164" s="1753"/>
      <c r="F164" s="1692"/>
      <c r="G164" s="1754"/>
      <c r="H164" s="1663"/>
      <c r="I164" s="1663"/>
      <c r="J164" s="1664"/>
      <c r="K164" s="1754"/>
      <c r="L164" s="1663"/>
      <c r="M164" s="1663"/>
      <c r="N164" s="1754"/>
      <c r="O164" s="1754"/>
      <c r="P164" s="1663"/>
      <c r="Q164" s="1663"/>
      <c r="R164" s="1665"/>
      <c r="S164" s="1754"/>
      <c r="T164" s="1719"/>
      <c r="U164" s="1719" t="s">
        <v>114</v>
      </c>
      <c r="V164" s="1749" t="s">
        <v>24</v>
      </c>
      <c r="W164" s="1709"/>
      <c r="Y164" s="1185"/>
      <c r="Z164" s="1185"/>
      <c r="AA164" s="1185"/>
      <c r="AB164" s="1185"/>
      <c r="AC164" s="1185"/>
      <c r="AD164" s="1185"/>
      <c r="AE164" s="1185"/>
      <c r="AF164" s="1185"/>
      <c r="AG164" s="1185"/>
      <c r="AH164" s="1185"/>
      <c r="AI164" s="1185"/>
      <c r="AJ164" s="1185"/>
      <c r="AK164" s="1185"/>
      <c r="AL164" s="1750"/>
      <c r="AM164" s="1750"/>
      <c r="AN164" s="1185"/>
      <c r="AO164" s="1185"/>
      <c r="AP164" s="1185"/>
      <c r="AQ164" s="1185"/>
    </row>
    <row r="166" spans="1:43" s="5104" customFormat="1" ht="17.25" customHeight="1">
      <c r="A166" s="1723" t="s">
        <v>1292</v>
      </c>
    </row>
    <row r="167" spans="1:43" ht="17.25" customHeight="1">
      <c r="G167" s="1745"/>
      <c r="H167" s="1745"/>
      <c r="I167" s="1745"/>
      <c r="M167" s="1741"/>
    </row>
    <row r="168" spans="1:43" s="5107" customFormat="1" ht="17.25" customHeight="1">
      <c r="A168" s="1746"/>
      <c r="C168" s="1748"/>
      <c r="D168" s="5234"/>
      <c r="E168" s="5196"/>
      <c r="F168" s="5198"/>
      <c r="G168" s="5210"/>
      <c r="H168" s="5234"/>
      <c r="I168" s="5234">
        <v>1</v>
      </c>
      <c r="J168" s="5237"/>
      <c r="K168" s="5240" t="s">
        <v>62</v>
      </c>
      <c r="L168" s="5162"/>
      <c r="M168" s="5162" t="s">
        <v>114</v>
      </c>
      <c r="N168" s="5235" t="str">
        <f>IF(Z168="","",INDEX(TERRITORY_MR_LIST,MATCH(Z168,TERRITORY_LIST_ID,0)))</f>
        <v/>
      </c>
      <c r="O168" s="5240" t="s">
        <v>62</v>
      </c>
      <c r="P168" s="5162"/>
      <c r="Q168" s="5162" t="s">
        <v>114</v>
      </c>
      <c r="R168" s="5242" t="s">
        <v>24</v>
      </c>
      <c r="S168" s="5417" t="s">
        <v>57</v>
      </c>
      <c r="T168" s="1710"/>
      <c r="U168" s="1710" t="s">
        <v>114</v>
      </c>
      <c r="V168" s="1348"/>
      <c r="W168" s="5237"/>
      <c r="Y168" s="1185"/>
      <c r="Z168" s="1185"/>
      <c r="AA168" s="1185"/>
      <c r="AB168" s="1185"/>
      <c r="AC168" s="1185"/>
      <c r="AD168" s="1185"/>
      <c r="AE168" s="1185"/>
      <c r="AF168" s="1185"/>
      <c r="AG168" s="1185"/>
      <c r="AH168" s="1185"/>
      <c r="AI168" s="1185"/>
      <c r="AJ168" s="1185"/>
      <c r="AK168" s="1185"/>
      <c r="AL168" s="1750"/>
      <c r="AM168" s="1750"/>
      <c r="AN168" s="1185"/>
      <c r="AO168" s="1185"/>
      <c r="AP168" s="1185"/>
      <c r="AQ168" s="1185"/>
    </row>
    <row r="169" spans="1:43" s="5107" customFormat="1" ht="17.25" customHeight="1">
      <c r="A169" s="1746"/>
      <c r="C169" s="1751"/>
      <c r="D169" s="5234"/>
      <c r="E169" s="5196"/>
      <c r="F169" s="5199"/>
      <c r="G169" s="5210"/>
      <c r="H169" s="5234"/>
      <c r="I169" s="5234"/>
      <c r="J169" s="5237"/>
      <c r="K169" s="5241"/>
      <c r="L169" s="5162"/>
      <c r="M169" s="5162"/>
      <c r="N169" s="5235"/>
      <c r="O169" s="5241"/>
      <c r="P169" s="5162"/>
      <c r="Q169" s="5162"/>
      <c r="R169" s="5242"/>
      <c r="S169" s="5417"/>
      <c r="T169" s="1349"/>
      <c r="U169" s="1350"/>
      <c r="V169" s="1350"/>
      <c r="W169" s="5237"/>
      <c r="Y169" s="1178"/>
      <c r="Z169" s="1178"/>
      <c r="AA169" s="1178"/>
      <c r="AB169" s="1178"/>
      <c r="AC169" s="1178"/>
      <c r="AD169" s="1178"/>
      <c r="AE169" s="1178"/>
      <c r="AF169" s="1178"/>
      <c r="AG169" s="1178"/>
      <c r="AH169" s="1178"/>
      <c r="AI169" s="1178"/>
      <c r="AJ169" s="1178"/>
      <c r="AK169" s="1178"/>
    </row>
    <row r="170" spans="1:43" s="5107" customFormat="1" ht="17.25" customHeight="1">
      <c r="A170" s="1746"/>
      <c r="C170" s="1751"/>
      <c r="D170" s="5195"/>
      <c r="E170" s="5197"/>
      <c r="F170" s="5199"/>
      <c r="G170" s="5211"/>
      <c r="H170" s="5195"/>
      <c r="I170" s="5195"/>
      <c r="J170" s="5238"/>
      <c r="K170" s="5241"/>
      <c r="L170" s="5195"/>
      <c r="M170" s="5195"/>
      <c r="N170" s="5236"/>
      <c r="O170" s="5166"/>
      <c r="P170" s="240"/>
      <c r="Q170" s="241"/>
      <c r="R170" s="241" t="s">
        <v>169</v>
      </c>
      <c r="S170" s="1752"/>
      <c r="T170" s="1752"/>
      <c r="U170" s="1752"/>
      <c r="V170" s="1752"/>
      <c r="W170" s="1347"/>
      <c r="Y170" s="1178"/>
      <c r="Z170" s="1178"/>
      <c r="AA170" s="1178"/>
      <c r="AB170" s="1178"/>
      <c r="AC170" s="1178"/>
      <c r="AD170" s="1178"/>
      <c r="AE170" s="1178"/>
      <c r="AF170" s="1178"/>
      <c r="AG170" s="1178"/>
      <c r="AH170" s="1178"/>
      <c r="AI170" s="1178"/>
      <c r="AJ170" s="1178"/>
      <c r="AK170" s="1178"/>
    </row>
    <row r="171" spans="1:43" s="5107" customFormat="1" ht="17.25" customHeight="1">
      <c r="A171" s="1746"/>
      <c r="C171" s="1751"/>
      <c r="D171" s="5195"/>
      <c r="E171" s="5197"/>
      <c r="F171" s="5199"/>
      <c r="G171" s="5211"/>
      <c r="H171" s="5195"/>
      <c r="I171" s="5195"/>
      <c r="J171" s="5238"/>
      <c r="K171" s="5166"/>
      <c r="L171" s="240"/>
      <c r="M171" s="241"/>
      <c r="N171" s="241" t="s">
        <v>174</v>
      </c>
      <c r="O171" s="241"/>
      <c r="P171" s="241"/>
      <c r="Q171" s="241"/>
      <c r="R171" s="241"/>
      <c r="S171" s="1752"/>
      <c r="T171" s="1752"/>
      <c r="U171" s="1752"/>
      <c r="V171" s="1752"/>
      <c r="W171" s="242"/>
      <c r="Y171" s="1178"/>
      <c r="Z171" s="1178"/>
      <c r="AA171" s="1178"/>
      <c r="AB171" s="1178"/>
      <c r="AC171" s="1178"/>
      <c r="AD171" s="1178"/>
      <c r="AE171" s="1178"/>
      <c r="AF171" s="1178"/>
      <c r="AG171" s="1178"/>
      <c r="AH171" s="1178"/>
      <c r="AI171" s="1178"/>
      <c r="AJ171" s="1178"/>
      <c r="AK171" s="1178"/>
    </row>
    <row r="172" spans="1:43" s="5107" customFormat="1" ht="17.25" customHeight="1">
      <c r="A172" s="1746"/>
      <c r="C172" s="1751"/>
      <c r="D172" s="5195"/>
      <c r="E172" s="5197"/>
      <c r="F172" s="5200"/>
      <c r="G172" s="5211"/>
      <c r="H172" s="240"/>
      <c r="I172" s="241"/>
      <c r="J172" s="241" t="s">
        <v>215</v>
      </c>
      <c r="K172" s="241"/>
      <c r="L172" s="241"/>
      <c r="M172" s="241"/>
      <c r="N172" s="241"/>
      <c r="O172" s="241"/>
      <c r="P172" s="241"/>
      <c r="Q172" s="241"/>
      <c r="R172" s="241"/>
      <c r="S172" s="1752"/>
      <c r="T172" s="1752"/>
      <c r="U172" s="1752"/>
      <c r="V172" s="1752"/>
      <c r="W172" s="242"/>
      <c r="Y172" s="1178"/>
      <c r="Z172" s="1178"/>
      <c r="AA172" s="1178"/>
      <c r="AB172" s="1178"/>
      <c r="AC172" s="1178"/>
      <c r="AD172" s="1178"/>
      <c r="AE172" s="1178"/>
      <c r="AF172" s="1178"/>
      <c r="AG172" s="1178"/>
      <c r="AH172" s="1178"/>
      <c r="AI172" s="1178"/>
      <c r="AJ172" s="1178"/>
      <c r="AK172" s="1178"/>
    </row>
    <row r="173" spans="1:43" ht="17.25" customHeight="1">
      <c r="A173" s="1757"/>
    </row>
    <row r="174" spans="1:43" s="5107" customFormat="1" ht="17.25" customHeight="1">
      <c r="A174" s="1746"/>
      <c r="C174" s="1748"/>
      <c r="D174" s="1736"/>
      <c r="E174" s="1753"/>
      <c r="F174" s="1692"/>
      <c r="G174" s="1754"/>
      <c r="H174" s="5234"/>
      <c r="I174" s="5234">
        <v>1</v>
      </c>
      <c r="J174" s="5237"/>
      <c r="K174" s="5240" t="s">
        <v>62</v>
      </c>
      <c r="L174" s="5162"/>
      <c r="M174" s="5162" t="s">
        <v>114</v>
      </c>
      <c r="N174" s="5235" t="str">
        <f>IF(Z174="","",INDEX(TERRITORY_MR_LIST,MATCH(Z174,TERRITORY_LIST_ID,0)))</f>
        <v/>
      </c>
      <c r="O174" s="5240" t="s">
        <v>62</v>
      </c>
      <c r="P174" s="5162"/>
      <c r="Q174" s="5162" t="s">
        <v>114</v>
      </c>
      <c r="R174" s="5242" t="s">
        <v>24</v>
      </c>
      <c r="S174" s="5417" t="s">
        <v>57</v>
      </c>
      <c r="T174" s="1710"/>
      <c r="U174" s="1710" t="s">
        <v>114</v>
      </c>
      <c r="V174" s="1348"/>
      <c r="W174" s="5237"/>
      <c r="Y174" s="1185"/>
      <c r="Z174" s="1185"/>
      <c r="AA174" s="1185"/>
      <c r="AB174" s="1185"/>
      <c r="AC174" s="1185"/>
      <c r="AD174" s="1185"/>
      <c r="AE174" s="1185"/>
      <c r="AF174" s="1185"/>
      <c r="AG174" s="1185"/>
      <c r="AH174" s="1185"/>
      <c r="AI174" s="1185"/>
      <c r="AJ174" s="1185"/>
      <c r="AK174" s="1185"/>
      <c r="AL174" s="1750"/>
      <c r="AM174" s="1750"/>
      <c r="AN174" s="1185"/>
      <c r="AO174" s="1185"/>
      <c r="AP174" s="1185"/>
      <c r="AQ174" s="1185"/>
    </row>
    <row r="175" spans="1:43" s="5107" customFormat="1" ht="17.25" customHeight="1">
      <c r="A175" s="1746"/>
      <c r="C175" s="1751"/>
      <c r="D175" s="1736"/>
      <c r="E175" s="1753"/>
      <c r="F175" s="1692"/>
      <c r="G175" s="1754"/>
      <c r="H175" s="5234"/>
      <c r="I175" s="5234"/>
      <c r="J175" s="5237"/>
      <c r="K175" s="5241"/>
      <c r="L175" s="5162"/>
      <c r="M175" s="5162"/>
      <c r="N175" s="5235"/>
      <c r="O175" s="5241"/>
      <c r="P175" s="5162"/>
      <c r="Q175" s="5162"/>
      <c r="R175" s="5242"/>
      <c r="S175" s="5417"/>
      <c r="T175" s="1349"/>
      <c r="U175" s="1350"/>
      <c r="V175" s="1350"/>
      <c r="W175" s="5237"/>
      <c r="Y175" s="1178"/>
      <c r="Z175" s="1178"/>
      <c r="AA175" s="1178"/>
      <c r="AB175" s="1178"/>
      <c r="AC175" s="1178"/>
      <c r="AD175" s="1178"/>
      <c r="AE175" s="1178"/>
      <c r="AF175" s="1178"/>
      <c r="AG175" s="1178"/>
      <c r="AH175" s="1178"/>
      <c r="AI175" s="1178"/>
      <c r="AJ175" s="1178"/>
      <c r="AK175" s="1178"/>
    </row>
    <row r="176" spans="1:43" s="5107" customFormat="1" ht="17.25" customHeight="1">
      <c r="A176" s="1746"/>
      <c r="C176" s="1751"/>
      <c r="D176" s="1736"/>
      <c r="E176" s="1753"/>
      <c r="F176" s="1692"/>
      <c r="G176" s="1754"/>
      <c r="H176" s="5195"/>
      <c r="I176" s="5195"/>
      <c r="J176" s="5238"/>
      <c r="K176" s="5241"/>
      <c r="L176" s="5195"/>
      <c r="M176" s="5195"/>
      <c r="N176" s="5236"/>
      <c r="O176" s="5166"/>
      <c r="P176" s="240"/>
      <c r="Q176" s="241"/>
      <c r="R176" s="241" t="s">
        <v>169</v>
      </c>
      <c r="S176" s="1752"/>
      <c r="T176" s="1752"/>
      <c r="U176" s="1752"/>
      <c r="V176" s="1752"/>
      <c r="W176" s="1347"/>
      <c r="Y176" s="1178"/>
      <c r="Z176" s="1178"/>
      <c r="AA176" s="1178"/>
      <c r="AB176" s="1178"/>
      <c r="AC176" s="1178"/>
      <c r="AD176" s="1178"/>
      <c r="AE176" s="1178"/>
      <c r="AF176" s="1178"/>
      <c r="AG176" s="1178"/>
      <c r="AH176" s="1178"/>
      <c r="AI176" s="1178"/>
      <c r="AJ176" s="1178"/>
      <c r="AK176" s="1178"/>
    </row>
    <row r="177" spans="1:43" s="5107" customFormat="1" ht="17.25" customHeight="1">
      <c r="A177" s="1746"/>
      <c r="C177" s="1751"/>
      <c r="D177" s="1736"/>
      <c r="E177" s="1753"/>
      <c r="F177" s="1692"/>
      <c r="G177" s="1754"/>
      <c r="H177" s="5195"/>
      <c r="I177" s="5195"/>
      <c r="J177" s="5238"/>
      <c r="K177" s="5166"/>
      <c r="L177" s="240"/>
      <c r="M177" s="241"/>
      <c r="N177" s="241" t="s">
        <v>174</v>
      </c>
      <c r="O177" s="241"/>
      <c r="P177" s="241"/>
      <c r="Q177" s="241"/>
      <c r="R177" s="241"/>
      <c r="S177" s="1752"/>
      <c r="T177" s="1752"/>
      <c r="U177" s="1752"/>
      <c r="V177" s="1752"/>
      <c r="W177" s="242"/>
      <c r="Y177" s="1178"/>
      <c r="Z177" s="1178"/>
      <c r="AA177" s="1178"/>
      <c r="AB177" s="1178"/>
      <c r="AC177" s="1178"/>
      <c r="AD177" s="1178"/>
      <c r="AE177" s="1178"/>
      <c r="AF177" s="1178"/>
      <c r="AG177" s="1178"/>
      <c r="AH177" s="1178"/>
      <c r="AI177" s="1178"/>
      <c r="AJ177" s="1178"/>
      <c r="AK177" s="1178"/>
    </row>
    <row r="178" spans="1:43" ht="17.25" customHeight="1">
      <c r="A178" s="1757"/>
    </row>
    <row r="179" spans="1:43" s="5107" customFormat="1" ht="17.25" customHeight="1">
      <c r="A179" s="1746"/>
      <c r="C179" s="1748"/>
      <c r="D179" s="1736"/>
      <c r="E179" s="1753"/>
      <c r="F179" s="1692"/>
      <c r="G179" s="1754"/>
      <c r="H179" s="1736"/>
      <c r="I179" s="1736"/>
      <c r="J179" s="1758"/>
      <c r="K179" s="1754"/>
      <c r="L179" s="5162"/>
      <c r="M179" s="5162" t="s">
        <v>114</v>
      </c>
      <c r="N179" s="5235" t="str">
        <f>IF(Z179="","",INDEX(TERRITORY_MR_LIST,MATCH(Z179,TERRITORY_LIST_ID,0)))</f>
        <v/>
      </c>
      <c r="O179" s="5240" t="s">
        <v>62</v>
      </c>
      <c r="P179" s="5162"/>
      <c r="Q179" s="5162" t="s">
        <v>114</v>
      </c>
      <c r="R179" s="5242" t="s">
        <v>24</v>
      </c>
      <c r="S179" s="5417" t="s">
        <v>57</v>
      </c>
      <c r="T179" s="1710"/>
      <c r="U179" s="1710" t="s">
        <v>114</v>
      </c>
      <c r="V179" s="1348"/>
      <c r="W179" s="5237"/>
      <c r="Y179" s="1185"/>
      <c r="Z179" s="1185"/>
      <c r="AA179" s="1185"/>
      <c r="AB179" s="1185"/>
      <c r="AC179" s="1185"/>
      <c r="AD179" s="1185"/>
      <c r="AE179" s="1185"/>
      <c r="AF179" s="1185"/>
      <c r="AG179" s="1185"/>
      <c r="AH179" s="1185"/>
      <c r="AI179" s="1185"/>
      <c r="AJ179" s="1185"/>
      <c r="AK179" s="1185"/>
      <c r="AL179" s="1750"/>
      <c r="AM179" s="1750"/>
      <c r="AN179" s="1185"/>
      <c r="AO179" s="1185"/>
      <c r="AP179" s="1185"/>
      <c r="AQ179" s="1185"/>
    </row>
    <row r="180" spans="1:43" s="5107" customFormat="1" ht="17.25" customHeight="1">
      <c r="A180" s="1746"/>
      <c r="C180" s="1751"/>
      <c r="D180" s="1736"/>
      <c r="E180" s="1753"/>
      <c r="F180" s="1692"/>
      <c r="G180" s="1754"/>
      <c r="H180" s="1736"/>
      <c r="I180" s="1736"/>
      <c r="J180" s="1758"/>
      <c r="K180" s="1754"/>
      <c r="L180" s="5162"/>
      <c r="M180" s="5162"/>
      <c r="N180" s="5235"/>
      <c r="O180" s="5241"/>
      <c r="P180" s="5162"/>
      <c r="Q180" s="5162"/>
      <c r="R180" s="5242"/>
      <c r="S180" s="5417"/>
      <c r="T180" s="1349"/>
      <c r="U180" s="1350"/>
      <c r="V180" s="1350"/>
      <c r="W180" s="5237"/>
      <c r="Y180" s="1178"/>
      <c r="Z180" s="1178"/>
      <c r="AA180" s="1178"/>
      <c r="AB180" s="1178"/>
      <c r="AC180" s="1178"/>
      <c r="AD180" s="1178"/>
      <c r="AE180" s="1178"/>
      <c r="AF180" s="1178"/>
      <c r="AG180" s="1178"/>
      <c r="AH180" s="1178"/>
      <c r="AI180" s="1178"/>
      <c r="AJ180" s="1178"/>
      <c r="AK180" s="1178"/>
    </row>
    <row r="181" spans="1:43" s="5107" customFormat="1" ht="17.25" customHeight="1">
      <c r="A181" s="1746"/>
      <c r="C181" s="1751"/>
      <c r="D181" s="1736"/>
      <c r="E181" s="1753"/>
      <c r="F181" s="1692"/>
      <c r="G181" s="1754"/>
      <c r="H181" s="1736"/>
      <c r="I181" s="1736"/>
      <c r="J181" s="1758"/>
      <c r="K181" s="1754"/>
      <c r="L181" s="5195"/>
      <c r="M181" s="5195"/>
      <c r="N181" s="5236"/>
      <c r="O181" s="5166"/>
      <c r="P181" s="240"/>
      <c r="Q181" s="241"/>
      <c r="R181" s="241" t="s">
        <v>169</v>
      </c>
      <c r="S181" s="1752"/>
      <c r="T181" s="1752"/>
      <c r="U181" s="1752"/>
      <c r="V181" s="1752"/>
      <c r="W181" s="1347"/>
      <c r="Y181" s="1178"/>
      <c r="Z181" s="1178"/>
      <c r="AA181" s="1178"/>
      <c r="AB181" s="1178"/>
      <c r="AC181" s="1178"/>
      <c r="AD181" s="1178"/>
      <c r="AE181" s="1178"/>
      <c r="AF181" s="1178"/>
      <c r="AG181" s="1178"/>
      <c r="AH181" s="1178"/>
      <c r="AI181" s="1178"/>
      <c r="AJ181" s="1178"/>
      <c r="AK181" s="1178"/>
    </row>
    <row r="182" spans="1:43" ht="17.25" customHeight="1">
      <c r="A182" s="1757"/>
    </row>
    <row r="183" spans="1:43" s="5107" customFormat="1" ht="17.25" customHeight="1">
      <c r="A183" s="1746"/>
      <c r="C183" s="1748"/>
      <c r="D183" s="1736"/>
      <c r="E183" s="1753"/>
      <c r="F183" s="1692"/>
      <c r="G183" s="1754"/>
      <c r="H183" s="1736"/>
      <c r="I183" s="1736"/>
      <c r="J183" s="1758"/>
      <c r="K183" s="1754"/>
      <c r="L183" s="1736"/>
      <c r="M183" s="1736"/>
      <c r="N183" s="1756"/>
      <c r="O183" s="1695"/>
      <c r="P183" s="5162"/>
      <c r="Q183" s="5162" t="s">
        <v>114</v>
      </c>
      <c r="R183" s="5242" t="s">
        <v>24</v>
      </c>
      <c r="S183" s="5417" t="s">
        <v>57</v>
      </c>
      <c r="T183" s="1710"/>
      <c r="U183" s="1710" t="s">
        <v>114</v>
      </c>
      <c r="V183" s="1348"/>
      <c r="W183" s="5237"/>
      <c r="Y183" s="1185"/>
      <c r="Z183" s="1185"/>
      <c r="AA183" s="1185"/>
      <c r="AB183" s="1185"/>
      <c r="AC183" s="1185"/>
      <c r="AD183" s="1185"/>
      <c r="AE183" s="1185"/>
      <c r="AF183" s="1185"/>
      <c r="AG183" s="1185"/>
      <c r="AH183" s="1185"/>
      <c r="AI183" s="1185"/>
      <c r="AJ183" s="1185"/>
      <c r="AK183" s="1185"/>
      <c r="AL183" s="1750"/>
      <c r="AM183" s="1750"/>
      <c r="AN183" s="1185"/>
      <c r="AO183" s="1185"/>
      <c r="AP183" s="1185"/>
      <c r="AQ183" s="1185"/>
    </row>
    <row r="184" spans="1:43" s="5107" customFormat="1" ht="17.25" customHeight="1">
      <c r="A184" s="1746"/>
      <c r="C184" s="1751"/>
      <c r="D184" s="1736"/>
      <c r="E184" s="1753"/>
      <c r="F184" s="1692"/>
      <c r="G184" s="1754"/>
      <c r="H184" s="1736"/>
      <c r="I184" s="1736"/>
      <c r="J184" s="1758"/>
      <c r="K184" s="1754"/>
      <c r="L184" s="1736"/>
      <c r="M184" s="1736"/>
      <c r="N184" s="1756"/>
      <c r="O184" s="1695"/>
      <c r="P184" s="5162"/>
      <c r="Q184" s="5162"/>
      <c r="R184" s="5242"/>
      <c r="S184" s="5417"/>
      <c r="T184" s="1349"/>
      <c r="U184" s="1350"/>
      <c r="V184" s="1350"/>
      <c r="W184" s="5237"/>
      <c r="Y184" s="1178"/>
      <c r="Z184" s="1178"/>
      <c r="AA184" s="1178"/>
      <c r="AB184" s="1178"/>
      <c r="AC184" s="1178"/>
      <c r="AD184" s="1178"/>
      <c r="AE184" s="1178"/>
      <c r="AF184" s="1178"/>
      <c r="AG184" s="1178"/>
      <c r="AH184" s="1178"/>
      <c r="AI184" s="1178"/>
      <c r="AJ184" s="1178"/>
      <c r="AK184" s="1178"/>
    </row>
    <row r="185" spans="1:43" ht="17.25" customHeight="1">
      <c r="A185" s="1757"/>
    </row>
    <row r="186" spans="1:43" ht="16.5" customHeight="1">
      <c r="A186" s="1746"/>
      <c r="B186" s="1747"/>
      <c r="C186" s="1751"/>
      <c r="D186" s="5234"/>
      <c r="E186" s="5248"/>
      <c r="F186" s="5248"/>
      <c r="G186" s="5180"/>
      <c r="H186" s="5201"/>
      <c r="I186" s="5203"/>
      <c r="J186" s="5205"/>
      <c r="K186" s="5188"/>
      <c r="L186" s="5188"/>
      <c r="M186" s="5188"/>
      <c r="N186" s="5190"/>
      <c r="O186" s="5188"/>
      <c r="P186" s="5188"/>
      <c r="Q186" s="5188"/>
      <c r="R186" s="5193"/>
      <c r="S186" s="5188"/>
      <c r="T186" s="1691"/>
      <c r="U186" s="1691"/>
      <c r="V186" s="1759"/>
      <c r="W186" s="1214"/>
    </row>
    <row r="187" spans="1:43" ht="16.5" customHeight="1">
      <c r="A187" s="1746"/>
      <c r="B187" s="1747"/>
      <c r="C187" s="1751"/>
      <c r="D187" s="5234"/>
      <c r="E187" s="5248"/>
      <c r="F187" s="5248"/>
      <c r="G187" s="5180"/>
      <c r="H187" s="5202"/>
      <c r="I187" s="5204"/>
      <c r="J187" s="5206"/>
      <c r="K187" s="5189"/>
      <c r="L187" s="5189"/>
      <c r="M187" s="5189"/>
      <c r="N187" s="5191"/>
      <c r="O187" s="5189"/>
      <c r="P187" s="5189"/>
      <c r="Q187" s="5189"/>
      <c r="R187" s="5192"/>
      <c r="S187" s="5189"/>
      <c r="T187" s="1215"/>
      <c r="U187" s="1215"/>
      <c r="V187" s="1215"/>
      <c r="W187" s="1216"/>
    </row>
    <row r="188" spans="1:43" ht="17.25" customHeight="1">
      <c r="A188" s="1746"/>
      <c r="B188" s="1747"/>
      <c r="C188" s="1751"/>
      <c r="D188" s="5234"/>
      <c r="E188" s="5248"/>
      <c r="F188" s="5248"/>
      <c r="G188" s="5180"/>
      <c r="H188" s="5202"/>
      <c r="I188" s="5204"/>
      <c r="J188" s="5207"/>
      <c r="K188" s="5189"/>
      <c r="L188" s="5189"/>
      <c r="M188" s="5189"/>
      <c r="N188" s="5192"/>
      <c r="O188" s="5189"/>
      <c r="P188" s="1694"/>
      <c r="Q188" s="1215"/>
      <c r="R188" s="1215"/>
      <c r="S188" s="1760"/>
      <c r="T188" s="1760"/>
      <c r="U188" s="1760"/>
      <c r="V188" s="1760"/>
      <c r="W188" s="1216"/>
    </row>
    <row r="189" spans="1:43" ht="17.25" customHeight="1">
      <c r="A189" s="1746"/>
      <c r="B189" s="1747"/>
      <c r="C189" s="1751"/>
      <c r="D189" s="5234"/>
      <c r="E189" s="5248"/>
      <c r="F189" s="5248"/>
      <c r="G189" s="5180"/>
      <c r="H189" s="5202"/>
      <c r="I189" s="5204"/>
      <c r="J189" s="5207"/>
      <c r="K189" s="5189"/>
      <c r="L189" s="1215"/>
      <c r="M189" s="1215"/>
      <c r="N189" s="1215"/>
      <c r="O189" s="1215"/>
      <c r="P189" s="1215"/>
      <c r="Q189" s="1215"/>
      <c r="R189" s="1215"/>
      <c r="S189" s="1760"/>
      <c r="T189" s="1760"/>
      <c r="U189" s="1760"/>
      <c r="V189" s="1760"/>
      <c r="W189" s="1216"/>
    </row>
    <row r="190" spans="1:43" ht="17.25" customHeight="1">
      <c r="A190" s="1746"/>
      <c r="B190" s="1747"/>
      <c r="C190" s="1751"/>
      <c r="D190" s="5234"/>
      <c r="E190" s="5248"/>
      <c r="F190" s="5248"/>
      <c r="G190" s="5180"/>
      <c r="H190" s="1217"/>
      <c r="I190" s="1218"/>
      <c r="J190" s="1218"/>
      <c r="K190" s="1218"/>
      <c r="L190" s="1218"/>
      <c r="M190" s="1218"/>
      <c r="N190" s="1218"/>
      <c r="O190" s="1218"/>
      <c r="P190" s="1218"/>
      <c r="Q190" s="1218"/>
      <c r="R190" s="1218"/>
      <c r="S190" s="1761"/>
      <c r="T190" s="1761"/>
      <c r="U190" s="1761"/>
      <c r="V190" s="1761"/>
      <c r="W190" s="1220"/>
    </row>
    <row r="192" spans="1:43" s="5104" customFormat="1" ht="17.25" customHeight="1">
      <c r="A192" s="1723" t="s">
        <v>1293</v>
      </c>
    </row>
    <row r="193" spans="1:63" ht="17.25" customHeight="1">
      <c r="G193" s="1745"/>
      <c r="H193" s="1745"/>
      <c r="I193" s="1745"/>
      <c r="M193" s="1741"/>
    </row>
    <row r="194" spans="1:63" s="1830" customFormat="1" ht="15" customHeight="1">
      <c r="D194" s="5514"/>
      <c r="E194" s="5263"/>
      <c r="F194" s="5263"/>
      <c r="G194" s="5240"/>
      <c r="H194" s="1480"/>
      <c r="I194" s="5518">
        <v>1</v>
      </c>
      <c r="J194" s="5237"/>
      <c r="K194" s="1495"/>
      <c r="L194" s="5240" t="s">
        <v>62</v>
      </c>
      <c r="M194" s="5240" t="s">
        <v>62</v>
      </c>
      <c r="N194" s="1480"/>
      <c r="O194" s="5162" t="s">
        <v>114</v>
      </c>
      <c r="P194" s="5508"/>
      <c r="Q194" s="1496"/>
      <c r="R194" s="5240" t="s">
        <v>62</v>
      </c>
      <c r="S194" s="5240" t="s">
        <v>62</v>
      </c>
      <c r="T194" s="1762"/>
      <c r="U194" s="5162" t="s">
        <v>114</v>
      </c>
      <c r="V194" s="5515" t="str">
        <f>IF(AK194="","",INDEX(TERRITORY_MR_LIST,MATCH(AK194,TERRITORY_LIST_ID,0)))</f>
        <v/>
      </c>
      <c r="W194" s="1497"/>
      <c r="X194" s="5240" t="s">
        <v>62</v>
      </c>
      <c r="Y194" s="5240" t="s">
        <v>57</v>
      </c>
      <c r="Z194" s="1480"/>
      <c r="AA194" s="5162" t="s">
        <v>114</v>
      </c>
      <c r="AB194" s="5517"/>
      <c r="AC194" s="1498"/>
      <c r="AD194" s="5240" t="s">
        <v>62</v>
      </c>
      <c r="AE194" s="5240" t="s">
        <v>57</v>
      </c>
      <c r="AF194" s="1478"/>
      <c r="AG194" s="1719" t="s">
        <v>114</v>
      </c>
      <c r="AH194" s="1488"/>
      <c r="AI194" s="1709"/>
    </row>
    <row r="195" spans="1:63" s="1830" customFormat="1" ht="15" customHeight="1">
      <c r="D195" s="5514"/>
      <c r="E195" s="5263"/>
      <c r="F195" s="5263"/>
      <c r="G195" s="5241"/>
      <c r="H195" s="1480"/>
      <c r="I195" s="5518"/>
      <c r="J195" s="5237"/>
      <c r="K195" s="1479"/>
      <c r="L195" s="5241"/>
      <c r="M195" s="5241"/>
      <c r="N195" s="1480"/>
      <c r="O195" s="5162"/>
      <c r="P195" s="5508"/>
      <c r="Q195" s="1476"/>
      <c r="R195" s="5241"/>
      <c r="S195" s="5241"/>
      <c r="T195" s="1762"/>
      <c r="U195" s="5162"/>
      <c r="V195" s="5516"/>
      <c r="W195" s="1477"/>
      <c r="X195" s="5241"/>
      <c r="Y195" s="5241"/>
      <c r="Z195" s="1480"/>
      <c r="AA195" s="5162"/>
      <c r="AB195" s="5493"/>
      <c r="AC195" s="1481"/>
      <c r="AD195" s="5166"/>
      <c r="AE195" s="5166"/>
      <c r="AF195" s="1482"/>
      <c r="AG195" s="1483"/>
      <c r="AH195" s="5509" t="s">
        <v>1294</v>
      </c>
      <c r="AI195" s="5510"/>
    </row>
    <row r="196" spans="1:63" s="1830" customFormat="1" ht="15" customHeight="1">
      <c r="D196" s="5514"/>
      <c r="E196" s="5263"/>
      <c r="F196" s="5263"/>
      <c r="G196" s="5241"/>
      <c r="H196" s="1480"/>
      <c r="I196" s="5518"/>
      <c r="J196" s="5237"/>
      <c r="K196" s="1479"/>
      <c r="L196" s="5241"/>
      <c r="M196" s="5241"/>
      <c r="N196" s="1480"/>
      <c r="O196" s="5162"/>
      <c r="P196" s="5508"/>
      <c r="Q196" s="1476"/>
      <c r="R196" s="5241"/>
      <c r="S196" s="5241"/>
      <c r="T196" s="1762"/>
      <c r="U196" s="5162"/>
      <c r="V196" s="5516"/>
      <c r="W196" s="1477"/>
      <c r="X196" s="5241"/>
      <c r="Y196" s="5241"/>
      <c r="Z196" s="1519"/>
      <c r="AA196" s="1485"/>
      <c r="AB196" s="5511" t="s">
        <v>1295</v>
      </c>
      <c r="AC196" s="5511"/>
      <c r="AD196" s="5511"/>
      <c r="AE196" s="5511"/>
      <c r="AF196" s="5511"/>
      <c r="AG196" s="5511"/>
      <c r="AH196" s="5511"/>
      <c r="AI196" s="5512"/>
    </row>
    <row r="197" spans="1:63" s="1830" customFormat="1" ht="15" customHeight="1">
      <c r="D197" s="5514"/>
      <c r="E197" s="5263"/>
      <c r="F197" s="5263"/>
      <c r="G197" s="5241"/>
      <c r="H197" s="1480"/>
      <c r="I197" s="5518"/>
      <c r="J197" s="5237"/>
      <c r="K197" s="1479"/>
      <c r="L197" s="5241"/>
      <c r="M197" s="5241"/>
      <c r="N197" s="1480"/>
      <c r="O197" s="5162"/>
      <c r="P197" s="5513"/>
      <c r="Q197" s="1476"/>
      <c r="R197" s="5241"/>
      <c r="S197" s="5241"/>
      <c r="T197" s="1763"/>
      <c r="U197" s="1520"/>
      <c r="V197" s="5509" t="s">
        <v>108</v>
      </c>
      <c r="W197" s="5509"/>
      <c r="X197" s="5509"/>
      <c r="Y197" s="5509"/>
      <c r="Z197" s="5509"/>
      <c r="AA197" s="5509"/>
      <c r="AB197" s="5509"/>
      <c r="AC197" s="5509"/>
      <c r="AD197" s="5509"/>
      <c r="AE197" s="5509"/>
      <c r="AF197" s="5509"/>
      <c r="AG197" s="5509"/>
      <c r="AH197" s="5509"/>
      <c r="AI197" s="5510"/>
    </row>
    <row r="198" spans="1:63" s="1830" customFormat="1" ht="11.25" customHeight="1">
      <c r="D198" s="5514"/>
      <c r="E198" s="5263"/>
      <c r="F198" s="5263"/>
      <c r="G198" s="5241"/>
      <c r="H198" s="1484"/>
      <c r="I198" s="5518"/>
      <c r="J198" s="5519"/>
      <c r="K198" s="1479"/>
      <c r="L198" s="5241"/>
      <c r="M198" s="5241"/>
      <c r="N198" s="1484"/>
      <c r="O198" s="1485"/>
      <c r="P198" s="5509" t="s">
        <v>1296</v>
      </c>
      <c r="Q198" s="5509"/>
      <c r="R198" s="5509"/>
      <c r="S198" s="5509"/>
      <c r="T198" s="5509"/>
      <c r="U198" s="5509"/>
      <c r="V198" s="5509"/>
      <c r="W198" s="5509"/>
      <c r="X198" s="5509"/>
      <c r="Y198" s="5509"/>
      <c r="Z198" s="5509"/>
      <c r="AA198" s="5509"/>
      <c r="AB198" s="5509"/>
      <c r="AC198" s="5509"/>
      <c r="AD198" s="5509"/>
      <c r="AE198" s="5509"/>
      <c r="AF198" s="5509"/>
      <c r="AG198" s="5509"/>
      <c r="AH198" s="5509"/>
      <c r="AI198" s="5510"/>
    </row>
    <row r="199" spans="1:63" s="2109" customFormat="1" ht="11.25" customHeight="1">
      <c r="D199" s="5514"/>
      <c r="E199" s="5263"/>
      <c r="F199" s="5263"/>
      <c r="G199" s="5166"/>
      <c r="H199" s="1486"/>
      <c r="I199" s="1487"/>
      <c r="J199" s="5509" t="s">
        <v>215</v>
      </c>
      <c r="K199" s="5509"/>
      <c r="L199" s="5509"/>
      <c r="M199" s="5509"/>
      <c r="N199" s="5509"/>
      <c r="O199" s="5509"/>
      <c r="P199" s="5509"/>
      <c r="Q199" s="5509"/>
      <c r="R199" s="5509"/>
      <c r="S199" s="5509"/>
      <c r="T199" s="5509"/>
      <c r="U199" s="5509"/>
      <c r="V199" s="5509"/>
      <c r="W199" s="5509"/>
      <c r="X199" s="5509"/>
      <c r="Y199" s="5509"/>
      <c r="Z199" s="5509"/>
      <c r="AA199" s="5509"/>
      <c r="AB199" s="5509"/>
      <c r="AC199" s="5509"/>
      <c r="AD199" s="5509"/>
      <c r="AE199" s="5509"/>
      <c r="AF199" s="5509"/>
      <c r="AG199" s="5509"/>
      <c r="AH199" s="5509"/>
      <c r="AI199" s="5510"/>
      <c r="BK199" s="1490"/>
    </row>
    <row r="200" spans="1:63" ht="17.25" customHeight="1">
      <c r="G200" s="1745"/>
      <c r="I200" s="1745"/>
      <c r="J200" s="1745"/>
      <c r="N200" s="1741"/>
    </row>
    <row r="201" spans="1:63" s="1830" customFormat="1" ht="15" customHeight="1">
      <c r="D201" s="5514"/>
      <c r="E201" s="5263"/>
      <c r="F201" s="5263"/>
      <c r="G201" s="5248"/>
      <c r="H201" s="1515"/>
      <c r="I201" s="5250"/>
      <c r="J201" s="5205"/>
      <c r="K201" s="1693"/>
      <c r="L201" s="5188"/>
      <c r="M201" s="5188"/>
      <c r="N201" s="1500"/>
      <c r="O201" s="5188"/>
      <c r="P201" s="5205"/>
      <c r="Q201" s="1697"/>
      <c r="R201" s="5188"/>
      <c r="S201" s="5188"/>
      <c r="T201" s="1764"/>
      <c r="U201" s="5188"/>
      <c r="V201" s="5205"/>
      <c r="W201" s="1503"/>
      <c r="X201" s="5188"/>
      <c r="Y201" s="5188"/>
      <c r="Z201" s="1500"/>
      <c r="AA201" s="5188"/>
      <c r="AB201" s="5205"/>
      <c r="AC201" s="1504"/>
      <c r="AD201" s="5188"/>
      <c r="AE201" s="5188"/>
      <c r="AF201" s="1691"/>
      <c r="AG201" s="1691"/>
      <c r="AH201" s="1505"/>
      <c r="AI201" s="1214"/>
    </row>
    <row r="202" spans="1:63" s="1830" customFormat="1" ht="15" customHeight="1">
      <c r="D202" s="5514"/>
      <c r="E202" s="5263"/>
      <c r="F202" s="5263"/>
      <c r="G202" s="5248"/>
      <c r="H202" s="1516"/>
      <c r="I202" s="5251"/>
      <c r="J202" s="5206"/>
      <c r="K202" s="1524"/>
      <c r="L202" s="5189"/>
      <c r="M202" s="5189"/>
      <c r="N202" s="1506"/>
      <c r="O202" s="5189"/>
      <c r="P202" s="5206"/>
      <c r="Q202" s="1698"/>
      <c r="R202" s="5189"/>
      <c r="S202" s="5189"/>
      <c r="T202" s="1765"/>
      <c r="U202" s="5189"/>
      <c r="V202" s="5206"/>
      <c r="W202" s="1509"/>
      <c r="X202" s="5189"/>
      <c r="Y202" s="5189"/>
      <c r="Z202" s="1506"/>
      <c r="AA202" s="5189"/>
      <c r="AB202" s="5206"/>
      <c r="AC202" s="1510"/>
      <c r="AD202" s="5189"/>
      <c r="AE202" s="5189"/>
      <c r="AF202" s="1696"/>
      <c r="AG202" s="1696"/>
      <c r="AH202" s="5246"/>
      <c r="AI202" s="5247"/>
    </row>
    <row r="203" spans="1:63" s="1830" customFormat="1" ht="15" customHeight="1">
      <c r="D203" s="5514"/>
      <c r="E203" s="5263"/>
      <c r="F203" s="5263"/>
      <c r="G203" s="5248"/>
      <c r="H203" s="1516"/>
      <c r="I203" s="5251"/>
      <c r="J203" s="5206"/>
      <c r="K203" s="1524"/>
      <c r="L203" s="5189"/>
      <c r="M203" s="5189"/>
      <c r="N203" s="1506"/>
      <c r="O203" s="5189"/>
      <c r="P203" s="5206"/>
      <c r="Q203" s="1698"/>
      <c r="R203" s="5189"/>
      <c r="S203" s="5189"/>
      <c r="T203" s="1765"/>
      <c r="U203" s="5189"/>
      <c r="V203" s="5206"/>
      <c r="W203" s="1509"/>
      <c r="X203" s="5189"/>
      <c r="Y203" s="5189"/>
      <c r="Z203" s="1694"/>
      <c r="AA203" s="1696"/>
      <c r="AB203" s="5246"/>
      <c r="AC203" s="5246"/>
      <c r="AD203" s="5246"/>
      <c r="AE203" s="5246"/>
      <c r="AF203" s="5246"/>
      <c r="AG203" s="5246"/>
      <c r="AH203" s="5246"/>
      <c r="AI203" s="5247"/>
    </row>
    <row r="204" spans="1:63" s="1830" customFormat="1" ht="15" customHeight="1">
      <c r="D204" s="5514"/>
      <c r="E204" s="5263"/>
      <c r="F204" s="5263"/>
      <c r="G204" s="5248"/>
      <c r="H204" s="1516"/>
      <c r="I204" s="5251"/>
      <c r="J204" s="5206"/>
      <c r="K204" s="1524"/>
      <c r="L204" s="5189"/>
      <c r="M204" s="5189"/>
      <c r="N204" s="1506"/>
      <c r="O204" s="5189"/>
      <c r="P204" s="5206"/>
      <c r="Q204" s="1698"/>
      <c r="R204" s="5189"/>
      <c r="S204" s="5189"/>
      <c r="T204" s="1766"/>
      <c r="U204" s="1513"/>
      <c r="V204" s="5246"/>
      <c r="W204" s="5246"/>
      <c r="X204" s="5246"/>
      <c r="Y204" s="5246"/>
      <c r="Z204" s="5246"/>
      <c r="AA204" s="5246"/>
      <c r="AB204" s="5246"/>
      <c r="AC204" s="5246"/>
      <c r="AD204" s="5246"/>
      <c r="AE204" s="5246"/>
      <c r="AF204" s="5246"/>
      <c r="AG204" s="5246"/>
      <c r="AH204" s="5246"/>
      <c r="AI204" s="5247"/>
    </row>
    <row r="205" spans="1:63" s="1830" customFormat="1" ht="11.25" customHeight="1">
      <c r="D205" s="5514"/>
      <c r="E205" s="5263"/>
      <c r="F205" s="5263"/>
      <c r="G205" s="5248"/>
      <c r="H205" s="1517"/>
      <c r="I205" s="5251"/>
      <c r="J205" s="5206"/>
      <c r="K205" s="1524"/>
      <c r="L205" s="5189"/>
      <c r="M205" s="5189"/>
      <c r="N205" s="1696"/>
      <c r="O205" s="1696"/>
      <c r="P205" s="5246"/>
      <c r="Q205" s="5246"/>
      <c r="R205" s="5246"/>
      <c r="S205" s="5246"/>
      <c r="T205" s="5246"/>
      <c r="U205" s="5246"/>
      <c r="V205" s="5246"/>
      <c r="W205" s="5246"/>
      <c r="X205" s="5246"/>
      <c r="Y205" s="5246"/>
      <c r="Z205" s="5246"/>
      <c r="AA205" s="5246"/>
      <c r="AB205" s="5246"/>
      <c r="AC205" s="5246"/>
      <c r="AD205" s="5246"/>
      <c r="AE205" s="5246"/>
      <c r="AF205" s="5246"/>
      <c r="AG205" s="5246"/>
      <c r="AH205" s="5246"/>
      <c r="AI205" s="5247"/>
    </row>
    <row r="206" spans="1:63" s="2109" customFormat="1" ht="11.25" customHeight="1">
      <c r="D206" s="5514"/>
      <c r="E206" s="5263"/>
      <c r="F206" s="5263"/>
      <c r="G206" s="5253"/>
      <c r="H206" s="1514"/>
      <c r="I206" s="1518"/>
      <c r="J206" s="5254"/>
      <c r="K206" s="5254"/>
      <c r="L206" s="5254"/>
      <c r="M206" s="5254"/>
      <c r="N206" s="5254"/>
      <c r="O206" s="5254"/>
      <c r="P206" s="5254"/>
      <c r="Q206" s="5254"/>
      <c r="R206" s="5254"/>
      <c r="S206" s="5254"/>
      <c r="T206" s="5254"/>
      <c r="U206" s="5254"/>
      <c r="V206" s="5254"/>
      <c r="W206" s="5254"/>
      <c r="X206" s="5254"/>
      <c r="Y206" s="5254"/>
      <c r="Z206" s="5254"/>
      <c r="AA206" s="5254"/>
      <c r="AB206" s="5254"/>
      <c r="AC206" s="5254"/>
      <c r="AD206" s="5254"/>
      <c r="AE206" s="5254"/>
      <c r="AF206" s="5254"/>
      <c r="AG206" s="5254"/>
      <c r="AH206" s="5254"/>
      <c r="AI206" s="5255"/>
      <c r="BK206" s="1490"/>
    </row>
    <row r="207" spans="1:63" ht="17.25" customHeight="1">
      <c r="A207" s="175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5112" customWidth="1"/>
    <col min="2" max="2" width="11" style="5113" customWidth="1"/>
    <col min="3" max="3" width="9.140625" style="5113"/>
    <col min="4" max="4" width="26.5703125" style="5113" customWidth="1"/>
    <col min="5" max="5" width="27.7109375" style="5110" customWidth="1"/>
    <col min="6" max="6" width="23.5703125" style="5110" customWidth="1"/>
    <col min="7" max="7" width="31.42578125" style="5110" customWidth="1"/>
    <col min="8" max="8" width="40.85546875" style="5110" customWidth="1"/>
    <col min="9" max="9" width="14.5703125" style="5110" customWidth="1"/>
    <col min="10" max="10" width="26.85546875" style="5110" customWidth="1"/>
    <col min="11" max="11" width="50" style="5110" customWidth="1"/>
    <col min="12" max="12" width="52.42578125" style="5110" customWidth="1"/>
    <col min="13" max="13" width="10.7109375" style="5110" customWidth="1"/>
    <col min="14" max="14" width="55.140625" style="5110" customWidth="1"/>
    <col min="15" max="15" width="31.85546875" style="5110" customWidth="1"/>
    <col min="16" max="16" width="23.85546875" style="5110" customWidth="1"/>
    <col min="17" max="17" width="46.5703125" style="5110" customWidth="1"/>
    <col min="18" max="18" width="24" style="5110" customWidth="1"/>
    <col min="19" max="19" width="20.5703125" style="5110" customWidth="1"/>
    <col min="20" max="20" width="22" style="5110" customWidth="1"/>
    <col min="21" max="22" width="26.42578125" style="5110" customWidth="1"/>
    <col min="23" max="23" width="8.28515625" style="5110" hidden="1" customWidth="1"/>
    <col min="24" max="24" width="59.7109375" style="5110" customWidth="1"/>
    <col min="25" max="25" width="49.140625" style="5110" customWidth="1"/>
    <col min="26" max="26" width="11.140625" style="5110" customWidth="1"/>
    <col min="27" max="30" width="29" style="5110" customWidth="1"/>
    <col min="31" max="31" width="9.140625" style="5110"/>
    <col min="32" max="32" width="34.7109375" style="5110" customWidth="1"/>
    <col min="33" max="33" width="9.140625" style="5110"/>
    <col min="34" max="35" width="34.42578125" style="5110" customWidth="1"/>
    <col min="36" max="36" width="9.140625" style="5110"/>
    <col min="37" max="37" width="24.5703125" style="5110" customWidth="1"/>
    <col min="38" max="38" width="9.140625" style="5110"/>
    <col min="39" max="39" width="26.140625" style="5110" customWidth="1"/>
    <col min="40" max="40" width="1.7109375" style="5110" customWidth="1"/>
    <col min="41" max="41" width="9.140625" style="5110"/>
    <col min="42" max="43" width="47.85546875" style="5110" customWidth="1"/>
    <col min="44" max="44" width="1.7109375" style="5110" customWidth="1"/>
    <col min="45" max="45" width="21.42578125" style="5110" customWidth="1"/>
    <col min="46" max="46" width="1.7109375" style="5110" customWidth="1"/>
    <col min="47" max="47" width="31.28515625" style="5110" customWidth="1"/>
    <col min="48" max="48" width="1.7109375" style="5110" customWidth="1"/>
    <col min="49" max="50" width="9.140625" style="5114"/>
    <col min="51" max="51" width="3.7109375" style="5110" customWidth="1"/>
    <col min="52" max="52" width="55" style="5110" customWidth="1"/>
    <col min="53" max="53" width="9.140625" style="5110"/>
    <col min="54" max="54" width="35.140625" style="5110" customWidth="1"/>
    <col min="55" max="55" width="9.140625" style="5110"/>
    <col min="56" max="56" width="1.7109375" style="5110" customWidth="1"/>
    <col min="57" max="57" width="12.5703125" style="5115" customWidth="1"/>
    <col min="58" max="58" width="14.28515625" style="5115" customWidth="1"/>
    <col min="59" max="59" width="30.7109375" style="5110" customWidth="1"/>
    <col min="60" max="60" width="40.7109375" style="5109" customWidth="1"/>
    <col min="61" max="61" width="15" style="5109" customWidth="1"/>
    <col min="62" max="62" width="40.7109375" style="5109" customWidth="1"/>
    <col min="63" max="63" width="2.7109375" style="5109" customWidth="1"/>
    <col min="64" max="64" width="44.7109375" style="5109" customWidth="1"/>
    <col min="65" max="65" width="2.7109375" style="5109" customWidth="1"/>
    <col min="66" max="66" width="40.7109375" style="5109" customWidth="1"/>
    <col min="67" max="68" width="9.140625" style="5110"/>
    <col min="69" max="69" width="18.140625" style="5110" customWidth="1"/>
    <col min="70" max="70" width="57.85546875" style="5110" customWidth="1"/>
    <col min="71" max="71" width="1.7109375" style="5111" customWidth="1"/>
    <col min="72" max="72" width="22.5703125" style="5110" customWidth="1"/>
    <col min="73" max="73" width="57.85546875" style="5110" customWidth="1"/>
    <col min="74" max="74" width="1.7109375" style="5110" customWidth="1"/>
    <col min="75" max="75" width="22.5703125" style="5110" customWidth="1"/>
    <col min="76" max="76" width="57.85546875" style="5110" customWidth="1"/>
    <col min="77" max="77" width="1.7109375" style="5110" customWidth="1"/>
    <col min="78" max="78" width="22.5703125" style="5110" customWidth="1"/>
    <col min="79" max="79" width="57.85546875" style="5110" customWidth="1"/>
    <col min="80" max="81" width="9.140625" style="5110"/>
    <col min="82" max="82" width="49.5703125" style="5110" customWidth="1"/>
  </cols>
  <sheetData>
    <row r="1" spans="1:79" s="5108" customFormat="1" ht="11.25" customHeight="1">
      <c r="A1" s="971" t="s">
        <v>1297</v>
      </c>
      <c r="B1" s="971" t="s">
        <v>1298</v>
      </c>
      <c r="C1" s="971" t="s">
        <v>1299</v>
      </c>
      <c r="D1" s="971" t="s">
        <v>1300</v>
      </c>
      <c r="E1" s="971" t="s">
        <v>1301</v>
      </c>
      <c r="F1" s="971" t="s">
        <v>1302</v>
      </c>
      <c r="G1" s="971" t="s">
        <v>1303</v>
      </c>
      <c r="H1" s="971" t="s">
        <v>1304</v>
      </c>
      <c r="I1" s="971" t="s">
        <v>1305</v>
      </c>
      <c r="J1" s="971" t="s">
        <v>1306</v>
      </c>
      <c r="K1" s="971" t="s">
        <v>1307</v>
      </c>
      <c r="L1" s="971" t="s">
        <v>1308</v>
      </c>
      <c r="M1" s="971"/>
      <c r="N1" s="971" t="s">
        <v>1309</v>
      </c>
      <c r="O1" s="971" t="s">
        <v>1310</v>
      </c>
      <c r="P1" s="971" t="s">
        <v>1311</v>
      </c>
      <c r="Q1" s="971" t="s">
        <v>1312</v>
      </c>
      <c r="R1" s="971" t="s">
        <v>1313</v>
      </c>
      <c r="S1" s="971" t="s">
        <v>1314</v>
      </c>
      <c r="T1" s="971" t="s">
        <v>1315</v>
      </c>
      <c r="U1" s="971" t="s">
        <v>1316</v>
      </c>
      <c r="V1" s="971"/>
      <c r="W1" s="713" t="s">
        <v>1317</v>
      </c>
      <c r="X1" s="971" t="s">
        <v>1318</v>
      </c>
      <c r="Y1" s="971" t="s">
        <v>1319</v>
      </c>
      <c r="Z1" s="971"/>
      <c r="AA1" s="971" t="s">
        <v>1320</v>
      </c>
      <c r="AB1" s="971"/>
      <c r="AC1" s="971" t="s">
        <v>1321</v>
      </c>
      <c r="AD1" s="971"/>
      <c r="AF1" s="971" t="s">
        <v>1322</v>
      </c>
      <c r="AH1" s="971" t="s">
        <v>1323</v>
      </c>
      <c r="AI1" s="971" t="s">
        <v>1324</v>
      </c>
      <c r="AK1" s="971" t="s">
        <v>1325</v>
      </c>
      <c r="AM1" s="971" t="s">
        <v>1326</v>
      </c>
      <c r="AP1" s="971" t="s">
        <v>1327</v>
      </c>
      <c r="AQ1" s="971" t="s">
        <v>1328</v>
      </c>
      <c r="AS1" s="971" t="s">
        <v>1329</v>
      </c>
      <c r="AU1" s="971" t="s">
        <v>1330</v>
      </c>
      <c r="AW1" s="971" t="s">
        <v>1331</v>
      </c>
      <c r="AX1" s="971" t="s">
        <v>1332</v>
      </c>
      <c r="AZ1" s="1051" t="s">
        <v>1333</v>
      </c>
      <c r="BB1" s="971" t="s">
        <v>1334</v>
      </c>
      <c r="BC1" s="971"/>
      <c r="BE1" s="971" t="s">
        <v>1335</v>
      </c>
      <c r="BF1" s="971" t="s">
        <v>1336</v>
      </c>
      <c r="BH1" s="973" t="s">
        <v>836</v>
      </c>
      <c r="BI1" s="974"/>
      <c r="BJ1" s="975" t="s">
        <v>1337</v>
      </c>
      <c r="BK1" s="974"/>
      <c r="BL1" s="976" t="s">
        <v>934</v>
      </c>
      <c r="BM1" s="974"/>
      <c r="BN1" s="977" t="s">
        <v>1338</v>
      </c>
      <c r="BS1" s="1341"/>
    </row>
    <row r="2" spans="1:79" ht="11.25" customHeight="1">
      <c r="A2" s="978" t="s">
        <v>1339</v>
      </c>
      <c r="B2" s="979">
        <v>2000</v>
      </c>
      <c r="C2" s="979">
        <v>2022</v>
      </c>
      <c r="D2" s="979" t="s">
        <v>62</v>
      </c>
      <c r="E2" s="980" t="s">
        <v>1340</v>
      </c>
      <c r="F2" s="980" t="s">
        <v>1341</v>
      </c>
      <c r="G2" s="980" t="s">
        <v>1342</v>
      </c>
      <c r="H2" s="981" t="s">
        <v>55</v>
      </c>
      <c r="I2" s="980" t="s">
        <v>114</v>
      </c>
      <c r="J2" s="980" t="s">
        <v>1343</v>
      </c>
      <c r="K2" s="982" t="s">
        <v>1344</v>
      </c>
      <c r="L2" s="983"/>
      <c r="M2" s="982">
        <v>1</v>
      </c>
      <c r="N2" s="1061" t="s">
        <v>1345</v>
      </c>
      <c r="O2" s="981" t="s">
        <v>566</v>
      </c>
      <c r="P2" s="984" t="s">
        <v>1346</v>
      </c>
      <c r="Q2" s="985" t="s">
        <v>565</v>
      </c>
      <c r="R2" s="68" t="s">
        <v>1347</v>
      </c>
      <c r="S2" s="68" t="s">
        <v>1348</v>
      </c>
      <c r="T2" s="986" t="s">
        <v>1349</v>
      </c>
      <c r="U2" s="983" t="s">
        <v>1350</v>
      </c>
      <c r="V2" s="987">
        <v>1</v>
      </c>
      <c r="W2" s="988"/>
      <c r="X2" s="988" t="s">
        <v>1351</v>
      </c>
      <c r="Y2" s="979" t="s">
        <v>1352</v>
      </c>
      <c r="Z2" s="989"/>
      <c r="AA2" s="979" t="s">
        <v>1353</v>
      </c>
      <c r="AB2" s="990" t="s">
        <v>1353</v>
      </c>
      <c r="AC2" s="979" t="s">
        <v>1354</v>
      </c>
      <c r="AD2" s="990" t="s">
        <v>1354</v>
      </c>
      <c r="AF2" s="981" t="s">
        <v>1350</v>
      </c>
      <c r="AH2" s="980" t="s">
        <v>1355</v>
      </c>
      <c r="AI2" s="980" t="s">
        <v>1355</v>
      </c>
      <c r="AK2" s="980" t="s">
        <v>1356</v>
      </c>
      <c r="AM2" s="980" t="s">
        <v>1357</v>
      </c>
      <c r="AP2" s="991" t="s">
        <v>1351</v>
      </c>
      <c r="AQ2" s="992" t="s">
        <v>1351</v>
      </c>
      <c r="AS2" s="979" t="s">
        <v>1358</v>
      </c>
      <c r="AU2" s="1022" t="s">
        <v>1359</v>
      </c>
      <c r="AW2" s="1022" t="s">
        <v>1360</v>
      </c>
      <c r="AX2" s="1022" t="s">
        <v>1360</v>
      </c>
      <c r="AZ2" s="1022" t="s">
        <v>1361</v>
      </c>
      <c r="BB2" s="1022" t="s">
        <v>1362</v>
      </c>
      <c r="BC2" s="1022" t="s">
        <v>1363</v>
      </c>
      <c r="BE2" s="1022">
        <v>2000</v>
      </c>
      <c r="BF2" s="1022" t="s">
        <v>1364</v>
      </c>
    </row>
    <row r="3" spans="1:79" ht="11.25" customHeight="1">
      <c r="A3" s="978" t="s">
        <v>1365</v>
      </c>
      <c r="B3" s="979">
        <v>2001</v>
      </c>
      <c r="C3" s="979">
        <v>2023</v>
      </c>
      <c r="D3" s="979" t="s">
        <v>57</v>
      </c>
      <c r="E3" s="980" t="s">
        <v>1366</v>
      </c>
      <c r="F3" s="980" t="s">
        <v>1367</v>
      </c>
      <c r="G3" s="980" t="s">
        <v>1368</v>
      </c>
      <c r="H3" s="981" t="s">
        <v>1369</v>
      </c>
      <c r="I3" s="980" t="s">
        <v>98</v>
      </c>
      <c r="J3" s="980" t="s">
        <v>670</v>
      </c>
      <c r="K3" s="982" t="s">
        <v>1370</v>
      </c>
      <c r="L3" s="983">
        <f>IFERROR(MATCH(K3,OFFER_METHOD,0),0)</f>
        <v>0</v>
      </c>
      <c r="M3" s="982">
        <v>2</v>
      </c>
      <c r="N3" s="1061" t="s">
        <v>1371</v>
      </c>
      <c r="O3" s="981" t="s">
        <v>1372</v>
      </c>
      <c r="P3" s="984" t="s">
        <v>33</v>
      </c>
      <c r="Q3" s="985" t="s">
        <v>564</v>
      </c>
      <c r="R3" s="68" t="s">
        <v>1373</v>
      </c>
      <c r="S3" s="68" t="s">
        <v>1374</v>
      </c>
      <c r="T3" s="986" t="s">
        <v>1375</v>
      </c>
      <c r="U3" s="983" t="s">
        <v>1376</v>
      </c>
      <c r="V3" s="987">
        <v>2</v>
      </c>
      <c r="W3" s="988"/>
      <c r="X3" s="988" t="s">
        <v>1377</v>
      </c>
      <c r="Y3" s="979" t="s">
        <v>1352</v>
      </c>
      <c r="Z3" s="989"/>
      <c r="AA3" s="979" t="s">
        <v>1378</v>
      </c>
      <c r="AB3" s="990" t="s">
        <v>1378</v>
      </c>
      <c r="AC3" s="979" t="s">
        <v>1379</v>
      </c>
      <c r="AD3" s="990" t="s">
        <v>1379</v>
      </c>
      <c r="AF3" s="981" t="s">
        <v>1376</v>
      </c>
      <c r="AH3" s="980" t="s">
        <v>1380</v>
      </c>
      <c r="AI3" s="980" t="s">
        <v>1381</v>
      </c>
      <c r="AK3" s="980" t="s">
        <v>1382</v>
      </c>
      <c r="AM3" s="980" t="s">
        <v>1383</v>
      </c>
      <c r="AP3" s="991" t="s">
        <v>1384</v>
      </c>
      <c r="AQ3" s="992" t="s">
        <v>1384</v>
      </c>
      <c r="AS3" s="979" t="s">
        <v>1385</v>
      </c>
      <c r="AU3" s="1022" t="s">
        <v>1386</v>
      </c>
      <c r="AW3" s="1022" t="s">
        <v>1387</v>
      </c>
      <c r="AX3" s="1022" t="s">
        <v>1387</v>
      </c>
      <c r="AZ3" s="1022" t="s">
        <v>53</v>
      </c>
      <c r="BB3" s="1022" t="s">
        <v>1388</v>
      </c>
      <c r="BC3" s="1022" t="s">
        <v>1363</v>
      </c>
      <c r="BE3" s="1022">
        <v>2001</v>
      </c>
      <c r="BF3" s="1022" t="s">
        <v>1389</v>
      </c>
      <c r="BH3" s="971" t="s">
        <v>1390</v>
      </c>
      <c r="BJ3" s="971" t="s">
        <v>1391</v>
      </c>
      <c r="BL3" s="971" t="s">
        <v>1392</v>
      </c>
      <c r="BN3" s="971" t="s">
        <v>1393</v>
      </c>
      <c r="BR3" s="971" t="s">
        <v>1394</v>
      </c>
      <c r="BS3" s="1342"/>
      <c r="BT3" s="974"/>
      <c r="BU3" s="971" t="s">
        <v>1395</v>
      </c>
      <c r="BV3" s="974"/>
      <c r="BW3" s="1600"/>
      <c r="BX3" s="1602" t="s">
        <v>1396</v>
      </c>
      <c r="CA3" s="971" t="s">
        <v>1397</v>
      </c>
    </row>
    <row r="4" spans="1:79" ht="11.25" customHeight="1">
      <c r="A4" s="978" t="s">
        <v>1398</v>
      </c>
      <c r="B4" s="979">
        <v>2002</v>
      </c>
      <c r="C4" s="979">
        <v>2024</v>
      </c>
      <c r="E4" s="980" t="s">
        <v>1399</v>
      </c>
      <c r="F4" s="980" t="s">
        <v>1400</v>
      </c>
      <c r="H4" s="981" t="s">
        <v>1401</v>
      </c>
      <c r="I4" s="980" t="s">
        <v>85</v>
      </c>
      <c r="J4" s="980" t="s">
        <v>1402</v>
      </c>
      <c r="K4" s="982" t="s">
        <v>1403</v>
      </c>
      <c r="L4" s="983">
        <f>IFERROR(MATCH(K4,OFFER_METHOD,0),0)</f>
        <v>0</v>
      </c>
      <c r="M4" s="982">
        <v>3</v>
      </c>
      <c r="N4" s="1061" t="s">
        <v>1404</v>
      </c>
      <c r="O4" s="980" t="s">
        <v>1405</v>
      </c>
      <c r="Q4" s="985" t="s">
        <v>1406</v>
      </c>
      <c r="R4" s="68" t="s">
        <v>1407</v>
      </c>
      <c r="S4" s="68" t="s">
        <v>1408</v>
      </c>
      <c r="T4" s="986" t="s">
        <v>1409</v>
      </c>
      <c r="U4" s="983" t="s">
        <v>1410</v>
      </c>
      <c r="V4" s="987">
        <v>3</v>
      </c>
      <c r="W4" s="988"/>
      <c r="X4" s="988" t="s">
        <v>1411</v>
      </c>
      <c r="Y4" s="979" t="s">
        <v>1352</v>
      </c>
      <c r="Z4" s="994"/>
      <c r="AC4" s="979" t="s">
        <v>1412</v>
      </c>
      <c r="AD4" s="990" t="s">
        <v>1412</v>
      </c>
      <c r="AF4" s="981" t="s">
        <v>1410</v>
      </c>
      <c r="AH4" s="981" t="s">
        <v>1413</v>
      </c>
      <c r="AK4" s="980" t="s">
        <v>1414</v>
      </c>
      <c r="AM4" s="980" t="s">
        <v>1415</v>
      </c>
      <c r="AP4" s="991" t="s">
        <v>1377</v>
      </c>
      <c r="AQ4" s="992" t="s">
        <v>1377</v>
      </c>
      <c r="AS4" s="979" t="s">
        <v>1416</v>
      </c>
      <c r="AU4" s="1022" t="s">
        <v>1417</v>
      </c>
      <c r="AW4" s="1022" t="s">
        <v>1418</v>
      </c>
      <c r="AX4" s="1022" t="s">
        <v>1418</v>
      </c>
      <c r="AZ4" s="1022" t="s">
        <v>1419</v>
      </c>
      <c r="BB4" s="1022" t="s">
        <v>1420</v>
      </c>
      <c r="BC4" s="1022" t="s">
        <v>1421</v>
      </c>
      <c r="BE4" s="1022">
        <v>2002</v>
      </c>
      <c r="BF4" s="1022" t="s">
        <v>1422</v>
      </c>
      <c r="BH4" s="972" t="s">
        <v>1423</v>
      </c>
      <c r="BJ4" s="972" t="s">
        <v>1423</v>
      </c>
      <c r="BL4" s="972" t="s">
        <v>1423</v>
      </c>
      <c r="BN4" s="972" t="s">
        <v>1423</v>
      </c>
      <c r="BQ4" s="1346" t="s">
        <v>1424</v>
      </c>
      <c r="BR4" s="1058" t="s">
        <v>1425</v>
      </c>
      <c r="BS4" s="192"/>
      <c r="BT4" s="1346" t="s">
        <v>1426</v>
      </c>
      <c r="BU4" s="1058" t="s">
        <v>1427</v>
      </c>
      <c r="BV4" s="974"/>
      <c r="BW4" s="1607" t="s">
        <v>1428</v>
      </c>
      <c r="BX4" s="1601" t="s">
        <v>1429</v>
      </c>
      <c r="BZ4" s="1346" t="s">
        <v>1430</v>
      </c>
      <c r="CA4" s="1058" t="s">
        <v>1431</v>
      </c>
    </row>
    <row r="5" spans="1:79" ht="11.25" customHeight="1">
      <c r="A5" s="978" t="s">
        <v>1432</v>
      </c>
      <c r="B5" s="979">
        <v>2003</v>
      </c>
      <c r="C5" s="979">
        <v>2025</v>
      </c>
      <c r="E5" s="980" t="s">
        <v>1433</v>
      </c>
      <c r="F5" s="980" t="s">
        <v>1434</v>
      </c>
      <c r="H5" s="981" t="s">
        <v>1435</v>
      </c>
      <c r="I5" s="980" t="s">
        <v>86</v>
      </c>
      <c r="K5" s="982" t="s">
        <v>1436</v>
      </c>
      <c r="L5" s="983">
        <f>IFERROR(MATCH(K5,OFFER_METHOD,0),0)</f>
        <v>0</v>
      </c>
      <c r="M5" s="982">
        <v>4</v>
      </c>
      <c r="N5" s="995" t="s">
        <v>1437</v>
      </c>
      <c r="O5" s="980" t="s">
        <v>1438</v>
      </c>
      <c r="Q5" s="985" t="s">
        <v>1439</v>
      </c>
      <c r="R5" s="68" t="s">
        <v>569</v>
      </c>
      <c r="T5" s="981" t="s">
        <v>1440</v>
      </c>
      <c r="U5" s="983" t="s">
        <v>1441</v>
      </c>
      <c r="V5" s="987">
        <v>4</v>
      </c>
      <c r="W5" s="988"/>
      <c r="X5" s="988" t="s">
        <v>246</v>
      </c>
      <c r="Y5" s="979" t="s">
        <v>1442</v>
      </c>
      <c r="Z5" s="994">
        <v>1</v>
      </c>
      <c r="AF5" s="981" t="s">
        <v>1443</v>
      </c>
      <c r="AH5" s="980" t="s">
        <v>1444</v>
      </c>
      <c r="AK5" s="980" t="s">
        <v>1445</v>
      </c>
      <c r="AM5" s="980" t="s">
        <v>1446</v>
      </c>
      <c r="AP5" s="991" t="s">
        <v>246</v>
      </c>
      <c r="AQ5" s="992" t="s">
        <v>246</v>
      </c>
      <c r="AU5" s="1022" t="s">
        <v>1447</v>
      </c>
      <c r="AW5" s="1022" t="s">
        <v>1448</v>
      </c>
      <c r="AX5" s="1022" t="s">
        <v>1448</v>
      </c>
      <c r="AZ5" s="1022" t="s">
        <v>1449</v>
      </c>
      <c r="BB5" s="1022" t="s">
        <v>1450</v>
      </c>
      <c r="BC5" s="1022" t="s">
        <v>1451</v>
      </c>
      <c r="BE5" s="1022">
        <v>2003</v>
      </c>
      <c r="BF5" s="1022" t="s">
        <v>1452</v>
      </c>
      <c r="BH5" s="972" t="s">
        <v>1453</v>
      </c>
      <c r="BJ5" s="972" t="s">
        <v>1453</v>
      </c>
      <c r="BL5" s="972" t="s">
        <v>1453</v>
      </c>
      <c r="BN5" s="972" t="s">
        <v>1454</v>
      </c>
      <c r="BQ5" s="1200">
        <v>4213775</v>
      </c>
      <c r="BR5" s="972" t="s">
        <v>1351</v>
      </c>
      <c r="BS5" s="1343"/>
      <c r="BT5" s="1200">
        <v>64236871</v>
      </c>
      <c r="BU5" s="972" t="s">
        <v>346</v>
      </c>
      <c r="BV5" s="974"/>
      <c r="BW5" s="1605">
        <v>4213767</v>
      </c>
      <c r="BX5" s="1603" t="s">
        <v>1455</v>
      </c>
      <c r="BZ5" s="1200">
        <v>64237509</v>
      </c>
      <c r="CA5" s="1213" t="s">
        <v>1456</v>
      </c>
    </row>
    <row r="6" spans="1:79" ht="11.25" customHeight="1">
      <c r="A6" s="978" t="s">
        <v>1457</v>
      </c>
      <c r="B6" s="979">
        <v>2004</v>
      </c>
      <c r="C6" s="979">
        <v>2026</v>
      </c>
      <c r="E6" s="980" t="s">
        <v>1458</v>
      </c>
      <c r="F6" s="996"/>
      <c r="H6" s="981" t="s">
        <v>1459</v>
      </c>
      <c r="I6" s="980" t="s">
        <v>115</v>
      </c>
      <c r="J6" s="971" t="s">
        <v>1460</v>
      </c>
      <c r="L6" s="983">
        <f>SUM(kind_of_control_method_filter)</f>
        <v>0</v>
      </c>
      <c r="N6" s="995" t="s">
        <v>1461</v>
      </c>
      <c r="O6" s="980" t="s">
        <v>1462</v>
      </c>
      <c r="R6" s="68" t="s">
        <v>565</v>
      </c>
      <c r="T6" s="981" t="s">
        <v>1463</v>
      </c>
      <c r="U6" s="983" t="s">
        <v>1443</v>
      </c>
      <c r="V6" s="987">
        <v>5</v>
      </c>
      <c r="W6" s="988"/>
      <c r="X6" s="979" t="s">
        <v>266</v>
      </c>
      <c r="Y6" s="979" t="s">
        <v>1464</v>
      </c>
      <c r="Z6" s="994"/>
      <c r="AA6" s="997"/>
      <c r="AH6" s="980" t="s">
        <v>1465</v>
      </c>
      <c r="AK6" s="980" t="s">
        <v>1466</v>
      </c>
      <c r="AM6" s="980" t="s">
        <v>1467</v>
      </c>
      <c r="AP6" s="991" t="s">
        <v>266</v>
      </c>
      <c r="AQ6" s="992" t="s">
        <v>266</v>
      </c>
      <c r="AU6" s="1022" t="s">
        <v>1468</v>
      </c>
      <c r="AW6" s="1022" t="s">
        <v>1469</v>
      </c>
      <c r="AX6" s="1022" t="s">
        <v>1469</v>
      </c>
      <c r="BB6" s="1022" t="s">
        <v>1470</v>
      </c>
      <c r="BC6" s="1022" t="s">
        <v>1451</v>
      </c>
      <c r="BE6" s="1022">
        <v>2004</v>
      </c>
      <c r="BF6" s="1022" t="s">
        <v>1471</v>
      </c>
      <c r="BH6" s="972" t="s">
        <v>1472</v>
      </c>
      <c r="BJ6" s="972" t="s">
        <v>1473</v>
      </c>
      <c r="BL6" s="972" t="s">
        <v>1473</v>
      </c>
      <c r="BN6" s="972" t="s">
        <v>1474</v>
      </c>
      <c r="BQ6" s="1200">
        <v>4213784</v>
      </c>
      <c r="BR6" s="1213" t="s">
        <v>1384</v>
      </c>
      <c r="BS6" s="1344"/>
      <c r="BT6" s="1200">
        <v>64236872</v>
      </c>
      <c r="BU6" s="972" t="s">
        <v>351</v>
      </c>
      <c r="BV6" s="974"/>
      <c r="BW6" s="1605">
        <v>4213768</v>
      </c>
      <c r="BX6" s="1603" t="s">
        <v>371</v>
      </c>
      <c r="BZ6" s="1200">
        <v>64237510</v>
      </c>
      <c r="CA6" s="972" t="s">
        <v>1475</v>
      </c>
    </row>
    <row r="7" spans="1:79" ht="11.25" customHeight="1">
      <c r="A7" s="978" t="s">
        <v>1476</v>
      </c>
      <c r="B7" s="979">
        <v>2005</v>
      </c>
      <c r="E7" s="980" t="s">
        <v>1477</v>
      </c>
      <c r="F7" s="996"/>
      <c r="H7" s="981" t="s">
        <v>1478</v>
      </c>
      <c r="I7" s="980" t="s">
        <v>87</v>
      </c>
      <c r="J7" s="980" t="s">
        <v>1479</v>
      </c>
      <c r="N7" s="999" t="s">
        <v>1480</v>
      </c>
      <c r="O7" s="980" t="s">
        <v>1481</v>
      </c>
      <c r="U7" s="983" t="s">
        <v>57</v>
      </c>
      <c r="V7" s="297" t="s">
        <v>87</v>
      </c>
      <c r="W7" s="988"/>
      <c r="X7" s="979" t="s">
        <v>299</v>
      </c>
      <c r="Y7" s="979" t="s">
        <v>1442</v>
      </c>
      <c r="Z7" s="994"/>
      <c r="AA7" s="997"/>
      <c r="AH7" s="980" t="s">
        <v>1482</v>
      </c>
      <c r="AK7" s="980" t="s">
        <v>1483</v>
      </c>
      <c r="AM7" s="980" t="s">
        <v>1484</v>
      </c>
      <c r="AP7" s="991" t="s">
        <v>299</v>
      </c>
      <c r="AQ7" s="992" t="s">
        <v>299</v>
      </c>
      <c r="AU7" s="1022" t="s">
        <v>1485</v>
      </c>
      <c r="AW7" s="1022" t="s">
        <v>1486</v>
      </c>
      <c r="AX7" s="1022" t="s">
        <v>1486</v>
      </c>
      <c r="AZ7" s="971" t="s">
        <v>1487</v>
      </c>
      <c r="BB7" s="1022" t="s">
        <v>1488</v>
      </c>
      <c r="BC7" s="1022" t="s">
        <v>1451</v>
      </c>
      <c r="BE7" s="1022">
        <v>2005</v>
      </c>
      <c r="BF7" s="1022" t="s">
        <v>1489</v>
      </c>
      <c r="BH7" s="972" t="s">
        <v>1490</v>
      </c>
      <c r="BJ7" s="972" t="s">
        <v>1472</v>
      </c>
      <c r="BL7" s="972" t="s">
        <v>1472</v>
      </c>
      <c r="BN7" s="972" t="s">
        <v>1491</v>
      </c>
      <c r="BQ7" s="1200">
        <v>4213781</v>
      </c>
      <c r="BR7" s="972" t="s">
        <v>1377</v>
      </c>
      <c r="BS7" s="1343"/>
      <c r="BT7" s="1200">
        <v>64236873</v>
      </c>
      <c r="BU7" s="972" t="s">
        <v>356</v>
      </c>
      <c r="BV7" s="974"/>
      <c r="BW7" s="1605">
        <v>4213769</v>
      </c>
      <c r="BX7" s="1603" t="s">
        <v>1492</v>
      </c>
      <c r="BZ7" s="1200">
        <v>64237511</v>
      </c>
      <c r="CA7" s="972" t="s">
        <v>386</v>
      </c>
    </row>
    <row r="8" spans="1:79" ht="11.25" customHeight="1">
      <c r="A8" s="978" t="s">
        <v>1493</v>
      </c>
      <c r="B8" s="979">
        <v>2006</v>
      </c>
      <c r="E8" s="980" t="s">
        <v>1494</v>
      </c>
      <c r="F8" s="996"/>
      <c r="I8" s="980" t="s">
        <v>88</v>
      </c>
      <c r="J8" s="980" t="s">
        <v>1495</v>
      </c>
      <c r="N8" s="1062" t="s">
        <v>1496</v>
      </c>
      <c r="O8" s="980" t="s">
        <v>1497</v>
      </c>
      <c r="V8" s="297" t="s">
        <v>88</v>
      </c>
      <c r="W8" s="988"/>
      <c r="X8" s="979" t="s">
        <v>307</v>
      </c>
      <c r="Y8" s="979" t="s">
        <v>1442</v>
      </c>
      <c r="Z8" s="994"/>
      <c r="AA8" s="997"/>
      <c r="AK8" s="980" t="s">
        <v>1498</v>
      </c>
      <c r="AP8" s="991" t="s">
        <v>307</v>
      </c>
      <c r="AQ8" s="992" t="s">
        <v>307</v>
      </c>
      <c r="AU8" s="1022" t="s">
        <v>1499</v>
      </c>
      <c r="AW8" s="1022" t="s">
        <v>1500</v>
      </c>
      <c r="AX8" s="1022" t="s">
        <v>1500</v>
      </c>
      <c r="AZ8" s="1022" t="s">
        <v>1501</v>
      </c>
      <c r="BB8" s="1022" t="s">
        <v>1502</v>
      </c>
      <c r="BC8" s="1022" t="s">
        <v>1451</v>
      </c>
      <c r="BE8" s="1022">
        <v>2006</v>
      </c>
      <c r="BF8" s="1022" t="s">
        <v>1503</v>
      </c>
      <c r="BH8" s="972" t="s">
        <v>1504</v>
      </c>
      <c r="BJ8" s="972" t="s">
        <v>1505</v>
      </c>
      <c r="BL8" s="972" t="s">
        <v>1505</v>
      </c>
      <c r="BN8" s="972" t="s">
        <v>1506</v>
      </c>
      <c r="BQ8" s="1200">
        <v>4213776</v>
      </c>
      <c r="BR8" s="972" t="s">
        <v>246</v>
      </c>
      <c r="BS8" s="1343"/>
      <c r="BT8" s="1200">
        <v>64236874</v>
      </c>
      <c r="BU8" s="1213" t="s">
        <v>1507</v>
      </c>
      <c r="BV8" s="974"/>
      <c r="BW8" s="1605">
        <v>4213770</v>
      </c>
      <c r="BX8" s="1606" t="s">
        <v>1508</v>
      </c>
      <c r="BZ8" s="1200">
        <v>64237512</v>
      </c>
      <c r="CA8" s="972" t="s">
        <v>381</v>
      </c>
    </row>
    <row r="9" spans="1:79" ht="11.25" customHeight="1">
      <c r="A9" s="978" t="s">
        <v>1509</v>
      </c>
      <c r="B9" s="979">
        <v>2007</v>
      </c>
      <c r="E9" s="980" t="s">
        <v>1510</v>
      </c>
      <c r="F9" s="996"/>
      <c r="G9" s="971" t="s">
        <v>1511</v>
      </c>
      <c r="H9" s="971" t="s">
        <v>1512</v>
      </c>
      <c r="I9" s="980" t="s">
        <v>116</v>
      </c>
      <c r="O9" s="980" t="s">
        <v>1513</v>
      </c>
      <c r="V9" s="297" t="s">
        <v>116</v>
      </c>
      <c r="W9" s="988"/>
      <c r="X9" s="979" t="s">
        <v>313</v>
      </c>
      <c r="Y9" s="979" t="s">
        <v>1352</v>
      </c>
      <c r="Z9" s="994">
        <v>1</v>
      </c>
      <c r="AA9" s="997"/>
      <c r="AK9" s="980" t="s">
        <v>1514</v>
      </c>
      <c r="AP9" s="991" t="s">
        <v>1515</v>
      </c>
      <c r="AQ9" s="992" t="s">
        <v>1515</v>
      </c>
      <c r="AW9" s="1022" t="s">
        <v>1516</v>
      </c>
      <c r="AX9" s="1022" t="s">
        <v>1516</v>
      </c>
      <c r="AZ9" s="1022" t="s">
        <v>1517</v>
      </c>
      <c r="BB9" s="1022" t="s">
        <v>1518</v>
      </c>
      <c r="BC9" s="1022" t="s">
        <v>1451</v>
      </c>
      <c r="BE9" s="1022">
        <v>2007</v>
      </c>
      <c r="BF9" s="1022" t="s">
        <v>1519</v>
      </c>
      <c r="BH9" s="972" t="s">
        <v>1520</v>
      </c>
      <c r="BJ9" s="972" t="s">
        <v>1521</v>
      </c>
      <c r="BL9" s="972" t="s">
        <v>1521</v>
      </c>
      <c r="BN9" s="972" t="s">
        <v>1522</v>
      </c>
      <c r="BQ9" s="1200">
        <v>4213777</v>
      </c>
      <c r="BR9" s="972" t="s">
        <v>266</v>
      </c>
      <c r="BS9" s="1343"/>
      <c r="BT9" s="1200">
        <v>64236875</v>
      </c>
      <c r="BU9" s="972" t="s">
        <v>361</v>
      </c>
      <c r="BV9" s="974"/>
      <c r="BW9" s="1600"/>
      <c r="BX9" s="1600"/>
    </row>
    <row r="10" spans="1:79" ht="11.25" customHeight="1">
      <c r="A10" s="978" t="s">
        <v>1523</v>
      </c>
      <c r="B10" s="979">
        <v>2008</v>
      </c>
      <c r="E10" s="980" t="s">
        <v>1524</v>
      </c>
      <c r="F10" s="996"/>
      <c r="G10" s="980" t="s">
        <v>1525</v>
      </c>
      <c r="H10" s="980" t="s">
        <v>1526</v>
      </c>
      <c r="I10" s="980" t="s">
        <v>152</v>
      </c>
      <c r="J10" s="971" t="s">
        <v>1527</v>
      </c>
      <c r="K10" s="971" t="s">
        <v>1528</v>
      </c>
      <c r="O10" s="980" t="s">
        <v>584</v>
      </c>
      <c r="V10" s="298" t="s">
        <v>152</v>
      </c>
      <c r="W10" s="1000"/>
      <c r="X10" s="1000" t="s">
        <v>1529</v>
      </c>
      <c r="Y10" s="1001" t="s">
        <v>1530</v>
      </c>
      <c r="Z10" s="994"/>
      <c r="AP10" s="991" t="s">
        <v>1529</v>
      </c>
      <c r="AQ10" s="992" t="s">
        <v>1529</v>
      </c>
      <c r="AW10" s="1022" t="s">
        <v>1531</v>
      </c>
      <c r="AX10" s="1022" t="s">
        <v>1531</v>
      </c>
      <c r="AZ10" s="1022" t="s">
        <v>1532</v>
      </c>
      <c r="BB10" s="1022" t="s">
        <v>1533</v>
      </c>
      <c r="BC10" s="1022" t="s">
        <v>1451</v>
      </c>
      <c r="BE10" s="1022">
        <v>2008</v>
      </c>
      <c r="BF10" s="1022" t="s">
        <v>1534</v>
      </c>
      <c r="BH10" s="972" t="s">
        <v>1535</v>
      </c>
      <c r="BJ10" s="972" t="s">
        <v>1536</v>
      </c>
      <c r="BL10" s="972" t="s">
        <v>1536</v>
      </c>
      <c r="BN10" s="972" t="s">
        <v>1537</v>
      </c>
      <c r="BQ10" s="1200">
        <v>4213778</v>
      </c>
      <c r="BR10" s="972" t="s">
        <v>299</v>
      </c>
      <c r="BS10" s="1343"/>
      <c r="BT10" s="1200">
        <v>64236876</v>
      </c>
      <c r="BU10" s="972" t="s">
        <v>341</v>
      </c>
      <c r="BV10" s="974"/>
      <c r="BW10" s="1600"/>
      <c r="BX10" s="1600"/>
    </row>
    <row r="11" spans="1:79" ht="11.25" customHeight="1">
      <c r="A11" s="978" t="s">
        <v>1538</v>
      </c>
      <c r="B11" s="979">
        <v>2009</v>
      </c>
      <c r="E11" s="980" t="s">
        <v>1539</v>
      </c>
      <c r="F11" s="996"/>
      <c r="G11" s="980" t="s">
        <v>1540</v>
      </c>
      <c r="H11" s="980" t="s">
        <v>1541</v>
      </c>
      <c r="I11" s="980" t="s">
        <v>153</v>
      </c>
      <c r="J11" s="981" t="s">
        <v>1542</v>
      </c>
      <c r="K11" s="1002" t="s">
        <v>1543</v>
      </c>
      <c r="O11" s="981" t="s">
        <v>1544</v>
      </c>
      <c r="V11" s="297" t="s">
        <v>153</v>
      </c>
      <c r="W11" s="193"/>
      <c r="X11" s="988" t="s">
        <v>1515</v>
      </c>
      <c r="Y11" s="979" t="s">
        <v>1545</v>
      </c>
      <c r="Z11" s="994"/>
      <c r="AP11" s="991" t="s">
        <v>313</v>
      </c>
      <c r="AQ11" s="993" t="s">
        <v>313</v>
      </c>
      <c r="AW11" s="1022" t="s">
        <v>1546</v>
      </c>
      <c r="AX11" s="1022" t="s">
        <v>1546</v>
      </c>
      <c r="AZ11" s="1022" t="s">
        <v>1547</v>
      </c>
      <c r="BB11" s="1022" t="s">
        <v>1548</v>
      </c>
      <c r="BC11" s="1022" t="s">
        <v>1451</v>
      </c>
      <c r="BE11" s="1022">
        <v>2009</v>
      </c>
      <c r="BF11" s="1022" t="s">
        <v>1549</v>
      </c>
      <c r="BH11" s="972" t="s">
        <v>1550</v>
      </c>
      <c r="BJ11" s="972" t="s">
        <v>1520</v>
      </c>
      <c r="BL11" s="972" t="s">
        <v>1520</v>
      </c>
      <c r="BN11" s="972" t="s">
        <v>1551</v>
      </c>
      <c r="BQ11" s="1200">
        <v>4213780</v>
      </c>
      <c r="BR11" s="972" t="s">
        <v>307</v>
      </c>
      <c r="BS11" s="1343"/>
      <c r="BW11" s="1600"/>
      <c r="BX11" s="1600"/>
    </row>
    <row r="12" spans="1:79" ht="11.25" customHeight="1">
      <c r="A12" s="978" t="s">
        <v>1552</v>
      </c>
      <c r="B12" s="979">
        <v>2010</v>
      </c>
      <c r="E12" s="980" t="s">
        <v>1553</v>
      </c>
      <c r="F12" s="996"/>
      <c r="G12" s="980" t="s">
        <v>1541</v>
      </c>
      <c r="I12" s="980" t="s">
        <v>154</v>
      </c>
      <c r="J12" s="981" t="s">
        <v>1554</v>
      </c>
      <c r="K12" s="1002" t="s">
        <v>1555</v>
      </c>
      <c r="O12" s="981" t="s">
        <v>565</v>
      </c>
      <c r="V12" s="297" t="s">
        <v>154</v>
      </c>
      <c r="W12" s="993"/>
      <c r="X12" s="988" t="s">
        <v>1556</v>
      </c>
      <c r="Y12" s="979" t="s">
        <v>1352</v>
      </c>
      <c r="AP12" s="991"/>
      <c r="AW12" s="1022" t="s">
        <v>153</v>
      </c>
      <c r="AX12" s="1022" t="s">
        <v>153</v>
      </c>
      <c r="AZ12" s="1022" t="s">
        <v>1557</v>
      </c>
      <c r="BB12" s="1022" t="s">
        <v>1558</v>
      </c>
      <c r="BC12" s="1022" t="s">
        <v>1451</v>
      </c>
      <c r="BE12" s="1022">
        <v>2010</v>
      </c>
      <c r="BF12" s="1022" t="s">
        <v>1559</v>
      </c>
      <c r="BH12" s="972" t="s">
        <v>1560</v>
      </c>
      <c r="BJ12" s="972" t="s">
        <v>1561</v>
      </c>
      <c r="BL12" s="972" t="s">
        <v>1561</v>
      </c>
      <c r="BN12" s="972" t="s">
        <v>1562</v>
      </c>
      <c r="BQ12" s="1200">
        <v>4213779</v>
      </c>
      <c r="BR12" s="972" t="s">
        <v>1515</v>
      </c>
      <c r="BS12" s="1343"/>
      <c r="BT12" s="974"/>
      <c r="BU12" s="974"/>
      <c r="BV12" s="974"/>
      <c r="BW12" s="1600"/>
      <c r="BX12" s="1600"/>
    </row>
    <row r="13" spans="1:79" ht="11.25" customHeight="1">
      <c r="A13" s="978" t="s">
        <v>1563</v>
      </c>
      <c r="B13" s="979">
        <v>2011</v>
      </c>
      <c r="E13" s="980" t="s">
        <v>1564</v>
      </c>
      <c r="F13" s="996"/>
      <c r="I13" s="980" t="s">
        <v>155</v>
      </c>
      <c r="K13" s="1002" t="s">
        <v>1514</v>
      </c>
      <c r="V13" s="297" t="s">
        <v>155</v>
      </c>
      <c r="W13" s="993"/>
      <c r="X13" s="993"/>
      <c r="Y13" s="993"/>
      <c r="AW13" s="1022" t="s">
        <v>154</v>
      </c>
      <c r="AX13" s="1022" t="s">
        <v>154</v>
      </c>
      <c r="BB13" s="1022" t="s">
        <v>1565</v>
      </c>
      <c r="BC13" s="1022" t="s">
        <v>1566</v>
      </c>
      <c r="BE13" s="1022">
        <v>2011</v>
      </c>
      <c r="BF13" s="1022" t="s">
        <v>1567</v>
      </c>
      <c r="BH13" s="972" t="s">
        <v>1568</v>
      </c>
      <c r="BJ13" s="972" t="s">
        <v>1550</v>
      </c>
      <c r="BL13" s="972" t="s">
        <v>1550</v>
      </c>
      <c r="BN13" s="972" t="s">
        <v>1569</v>
      </c>
      <c r="BQ13" s="1200">
        <v>4213783</v>
      </c>
      <c r="BR13" s="972" t="s">
        <v>1529</v>
      </c>
      <c r="BS13" s="1343"/>
      <c r="BT13" s="974"/>
      <c r="BU13" s="974"/>
      <c r="BV13" s="974"/>
      <c r="BW13" s="1604"/>
      <c r="BX13" s="1600"/>
    </row>
    <row r="14" spans="1:79" ht="11.25" customHeight="1">
      <c r="A14" s="978" t="s">
        <v>1570</v>
      </c>
      <c r="B14" s="979">
        <v>2012</v>
      </c>
      <c r="I14" s="980" t="s">
        <v>156</v>
      </c>
      <c r="J14" s="971" t="s">
        <v>1571</v>
      </c>
      <c r="N14" s="971" t="s">
        <v>1572</v>
      </c>
      <c r="V14" s="987">
        <v>13</v>
      </c>
      <c r="W14" s="988"/>
      <c r="X14" s="988" t="s">
        <v>1384</v>
      </c>
      <c r="Y14" s="979" t="s">
        <v>1352</v>
      </c>
      <c r="AW14" s="1022" t="s">
        <v>155</v>
      </c>
      <c r="AX14" s="1022" t="s">
        <v>155</v>
      </c>
      <c r="AZ14" s="971" t="s">
        <v>1573</v>
      </c>
      <c r="BB14" s="1022" t="s">
        <v>1574</v>
      </c>
      <c r="BC14" s="1022" t="s">
        <v>1566</v>
      </c>
      <c r="BE14" s="1022">
        <v>2012</v>
      </c>
      <c r="BH14" s="972" t="s">
        <v>1491</v>
      </c>
      <c r="BJ14" s="1120" t="s">
        <v>1575</v>
      </c>
      <c r="BL14" s="1120" t="s">
        <v>1575</v>
      </c>
      <c r="BN14" s="972" t="s">
        <v>1576</v>
      </c>
      <c r="BQ14" s="1200">
        <v>4213782</v>
      </c>
      <c r="BR14" s="972" t="s">
        <v>313</v>
      </c>
      <c r="BS14" s="1343"/>
      <c r="BT14" s="974"/>
      <c r="BU14" s="974"/>
      <c r="BV14" s="974"/>
      <c r="BW14" s="1604"/>
      <c r="BX14" s="1600"/>
    </row>
    <row r="15" spans="1:79" ht="19.5" customHeight="1">
      <c r="A15" s="978" t="s">
        <v>1577</v>
      </c>
      <c r="B15" s="979">
        <v>2013</v>
      </c>
      <c r="E15" s="1608" t="s">
        <v>1578</v>
      </c>
      <c r="G15" s="971" t="s">
        <v>1579</v>
      </c>
      <c r="H15" s="971" t="s">
        <v>1580</v>
      </c>
      <c r="I15" s="982" t="s">
        <v>157</v>
      </c>
      <c r="J15" s="993" t="s">
        <v>697</v>
      </c>
      <c r="N15" s="1057" t="s">
        <v>1581</v>
      </c>
      <c r="X15" s="991"/>
      <c r="AW15" s="1022" t="s">
        <v>156</v>
      </c>
      <c r="AX15" s="1022" t="s">
        <v>156</v>
      </c>
      <c r="AZ15" s="1022" t="s">
        <v>1501</v>
      </c>
      <c r="BB15" s="1022" t="s">
        <v>1582</v>
      </c>
      <c r="BC15" s="1022" t="s">
        <v>1566</v>
      </c>
      <c r="BE15" s="1022">
        <v>2013</v>
      </c>
      <c r="BH15" s="972" t="s">
        <v>1506</v>
      </c>
      <c r="BJ15" s="1120" t="s">
        <v>1583</v>
      </c>
      <c r="BL15" s="1120" t="s">
        <v>1583</v>
      </c>
      <c r="BN15" s="972" t="s">
        <v>1584</v>
      </c>
      <c r="BR15" s="974"/>
      <c r="BS15" s="1345"/>
      <c r="BT15" s="974"/>
      <c r="BU15" s="974"/>
      <c r="BV15" s="974"/>
      <c r="BW15" s="1604"/>
      <c r="BX15" s="1600"/>
    </row>
    <row r="16" spans="1:79" ht="21" customHeight="1">
      <c r="A16" s="1778" t="s">
        <v>1585</v>
      </c>
      <c r="B16" s="979">
        <v>2014</v>
      </c>
      <c r="E16" s="1609" t="s">
        <v>1586</v>
      </c>
      <c r="G16" s="980" t="s">
        <v>1587</v>
      </c>
      <c r="H16" s="980" t="s">
        <v>1588</v>
      </c>
      <c r="I16" s="982" t="s">
        <v>1589</v>
      </c>
      <c r="J16" s="993" t="s">
        <v>670</v>
      </c>
      <c r="N16" s="1057" t="s">
        <v>1590</v>
      </c>
      <c r="AW16" s="1022" t="s">
        <v>157</v>
      </c>
      <c r="AX16" s="1022" t="s">
        <v>157</v>
      </c>
      <c r="AZ16" s="1022" t="s">
        <v>1517</v>
      </c>
      <c r="BB16" s="1022" t="s">
        <v>1591</v>
      </c>
      <c r="BC16" s="1022" t="s">
        <v>1566</v>
      </c>
      <c r="BE16" s="1022">
        <v>2014</v>
      </c>
      <c r="BH16" s="972" t="s">
        <v>1522</v>
      </c>
      <c r="BJ16" s="1120" t="s">
        <v>1592</v>
      </c>
      <c r="BL16" s="1120" t="s">
        <v>1592</v>
      </c>
      <c r="BN16" s="972" t="s">
        <v>1593</v>
      </c>
      <c r="BR16" s="974"/>
      <c r="BS16" s="1345"/>
      <c r="BT16" s="974"/>
      <c r="BU16" s="974"/>
      <c r="BV16" s="974"/>
      <c r="BW16" s="1604"/>
      <c r="BX16" s="1600"/>
    </row>
    <row r="17" spans="1:82" ht="21" customHeight="1">
      <c r="A17" s="978" t="s">
        <v>1594</v>
      </c>
      <c r="B17" s="979">
        <v>2015</v>
      </c>
      <c r="G17" s="980" t="s">
        <v>1541</v>
      </c>
      <c r="H17" s="980" t="s">
        <v>1541</v>
      </c>
      <c r="I17" s="980" t="s">
        <v>1595</v>
      </c>
      <c r="N17" s="1057" t="s">
        <v>1596</v>
      </c>
      <c r="X17" s="991"/>
      <c r="AW17" s="1022" t="s">
        <v>1589</v>
      </c>
      <c r="AX17" s="1022" t="s">
        <v>1589</v>
      </c>
      <c r="AZ17" s="1022" t="s">
        <v>1597</v>
      </c>
      <c r="BB17" s="1022" t="s">
        <v>1598</v>
      </c>
      <c r="BC17" s="1022" t="s">
        <v>1451</v>
      </c>
      <c r="BE17" s="1022">
        <v>2015</v>
      </c>
      <c r="BH17" s="972" t="s">
        <v>1537</v>
      </c>
      <c r="BJ17" s="1120" t="s">
        <v>1599</v>
      </c>
      <c r="BL17" s="1120" t="s">
        <v>1599</v>
      </c>
      <c r="BN17" s="972" t="s">
        <v>1600</v>
      </c>
      <c r="BR17" s="971" t="s">
        <v>1394</v>
      </c>
      <c r="BS17" s="1342"/>
      <c r="BU17" s="971" t="s">
        <v>1601</v>
      </c>
      <c r="BV17" s="974"/>
      <c r="BW17" s="1600"/>
      <c r="BX17" s="1602" t="s">
        <v>1602</v>
      </c>
      <c r="CA17" s="971" t="s">
        <v>1603</v>
      </c>
      <c r="CD17" s="971" t="s">
        <v>1604</v>
      </c>
    </row>
    <row r="18" spans="1:82" ht="21" customHeight="1">
      <c r="A18" s="978" t="s">
        <v>1605</v>
      </c>
      <c r="B18" s="979">
        <v>2016</v>
      </c>
      <c r="I18" s="980" t="s">
        <v>1606</v>
      </c>
      <c r="N18" s="1057" t="s">
        <v>1607</v>
      </c>
      <c r="X18" s="991"/>
      <c r="AW18" s="1022" t="s">
        <v>1595</v>
      </c>
      <c r="AX18" s="1022" t="s">
        <v>1595</v>
      </c>
      <c r="BB18" s="1022" t="s">
        <v>1608</v>
      </c>
      <c r="BC18" s="1022" t="s">
        <v>1451</v>
      </c>
      <c r="BE18" s="1022">
        <v>2016</v>
      </c>
      <c r="BH18" s="972" t="s">
        <v>1551</v>
      </c>
      <c r="BJ18" s="1120" t="s">
        <v>1609</v>
      </c>
      <c r="BL18" s="1120" t="s">
        <v>1609</v>
      </c>
      <c r="BN18" s="972" t="s">
        <v>1610</v>
      </c>
      <c r="BQ18" s="1346" t="s">
        <v>1424</v>
      </c>
      <c r="BR18" s="1058" t="s">
        <v>1425</v>
      </c>
      <c r="BS18" s="192"/>
      <c r="BT18" s="1346" t="s">
        <v>1611</v>
      </c>
      <c r="BU18" s="1058" t="s">
        <v>1612</v>
      </c>
      <c r="BV18" s="974"/>
      <c r="BW18" s="1607" t="s">
        <v>1613</v>
      </c>
      <c r="BX18" s="1601" t="s">
        <v>1614</v>
      </c>
      <c r="BZ18" s="1346" t="s">
        <v>1615</v>
      </c>
      <c r="CA18" s="1058" t="s">
        <v>1616</v>
      </c>
      <c r="CC18" s="1346" t="s">
        <v>1617</v>
      </c>
      <c r="CD18" s="1058" t="s">
        <v>1618</v>
      </c>
    </row>
    <row r="19" spans="1:82" ht="21" customHeight="1">
      <c r="A19" s="1778" t="s">
        <v>1619</v>
      </c>
      <c r="B19" s="979">
        <v>2017</v>
      </c>
      <c r="I19" s="980" t="s">
        <v>1620</v>
      </c>
      <c r="N19" s="1057" t="s">
        <v>1621</v>
      </c>
      <c r="X19" s="991"/>
      <c r="AW19" s="1022" t="s">
        <v>1606</v>
      </c>
      <c r="AX19" s="1022" t="s">
        <v>1606</v>
      </c>
      <c r="AZ19" s="971" t="s">
        <v>1622</v>
      </c>
      <c r="BB19" s="1022" t="s">
        <v>1623</v>
      </c>
      <c r="BC19" s="1022" t="s">
        <v>1451</v>
      </c>
      <c r="BE19" s="1022">
        <v>2017</v>
      </c>
      <c r="BH19" s="972" t="s">
        <v>1624</v>
      </c>
      <c r="BJ19" s="1120" t="s">
        <v>1625</v>
      </c>
      <c r="BL19" s="1120" t="s">
        <v>1625</v>
      </c>
      <c r="BQ19" s="1200">
        <v>4190064</v>
      </c>
      <c r="BR19" s="972" t="s">
        <v>1626</v>
      </c>
      <c r="BS19" s="1343"/>
      <c r="BT19" s="1200">
        <v>4189671</v>
      </c>
      <c r="BU19" s="972" t="s">
        <v>1627</v>
      </c>
      <c r="BV19" s="974"/>
      <c r="BW19" s="1605">
        <v>4189706</v>
      </c>
      <c r="BX19" s="1603" t="s">
        <v>1628</v>
      </c>
      <c r="BZ19" s="1200">
        <v>4189714</v>
      </c>
      <c r="CA19" s="972" t="s">
        <v>1629</v>
      </c>
      <c r="CC19" s="1200">
        <v>4189708</v>
      </c>
      <c r="CD19" s="972" t="s">
        <v>1630</v>
      </c>
    </row>
    <row r="20" spans="1:82" ht="21" customHeight="1">
      <c r="A20" s="978" t="s">
        <v>1631</v>
      </c>
      <c r="B20" s="979">
        <v>2018</v>
      </c>
      <c r="I20" s="980" t="s">
        <v>1632</v>
      </c>
      <c r="N20" s="1057" t="s">
        <v>1633</v>
      </c>
      <c r="AW20" s="1022" t="s">
        <v>1620</v>
      </c>
      <c r="AX20" s="1022" t="s">
        <v>1620</v>
      </c>
      <c r="AZ20" s="1022" t="s">
        <v>1634</v>
      </c>
      <c r="BB20" s="1022" t="s">
        <v>1635</v>
      </c>
      <c r="BC20" s="1022" t="s">
        <v>1566</v>
      </c>
      <c r="BE20" s="1022">
        <v>2018</v>
      </c>
      <c r="BH20" s="972" t="s">
        <v>1562</v>
      </c>
      <c r="BJ20" s="972" t="s">
        <v>1491</v>
      </c>
      <c r="BL20" s="972" t="s">
        <v>1491</v>
      </c>
      <c r="BQ20" s="1200">
        <v>4190065</v>
      </c>
      <c r="BR20" s="972" t="s">
        <v>1636</v>
      </c>
      <c r="BS20" s="1343"/>
      <c r="BT20" s="1200">
        <v>4189672</v>
      </c>
      <c r="BU20" s="972" t="s">
        <v>1637</v>
      </c>
      <c r="BV20" s="974"/>
      <c r="BW20" s="1605">
        <v>4189705</v>
      </c>
      <c r="BX20" s="1603" t="s">
        <v>1638</v>
      </c>
      <c r="BZ20" s="1200">
        <v>4189713</v>
      </c>
      <c r="CA20" s="972" t="s">
        <v>1638</v>
      </c>
      <c r="CC20" s="1200">
        <v>4189709</v>
      </c>
      <c r="CD20" s="972" t="s">
        <v>1639</v>
      </c>
    </row>
    <row r="21" spans="1:82" ht="21" customHeight="1">
      <c r="A21" s="978" t="s">
        <v>1640</v>
      </c>
      <c r="B21" s="979">
        <v>2019</v>
      </c>
      <c r="I21" s="980" t="s">
        <v>1641</v>
      </c>
      <c r="N21" s="1057" t="s">
        <v>1642</v>
      </c>
      <c r="AW21" s="1022" t="s">
        <v>1632</v>
      </c>
      <c r="AX21" s="1022" t="s">
        <v>1632</v>
      </c>
      <c r="AZ21" s="1022" t="s">
        <v>1643</v>
      </c>
      <c r="BB21" s="1022" t="s">
        <v>1644</v>
      </c>
      <c r="BC21" s="1022" t="s">
        <v>1451</v>
      </c>
      <c r="BE21" s="1022">
        <v>2019</v>
      </c>
      <c r="BH21" s="972" t="s">
        <v>1569</v>
      </c>
      <c r="BJ21" s="972" t="s">
        <v>1506</v>
      </c>
      <c r="BL21" s="972" t="s">
        <v>1506</v>
      </c>
      <c r="BQ21" s="1200">
        <v>4190066</v>
      </c>
      <c r="BR21" s="972" t="s">
        <v>1645</v>
      </c>
      <c r="BS21" s="1343"/>
      <c r="BT21" s="1200">
        <v>4189673</v>
      </c>
      <c r="BU21" s="972" t="s">
        <v>1646</v>
      </c>
      <c r="BV21" s="974"/>
      <c r="BW21" s="1605">
        <v>4189707</v>
      </c>
      <c r="BX21" s="1603" t="s">
        <v>1647</v>
      </c>
      <c r="BZ21" s="1200">
        <v>4189712</v>
      </c>
      <c r="CA21" s="972" t="s">
        <v>1648</v>
      </c>
      <c r="CC21" s="1200">
        <v>4189710</v>
      </c>
      <c r="CD21" s="972" t="s">
        <v>1649</v>
      </c>
    </row>
    <row r="22" spans="1:82" ht="21" customHeight="1">
      <c r="A22" s="978" t="s">
        <v>1650</v>
      </c>
      <c r="B22" s="979">
        <v>2020</v>
      </c>
      <c r="N22" s="1057" t="s">
        <v>1651</v>
      </c>
      <c r="AW22" s="1022" t="s">
        <v>1641</v>
      </c>
      <c r="AX22" s="1022" t="s">
        <v>1641</v>
      </c>
      <c r="AZ22" s="1022" t="s">
        <v>1652</v>
      </c>
      <c r="BB22" s="1022" t="s">
        <v>1653</v>
      </c>
      <c r="BC22" s="1022" t="s">
        <v>1451</v>
      </c>
      <c r="BE22" s="1022">
        <v>2020</v>
      </c>
      <c r="BH22" s="972" t="s">
        <v>1576</v>
      </c>
      <c r="BJ22" s="972" t="s">
        <v>1522</v>
      </c>
      <c r="BL22" s="972" t="s">
        <v>1522</v>
      </c>
      <c r="BQ22" s="1200">
        <v>4190067</v>
      </c>
      <c r="BR22" s="972" t="s">
        <v>1654</v>
      </c>
      <c r="BS22" s="1343"/>
      <c r="BT22" s="1200">
        <v>4189674</v>
      </c>
      <c r="BU22" s="972" t="s">
        <v>1655</v>
      </c>
      <c r="BV22" s="974"/>
      <c r="BW22" s="974"/>
      <c r="CC22" s="1200">
        <v>4189711</v>
      </c>
      <c r="CD22" s="972" t="s">
        <v>410</v>
      </c>
    </row>
    <row r="23" spans="1:82" ht="21" customHeight="1">
      <c r="A23" s="978" t="s">
        <v>1656</v>
      </c>
      <c r="B23" s="979">
        <v>2021</v>
      </c>
      <c r="AW23" s="1022" t="s">
        <v>1657</v>
      </c>
      <c r="AX23" s="1022" t="s">
        <v>1657</v>
      </c>
      <c r="AZ23" s="1022" t="s">
        <v>1658</v>
      </c>
      <c r="BB23" s="1022" t="s">
        <v>1659</v>
      </c>
      <c r="BC23" s="1022" t="s">
        <v>1363</v>
      </c>
      <c r="BE23" s="1022">
        <v>2021</v>
      </c>
      <c r="BH23" s="972" t="s">
        <v>1584</v>
      </c>
      <c r="BJ23" s="972" t="s">
        <v>1537</v>
      </c>
      <c r="BL23" s="972" t="s">
        <v>1537</v>
      </c>
      <c r="BQ23" s="1200">
        <v>4190068</v>
      </c>
      <c r="BR23" s="972" t="s">
        <v>1660</v>
      </c>
      <c r="BS23" s="1343"/>
      <c r="BT23" s="1200">
        <v>4189675</v>
      </c>
      <c r="BU23" s="972" t="s">
        <v>1661</v>
      </c>
      <c r="BV23" s="974"/>
      <c r="BW23" s="974"/>
      <c r="CC23" s="1200">
        <v>5110778</v>
      </c>
      <c r="CD23" s="972" t="s">
        <v>1662</v>
      </c>
    </row>
    <row r="24" spans="1:82" ht="21" customHeight="1">
      <c r="A24" s="978" t="s">
        <v>1663</v>
      </c>
      <c r="B24" s="979">
        <v>2022</v>
      </c>
      <c r="AW24" s="1022" t="s">
        <v>1664</v>
      </c>
      <c r="AX24" s="1022" t="s">
        <v>1664</v>
      </c>
      <c r="AZ24" s="1022" t="s">
        <v>1665</v>
      </c>
      <c r="BB24" s="1022" t="s">
        <v>1666</v>
      </c>
      <c r="BC24" s="1022" t="s">
        <v>1667</v>
      </c>
      <c r="BE24" s="1022">
        <v>2022</v>
      </c>
      <c r="BH24" s="972" t="s">
        <v>1593</v>
      </c>
      <c r="BJ24" s="972" t="s">
        <v>1551</v>
      </c>
      <c r="BL24" s="972" t="s">
        <v>1551</v>
      </c>
      <c r="BQ24" s="1200">
        <v>4190069</v>
      </c>
      <c r="BR24" s="972" t="s">
        <v>1668</v>
      </c>
      <c r="BS24" s="1343"/>
      <c r="BT24" s="1200">
        <v>4189676</v>
      </c>
      <c r="BU24" s="972" t="s">
        <v>1669</v>
      </c>
      <c r="BV24" s="974"/>
      <c r="BW24" s="974"/>
      <c r="CC24" s="1200">
        <v>25575374</v>
      </c>
      <c r="CD24" s="972" t="s">
        <v>1670</v>
      </c>
    </row>
    <row r="25" spans="1:82" ht="11.25" customHeight="1">
      <c r="A25" s="978" t="s">
        <v>1671</v>
      </c>
      <c r="B25" s="979">
        <v>2023</v>
      </c>
      <c r="AW25" s="1022" t="s">
        <v>1672</v>
      </c>
      <c r="AX25" s="1022" t="s">
        <v>1672</v>
      </c>
      <c r="AZ25" s="1022" t="s">
        <v>1673</v>
      </c>
      <c r="BB25" s="1022" t="s">
        <v>1674</v>
      </c>
      <c r="BC25" s="1022" t="s">
        <v>1667</v>
      </c>
      <c r="BE25" s="1022">
        <v>2023</v>
      </c>
      <c r="BH25" s="972" t="s">
        <v>1600</v>
      </c>
      <c r="BJ25" s="972" t="s">
        <v>1624</v>
      </c>
      <c r="BL25" s="972" t="s">
        <v>1624</v>
      </c>
      <c r="BQ25" s="1200">
        <v>4190070</v>
      </c>
      <c r="BR25" s="972" t="s">
        <v>1675</v>
      </c>
      <c r="BS25" s="1343"/>
      <c r="BT25" s="1200">
        <v>4189677</v>
      </c>
      <c r="BU25" s="972" t="s">
        <v>1676</v>
      </c>
      <c r="BV25" s="974"/>
      <c r="BW25" s="974"/>
    </row>
    <row r="26" spans="1:82" ht="11.25" customHeight="1">
      <c r="A26" s="978" t="s">
        <v>1677</v>
      </c>
      <c r="B26" s="979">
        <v>2024</v>
      </c>
      <c r="J26" s="1640" t="s">
        <v>1678</v>
      </c>
      <c r="AX26" s="1022" t="s">
        <v>1679</v>
      </c>
      <c r="AZ26" s="1022" t="s">
        <v>1544</v>
      </c>
      <c r="BB26" s="1022" t="s">
        <v>1680</v>
      </c>
      <c r="BC26" s="1022" t="s">
        <v>1667</v>
      </c>
      <c r="BE26" s="1022">
        <v>2024</v>
      </c>
      <c r="BH26" s="972" t="s">
        <v>1610</v>
      </c>
      <c r="BJ26" s="972" t="s">
        <v>1562</v>
      </c>
      <c r="BL26" s="972" t="s">
        <v>1562</v>
      </c>
      <c r="BQ26" s="1200">
        <v>4190071</v>
      </c>
      <c r="BR26" s="972" t="s">
        <v>1681</v>
      </c>
      <c r="BS26" s="1343"/>
      <c r="BV26" s="974"/>
      <c r="BW26" s="974"/>
    </row>
    <row r="27" spans="1:82" ht="11.25" customHeight="1">
      <c r="A27" s="978" t="s">
        <v>1682</v>
      </c>
      <c r="B27" s="979">
        <v>2025</v>
      </c>
      <c r="J27" s="97" t="s">
        <v>99</v>
      </c>
      <c r="AX27" s="1022" t="s">
        <v>1683</v>
      </c>
      <c r="BB27" s="1022" t="s">
        <v>1684</v>
      </c>
      <c r="BC27" s="1022" t="s">
        <v>1667</v>
      </c>
      <c r="BE27" s="1022">
        <v>2025</v>
      </c>
      <c r="BH27" s="974" t="s">
        <v>24</v>
      </c>
      <c r="BJ27" s="972" t="s">
        <v>1569</v>
      </c>
      <c r="BL27" s="972" t="s">
        <v>1569</v>
      </c>
      <c r="BN27" s="974" t="s">
        <v>24</v>
      </c>
      <c r="BQ27" s="1200">
        <v>4190072</v>
      </c>
      <c r="BR27" s="972" t="s">
        <v>1685</v>
      </c>
      <c r="BS27" s="1343"/>
      <c r="BV27" s="974"/>
      <c r="BW27" s="974"/>
    </row>
    <row r="28" spans="1:82" ht="11.25" customHeight="1">
      <c r="A28" s="978" t="s">
        <v>1686</v>
      </c>
      <c r="D28" s="1003"/>
      <c r="E28" s="1004"/>
      <c r="F28" s="1004"/>
      <c r="H28" s="1005" t="s">
        <v>1687</v>
      </c>
      <c r="AX28" s="1022" t="s">
        <v>1688</v>
      </c>
      <c r="AZ28" s="971" t="s">
        <v>1689</v>
      </c>
      <c r="BB28" s="1022" t="s">
        <v>1690</v>
      </c>
      <c r="BC28" s="1022" t="s">
        <v>1691</v>
      </c>
      <c r="BE28" s="1022">
        <v>2026</v>
      </c>
      <c r="BH28" s="974" t="s">
        <v>24</v>
      </c>
      <c r="BJ28" s="972" t="s">
        <v>1576</v>
      </c>
      <c r="BL28" s="972" t="s">
        <v>1576</v>
      </c>
      <c r="BN28" s="974" t="s">
        <v>24</v>
      </c>
      <c r="BQ28" s="1200">
        <v>4190073</v>
      </c>
      <c r="BR28" s="972" t="s">
        <v>1692</v>
      </c>
      <c r="BS28" s="1343"/>
      <c r="BV28" s="974"/>
      <c r="BW28" s="974"/>
    </row>
    <row r="29" spans="1:82" ht="11.25" customHeight="1">
      <c r="A29" s="978" t="s">
        <v>1693</v>
      </c>
      <c r="D29" s="1006" t="s">
        <v>1694</v>
      </c>
      <c r="E29" s="1007">
        <f>IF(TEMPLATE_GROUP="","",INDEX(StartDateList,MATCH(TEMPLATE_GROUP,CodeTemplateList,0),1))</f>
        <v>44927.338067129633</v>
      </c>
      <c r="F29" s="1007">
        <f>IF(TEMPLATE_GROUP="","",INDEX(EndDateList,MATCH(TEMPLATE_GROUP,CodeTemplateList,0),1))</f>
        <v>46752.338194444441</v>
      </c>
      <c r="H29" s="1008" t="s">
        <v>1695</v>
      </c>
      <c r="AX29" s="1022" t="s">
        <v>1696</v>
      </c>
      <c r="AZ29" s="1022" t="s">
        <v>1347</v>
      </c>
      <c r="BB29" s="1022" t="s">
        <v>1544</v>
      </c>
      <c r="BC29" s="994"/>
      <c r="BE29" s="1022">
        <v>2027</v>
      </c>
      <c r="BJ29" s="972" t="s">
        <v>1584</v>
      </c>
      <c r="BL29" s="972" t="s">
        <v>1584</v>
      </c>
    </row>
    <row r="30" spans="1:82" ht="11.25" customHeight="1">
      <c r="A30" s="978" t="s">
        <v>1697</v>
      </c>
      <c r="D30" s="1009"/>
      <c r="E30" s="1010"/>
      <c r="F30" s="1010"/>
      <c r="AX30" s="1022" t="s">
        <v>1698</v>
      </c>
      <c r="AZ30" s="1022" t="s">
        <v>1373</v>
      </c>
      <c r="BE30" s="1022">
        <v>2028</v>
      </c>
      <c r="BJ30" s="972" t="s">
        <v>1699</v>
      </c>
      <c r="BL30" s="972" t="s">
        <v>1699</v>
      </c>
    </row>
    <row r="31" spans="1:82" ht="12.75" customHeight="1">
      <c r="A31" s="978" t="s">
        <v>1700</v>
      </c>
      <c r="D31" s="1003"/>
      <c r="E31" s="1004"/>
      <c r="F31" s="1004"/>
      <c r="H31" s="1011"/>
      <c r="AX31" s="1022" t="s">
        <v>1701</v>
      </c>
      <c r="AZ31" s="1022" t="s">
        <v>567</v>
      </c>
      <c r="BE31" s="1022">
        <v>2029</v>
      </c>
      <c r="BJ31" s="972" t="s">
        <v>1702</v>
      </c>
      <c r="BL31" s="972" t="s">
        <v>1702</v>
      </c>
    </row>
    <row r="32" spans="1:82" ht="11.25" customHeight="1">
      <c r="A32" s="978" t="s">
        <v>1703</v>
      </c>
      <c r="D32" s="1006" t="s">
        <v>1704</v>
      </c>
      <c r="E32" s="1007">
        <f>IF(TEMPLATE_GROUP="","",INDEX(StartDateList,MATCH(TEMPLATE_GROUP,CodeTemplateList,0),1))</f>
        <v>44927.338067129633</v>
      </c>
      <c r="F32" s="1007">
        <f>IF(TEMPLATE_GROUP="","",INDEX(EndDateList,MATCH(TEMPLATE_GROUP,CodeTemplateList,0),1))</f>
        <v>46752.338194444441</v>
      </c>
      <c r="H32" s="1012" t="s">
        <v>1705</v>
      </c>
      <c r="O32" s="978" t="s">
        <v>566</v>
      </c>
      <c r="AX32" s="1022" t="s">
        <v>1706</v>
      </c>
      <c r="AZ32" s="1022" t="s">
        <v>569</v>
      </c>
      <c r="BE32" s="1022">
        <v>2030</v>
      </c>
      <c r="BJ32" s="972" t="s">
        <v>1593</v>
      </c>
      <c r="BL32" s="972" t="s">
        <v>1593</v>
      </c>
    </row>
    <row r="33" spans="1:66" ht="11.25" customHeight="1">
      <c r="A33" s="978" t="s">
        <v>1707</v>
      </c>
      <c r="O33" s="978" t="s">
        <v>1372</v>
      </c>
      <c r="AX33" s="1022" t="s">
        <v>1708</v>
      </c>
      <c r="AZ33" s="1022" t="s">
        <v>565</v>
      </c>
      <c r="BE33" s="1022">
        <v>2031</v>
      </c>
      <c r="BJ33" s="972" t="s">
        <v>1600</v>
      </c>
      <c r="BL33" s="972" t="s">
        <v>1600</v>
      </c>
    </row>
    <row r="34" spans="1:66" ht="11.25" customHeight="1">
      <c r="A34" s="978" t="s">
        <v>1709</v>
      </c>
      <c r="O34" s="978" t="s">
        <v>1405</v>
      </c>
      <c r="AX34" s="1022" t="s">
        <v>1710</v>
      </c>
      <c r="BE34" s="1022">
        <v>2032</v>
      </c>
      <c r="BJ34" s="972" t="s">
        <v>1610</v>
      </c>
      <c r="BL34" s="972" t="s">
        <v>1610</v>
      </c>
    </row>
    <row r="35" spans="1:66" ht="11.25" customHeight="1">
      <c r="A35" s="978" t="s">
        <v>1711</v>
      </c>
      <c r="O35" s="978" t="s">
        <v>1438</v>
      </c>
      <c r="AX35" s="1022" t="s">
        <v>105</v>
      </c>
      <c r="AZ35" s="971" t="s">
        <v>1712</v>
      </c>
      <c r="BE35" s="1022">
        <v>2033</v>
      </c>
      <c r="BL35" s="972" t="s">
        <v>1713</v>
      </c>
    </row>
    <row r="36" spans="1:66" ht="11.25" customHeight="1">
      <c r="A36" s="1778" t="s">
        <v>1714</v>
      </c>
      <c r="D36" s="1013" t="s">
        <v>1715</v>
      </c>
      <c r="E36" s="1014" t="s">
        <v>836</v>
      </c>
      <c r="F36" s="1015" t="str">
        <f>INDEX(E37:E41,MATCH(TEMPLATE_SPHERE,F37:F41,0))</f>
        <v>теплоснабжения</v>
      </c>
      <c r="G36" s="1015" t="str">
        <f>INDEX(G37:G41,MATCH(TEMPLATE_SPHERE,F37:F41,0))</f>
        <v>теплоснабжение</v>
      </c>
      <c r="O36" s="978" t="s">
        <v>1462</v>
      </c>
      <c r="AX36" s="1022" t="s">
        <v>1716</v>
      </c>
      <c r="AZ36" s="1022" t="s">
        <v>565</v>
      </c>
      <c r="BE36" s="1022">
        <v>2034</v>
      </c>
      <c r="BL36" s="972" t="s">
        <v>1717</v>
      </c>
    </row>
    <row r="37" spans="1:66" ht="11.25" customHeight="1">
      <c r="A37" s="978" t="s">
        <v>1718</v>
      </c>
      <c r="E37" s="340" t="s">
        <v>1719</v>
      </c>
      <c r="F37" s="1016" t="s">
        <v>836</v>
      </c>
      <c r="G37" s="340" t="s">
        <v>1720</v>
      </c>
      <c r="O37" s="978" t="s">
        <v>1481</v>
      </c>
      <c r="AX37" s="1022" t="s">
        <v>1721</v>
      </c>
      <c r="AZ37" s="1022" t="s">
        <v>564</v>
      </c>
      <c r="BE37" s="1022">
        <v>2035</v>
      </c>
    </row>
    <row r="38" spans="1:66" ht="11.25" customHeight="1">
      <c r="A38" s="978" t="s">
        <v>1722</v>
      </c>
      <c r="E38" s="340" t="s">
        <v>1723</v>
      </c>
      <c r="F38" s="1017" t="s">
        <v>882</v>
      </c>
      <c r="G38" s="340" t="s">
        <v>1724</v>
      </c>
      <c r="O38" s="978" t="s">
        <v>1497</v>
      </c>
      <c r="AX38" s="1022" t="s">
        <v>1725</v>
      </c>
      <c r="AZ38" s="1022" t="s">
        <v>1406</v>
      </c>
      <c r="BE38" s="1022">
        <v>2036</v>
      </c>
      <c r="BH38" s="971" t="s">
        <v>1726</v>
      </c>
      <c r="BJ38" s="971" t="s">
        <v>1727</v>
      </c>
      <c r="BL38" s="971" t="s">
        <v>1728</v>
      </c>
      <c r="BN38" s="971" t="s">
        <v>1729</v>
      </c>
    </row>
    <row r="39" spans="1:66" ht="11.25" customHeight="1">
      <c r="A39" s="978" t="s">
        <v>14</v>
      </c>
      <c r="E39" s="340" t="s">
        <v>1730</v>
      </c>
      <c r="F39" s="1017" t="s">
        <v>934</v>
      </c>
      <c r="G39" s="340" t="s">
        <v>1731</v>
      </c>
      <c r="O39" s="978" t="s">
        <v>1513</v>
      </c>
      <c r="AX39" s="1022" t="s">
        <v>1732</v>
      </c>
      <c r="AZ39" s="1022" t="s">
        <v>1439</v>
      </c>
      <c r="BE39" s="1022">
        <v>2037</v>
      </c>
      <c r="BH39" s="972" t="s">
        <v>1733</v>
      </c>
      <c r="BJ39" s="1120" t="s">
        <v>1733</v>
      </c>
      <c r="BL39" s="1120" t="s">
        <v>1733</v>
      </c>
      <c r="BN39" s="972" t="s">
        <v>1734</v>
      </c>
    </row>
    <row r="40" spans="1:66" ht="11.25" customHeight="1">
      <c r="A40" s="978" t="s">
        <v>1735</v>
      </c>
      <c r="E40" s="340" t="s">
        <v>1736</v>
      </c>
      <c r="F40" s="1017" t="s">
        <v>920</v>
      </c>
      <c r="G40" s="340" t="s">
        <v>1737</v>
      </c>
      <c r="O40" s="978" t="s">
        <v>584</v>
      </c>
      <c r="AX40" s="1022" t="s">
        <v>1738</v>
      </c>
      <c r="BE40" s="1022">
        <v>2038</v>
      </c>
      <c r="BH40" s="972" t="s">
        <v>1739</v>
      </c>
      <c r="BJ40" s="1120" t="s">
        <v>1055</v>
      </c>
      <c r="BL40" s="1120" t="s">
        <v>1055</v>
      </c>
      <c r="BN40" s="972" t="s">
        <v>1089</v>
      </c>
    </row>
    <row r="41" spans="1:66" ht="11.25" customHeight="1">
      <c r="A41" s="978" t="s">
        <v>1740</v>
      </c>
      <c r="E41" s="340" t="s">
        <v>1741</v>
      </c>
      <c r="F41" s="1017" t="s">
        <v>1742</v>
      </c>
      <c r="G41" s="340" t="s">
        <v>1741</v>
      </c>
      <c r="O41" s="978" t="s">
        <v>1544</v>
      </c>
      <c r="AX41" s="1022" t="s">
        <v>1743</v>
      </c>
      <c r="AZ41" s="971" t="s">
        <v>1744</v>
      </c>
      <c r="BE41" s="1022">
        <v>2039</v>
      </c>
      <c r="BH41" s="972" t="s">
        <v>1745</v>
      </c>
      <c r="BJ41" s="1120" t="s">
        <v>1051</v>
      </c>
      <c r="BL41" s="1120" t="s">
        <v>1051</v>
      </c>
      <c r="BN41" s="972" t="s">
        <v>1076</v>
      </c>
    </row>
    <row r="42" spans="1:66" ht="11.25" customHeight="1">
      <c r="A42" s="978" t="s">
        <v>1746</v>
      </c>
      <c r="AX42" s="1022" t="s">
        <v>1747</v>
      </c>
      <c r="AZ42" s="1022" t="s">
        <v>566</v>
      </c>
      <c r="BE42" s="1022">
        <v>2040</v>
      </c>
      <c r="BH42" s="972" t="s">
        <v>1073</v>
      </c>
      <c r="BJ42" s="1120" t="s">
        <v>1053</v>
      </c>
      <c r="BL42" s="1120" t="s">
        <v>1053</v>
      </c>
      <c r="BN42" s="972" t="s">
        <v>1748</v>
      </c>
    </row>
    <row r="43" spans="1:66" ht="11.25" customHeight="1">
      <c r="A43" s="978" t="s">
        <v>1749</v>
      </c>
      <c r="AX43" s="1022" t="s">
        <v>1750</v>
      </c>
      <c r="AZ43" s="1022" t="s">
        <v>1372</v>
      </c>
      <c r="BE43" s="1022">
        <v>2041</v>
      </c>
      <c r="BH43" s="972" t="s">
        <v>1751</v>
      </c>
      <c r="BJ43" s="1120" t="s">
        <v>1745</v>
      </c>
      <c r="BL43" s="1120" t="s">
        <v>1745</v>
      </c>
      <c r="BN43" s="972" t="s">
        <v>1752</v>
      </c>
    </row>
    <row r="44" spans="1:66" ht="11.25" customHeight="1">
      <c r="A44" s="978" t="s">
        <v>1753</v>
      </c>
      <c r="I44" s="715" t="s">
        <v>1754</v>
      </c>
      <c r="J44" s="993" t="s">
        <v>1755</v>
      </c>
      <c r="K44" s="993" t="s">
        <v>1756</v>
      </c>
      <c r="AX44" s="1022" t="s">
        <v>94</v>
      </c>
      <c r="AZ44" s="1022" t="s">
        <v>1405</v>
      </c>
      <c r="BE44" s="1022">
        <v>2042</v>
      </c>
      <c r="BH44" s="972" t="s">
        <v>1757</v>
      </c>
      <c r="BJ44" s="1120" t="s">
        <v>1073</v>
      </c>
      <c r="BL44" s="1120" t="s">
        <v>1073</v>
      </c>
      <c r="BN44" s="972" t="s">
        <v>1758</v>
      </c>
    </row>
    <row r="45" spans="1:66" ht="11.25" customHeight="1">
      <c r="A45" s="978" t="s">
        <v>1759</v>
      </c>
      <c r="D45" s="1013" t="s">
        <v>1760</v>
      </c>
      <c r="E45" s="1014" t="s">
        <v>1761</v>
      </c>
      <c r="F45" s="713" t="s">
        <v>1762</v>
      </c>
      <c r="G45" s="712" t="s">
        <v>1763</v>
      </c>
      <c r="H45" s="715" t="s">
        <v>1764</v>
      </c>
      <c r="I45" s="1648" t="b">
        <f>INDEX(PeriodIsEmptyList,MATCH(TEMPLATE_GROUP,CodeTemplateList,0),1)</f>
        <v>0</v>
      </c>
      <c r="J45" s="1651" t="str">
        <f>INDEX(NameTemplatesInTitleList,MATCH(TEMPLATE_GROUP,CodeTemplateList,0),1)</f>
        <v>Показатели, подлежащие раскрытию в сфере теплоснабжения (цены и тарифы)</v>
      </c>
      <c r="K45" s="16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101</v>
      </c>
      <c r="AZ45" s="1022" t="s">
        <v>1438</v>
      </c>
      <c r="BE45" s="1022">
        <v>2043</v>
      </c>
      <c r="BH45" s="972" t="s">
        <v>1765</v>
      </c>
      <c r="BJ45" s="1120" t="s">
        <v>1067</v>
      </c>
      <c r="BL45" s="1120" t="s">
        <v>1067</v>
      </c>
      <c r="BN45" s="972" t="s">
        <v>1766</v>
      </c>
    </row>
    <row r="46" spans="1:66" ht="11.25" customHeight="1">
      <c r="A46" s="978" t="s">
        <v>1767</v>
      </c>
      <c r="E46" s="340" t="s">
        <v>22</v>
      </c>
      <c r="F46" s="1016" t="s">
        <v>1768</v>
      </c>
      <c r="G46" s="1018"/>
      <c r="H46" s="1018"/>
      <c r="I46" s="1649" t="b">
        <f>IF(TITLE_DATE_FIL="",TRUE,FALSE)</f>
        <v>1</v>
      </c>
      <c r="J46" s="1652" t="str">
        <f>"Общая информация о регулируемой организации ("&amp;TEMPLATE_SPHERE_RUS&amp;")"</f>
        <v>Общая информация о регулируемой организации (теплоснабжения)</v>
      </c>
      <c r="K46" s="1653"/>
      <c r="AX46" s="1022" t="s">
        <v>1769</v>
      </c>
      <c r="AZ46" s="1022" t="s">
        <v>1462</v>
      </c>
      <c r="BE46" s="1022">
        <v>2044</v>
      </c>
      <c r="BH46" s="972" t="s">
        <v>1076</v>
      </c>
      <c r="BJ46" s="1120" t="s">
        <v>1057</v>
      </c>
      <c r="BL46" s="1120" t="s">
        <v>1057</v>
      </c>
      <c r="BN46" s="972" t="s">
        <v>1770</v>
      </c>
    </row>
    <row r="47" spans="1:66" ht="11.25" customHeight="1">
      <c r="A47" s="978" t="s">
        <v>1771</v>
      </c>
      <c r="E47" s="340" t="s">
        <v>29</v>
      </c>
      <c r="F47" s="1017" t="s">
        <v>1772</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0" t="b">
        <f>IF(OR(f_year="",f_quart=""),TRUE,FALSE)</f>
        <v>1</v>
      </c>
      <c r="J47" s="16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3"/>
      <c r="AX47" s="1022" t="s">
        <v>1773</v>
      </c>
      <c r="AZ47" s="1022" t="s">
        <v>1481</v>
      </c>
      <c r="BE47" s="1022">
        <v>2045</v>
      </c>
      <c r="BH47" s="972" t="s">
        <v>1748</v>
      </c>
      <c r="BJ47" s="1120" t="s">
        <v>1059</v>
      </c>
      <c r="BL47" s="1120" t="s">
        <v>1059</v>
      </c>
      <c r="BN47" s="972" t="s">
        <v>1774</v>
      </c>
    </row>
    <row r="48" spans="1:66" ht="11.25" customHeight="1">
      <c r="A48" s="978" t="s">
        <v>1775</v>
      </c>
      <c r="E48" s="340" t="s">
        <v>1776</v>
      </c>
      <c r="F48" s="1017" t="s">
        <v>1777</v>
      </c>
      <c r="G48" s="1019" t="str">
        <f>IF(f_year="","","01.01."&amp;f_year)</f>
        <v/>
      </c>
      <c r="H48" s="1019" t="str">
        <f>IF(f_year="","","31.12."&amp;f_year)</f>
        <v/>
      </c>
      <c r="I48" s="1649" t="b">
        <f>IF(f_year="",TRUE,FALSE)</f>
        <v>1</v>
      </c>
      <c r="J48" s="1652" t="s">
        <v>1778</v>
      </c>
      <c r="K48" s="1653"/>
      <c r="AX48" s="1022" t="s">
        <v>1779</v>
      </c>
      <c r="AZ48" s="1022" t="s">
        <v>1497</v>
      </c>
      <c r="BE48" s="1022">
        <v>2046</v>
      </c>
      <c r="BH48" s="972" t="s">
        <v>1752</v>
      </c>
      <c r="BJ48" s="1120" t="s">
        <v>1061</v>
      </c>
      <c r="BL48" s="1120" t="s">
        <v>1061</v>
      </c>
      <c r="BN48" s="972" t="s">
        <v>1780</v>
      </c>
    </row>
    <row r="49" spans="1:64" ht="11.25" customHeight="1">
      <c r="A49" s="978" t="s">
        <v>1781</v>
      </c>
      <c r="E49" s="340" t="s">
        <v>1782</v>
      </c>
      <c r="F49" s="1017" t="s">
        <v>1783</v>
      </c>
      <c r="G49" s="1019" t="str">
        <f>IF(f_year="","","01.01."&amp;f_year)</f>
        <v/>
      </c>
      <c r="H49" s="1019" t="str">
        <f>IF(f_year="","","31.12."&amp;f_year)</f>
        <v/>
      </c>
      <c r="I49" s="1649" t="b">
        <f>IF(f_year="",TRUE,FALSE)</f>
        <v>1</v>
      </c>
      <c r="J49" s="16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3"/>
      <c r="AX49" s="1022" t="s">
        <v>1784</v>
      </c>
      <c r="AZ49" s="1022" t="s">
        <v>1513</v>
      </c>
      <c r="BE49" s="1022">
        <v>2047</v>
      </c>
      <c r="BH49" s="972" t="s">
        <v>1077</v>
      </c>
      <c r="BJ49" s="1120" t="s">
        <v>1063</v>
      </c>
      <c r="BL49" s="1120" t="s">
        <v>1063</v>
      </c>
    </row>
    <row r="50" spans="1:64" ht="11.25" customHeight="1">
      <c r="A50" s="978" t="s">
        <v>1785</v>
      </c>
      <c r="E50" s="340" t="s">
        <v>1786</v>
      </c>
      <c r="F50" s="1017" t="s">
        <v>1047</v>
      </c>
      <c r="G50" s="1019" t="str">
        <f>IF(f_year="","","01.01."&amp;f_year)</f>
        <v/>
      </c>
      <c r="H50" s="1019" t="str">
        <f>IF(f_year="","","31.12."&amp;f_year)</f>
        <v/>
      </c>
      <c r="I50" s="1649" t="b">
        <f>IF(f_year="",TRUE,FALSE)</f>
        <v>1</v>
      </c>
      <c r="J50" s="16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3"/>
      <c r="AX50" s="1022" t="s">
        <v>1787</v>
      </c>
      <c r="AZ50" s="1022" t="s">
        <v>584</v>
      </c>
      <c r="BE50" s="1022">
        <v>2048</v>
      </c>
      <c r="BH50" s="972" t="s">
        <v>1758</v>
      </c>
      <c r="BJ50" s="1120" t="s">
        <v>1065</v>
      </c>
      <c r="BL50" s="1120" t="s">
        <v>1065</v>
      </c>
    </row>
    <row r="51" spans="1:64" ht="11.25" customHeight="1">
      <c r="A51" s="978" t="s">
        <v>1788</v>
      </c>
      <c r="E51" s="340" t="s">
        <v>1789</v>
      </c>
      <c r="F51" s="1017" t="s">
        <v>1790</v>
      </c>
      <c r="G51" s="1019">
        <f>IF(TITLE_PERIOD_START="","",TITLE_PERIOD_START)</f>
        <v>44927.338067129633</v>
      </c>
      <c r="H51" s="1019">
        <f>IF(TITLE_PERIOD_END="","",TITLE_PERIOD_END)</f>
        <v>46752.338194444441</v>
      </c>
      <c r="I51" s="1650" t="b">
        <f>IF(OR(TITLE_PERIOD_START="",TITLE_PERIOD_END=""),TRUE,FALSE)</f>
        <v>0</v>
      </c>
      <c r="J51" s="16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3"/>
      <c r="AX51" s="1022" t="s">
        <v>1791</v>
      </c>
      <c r="AZ51" s="1022" t="s">
        <v>1544</v>
      </c>
      <c r="BE51" s="1022">
        <v>2049</v>
      </c>
      <c r="BH51" s="972" t="s">
        <v>1766</v>
      </c>
      <c r="BJ51" s="1120" t="s">
        <v>1792</v>
      </c>
      <c r="BL51" s="1120" t="s">
        <v>1792</v>
      </c>
    </row>
    <row r="52" spans="1:64" ht="11.25" customHeight="1">
      <c r="A52" s="978" t="s">
        <v>1793</v>
      </c>
      <c r="E52" s="340" t="s">
        <v>1794</v>
      </c>
      <c r="F52" s="1017" t="s">
        <v>1761</v>
      </c>
      <c r="G52" s="1019">
        <f>IF(TITLE_PERIOD_START="","",TITLE_PERIOD_START)</f>
        <v>44927.338067129633</v>
      </c>
      <c r="H52" s="1019">
        <f>IF(TITLE_PERIOD_END="","",TITLE_PERIOD_END)</f>
        <v>46752.338194444441</v>
      </c>
      <c r="I52" s="1650" t="b">
        <f>IF(OR(TITLE_PERIOD_START="",TITLE_PERIOD_END=""),TRUE,FALSE)</f>
        <v>0</v>
      </c>
      <c r="J52" s="1652" t="str">
        <f>"Показатели, подлежащие раскрытию в сфере "&amp;TEMPLATE_SPHERE_RUS&amp;" (цены и тарифы)"</f>
        <v>Показатели, подлежащие раскрытию в сфере теплоснабжения (цены и тарифы)</v>
      </c>
      <c r="K52" s="1653"/>
      <c r="AX52" s="1022" t="s">
        <v>1795</v>
      </c>
      <c r="AZ52" s="1022" t="s">
        <v>565</v>
      </c>
      <c r="BE52" s="1022">
        <v>2050</v>
      </c>
      <c r="BH52" s="972" t="s">
        <v>1770</v>
      </c>
      <c r="BJ52" s="1120" t="s">
        <v>1076</v>
      </c>
      <c r="BL52" s="1120" t="s">
        <v>1076</v>
      </c>
    </row>
    <row r="53" spans="1:64" ht="11.25" customHeight="1">
      <c r="A53" s="978" t="s">
        <v>1796</v>
      </c>
      <c r="E53" s="340" t="s">
        <v>1797</v>
      </c>
      <c r="F53" s="1017" t="s">
        <v>1797</v>
      </c>
      <c r="G53" s="1019" t="str">
        <f>IF(f_year="","","01.01."&amp;f_year)</f>
        <v/>
      </c>
      <c r="H53" s="1019" t="str">
        <f>IF(f_year="","","31.12."&amp;f_year)</f>
        <v/>
      </c>
      <c r="I53" s="1649" t="b">
        <f>IF(AND(f_year="",TITLE_DATE_FIL=""),TRUE,FALSE)</f>
        <v>1</v>
      </c>
      <c r="J53" s="1652" t="s">
        <v>1798</v>
      </c>
      <c r="K53" s="1653"/>
      <c r="AX53" s="1022" t="s">
        <v>1799</v>
      </c>
      <c r="BE53" s="1022">
        <v>2051</v>
      </c>
      <c r="BH53" s="972" t="s">
        <v>1774</v>
      </c>
      <c r="BJ53" s="1120" t="s">
        <v>1748</v>
      </c>
      <c r="BL53" s="1120" t="s">
        <v>1748</v>
      </c>
    </row>
    <row r="54" spans="1:64" ht="11.25" customHeight="1">
      <c r="A54" s="978" t="s">
        <v>1800</v>
      </c>
      <c r="AX54" s="1022" t="s">
        <v>1801</v>
      </c>
      <c r="AZ54" s="971" t="s">
        <v>1802</v>
      </c>
      <c r="BE54" s="1022">
        <v>2052</v>
      </c>
      <c r="BH54" s="972" t="s">
        <v>1780</v>
      </c>
      <c r="BJ54" s="1120" t="s">
        <v>1752</v>
      </c>
      <c r="BL54" s="1120" t="s">
        <v>1752</v>
      </c>
    </row>
    <row r="55" spans="1:64" ht="11.25" customHeight="1">
      <c r="A55" s="978" t="s">
        <v>1803</v>
      </c>
      <c r="AX55" s="1022" t="s">
        <v>1804</v>
      </c>
      <c r="AZ55" s="1022" t="s">
        <v>1348</v>
      </c>
      <c r="BE55" s="1022">
        <v>2053</v>
      </c>
      <c r="BH55" s="974" t="s">
        <v>24</v>
      </c>
      <c r="BJ55" s="1120" t="s">
        <v>1077</v>
      </c>
      <c r="BL55" s="1120" t="s">
        <v>1077</v>
      </c>
    </row>
    <row r="56" spans="1:64" ht="11.25" customHeight="1">
      <c r="A56" s="978" t="s">
        <v>1805</v>
      </c>
      <c r="D56" s="1021" t="s">
        <v>1806</v>
      </c>
      <c r="E56" s="998">
        <v>57</v>
      </c>
      <c r="F56" s="978" t="s">
        <v>1807</v>
      </c>
      <c r="AX56" s="1022" t="s">
        <v>1808</v>
      </c>
      <c r="AZ56" s="1022" t="s">
        <v>1374</v>
      </c>
      <c r="BE56" s="1022">
        <v>2054</v>
      </c>
      <c r="BH56" s="974" t="s">
        <v>24</v>
      </c>
      <c r="BJ56" s="1120" t="s">
        <v>1758</v>
      </c>
      <c r="BL56" s="1120" t="s">
        <v>1758</v>
      </c>
    </row>
    <row r="57" spans="1:64" ht="11.25" customHeight="1">
      <c r="A57" s="978" t="s">
        <v>1809</v>
      </c>
      <c r="D57" s="1021" t="s">
        <v>1810</v>
      </c>
      <c r="E57" s="998">
        <v>66</v>
      </c>
      <c r="F57" s="978" t="s">
        <v>1807</v>
      </c>
      <c r="AX57" s="1022" t="s">
        <v>1811</v>
      </c>
      <c r="AZ57" s="1022" t="s">
        <v>1408</v>
      </c>
      <c r="BE57" s="1022">
        <v>2055</v>
      </c>
      <c r="BJ57" s="1120" t="s">
        <v>1766</v>
      </c>
      <c r="BL57" s="1120" t="s">
        <v>1766</v>
      </c>
    </row>
    <row r="58" spans="1:64" ht="11.25" customHeight="1">
      <c r="A58" s="978" t="s">
        <v>1812</v>
      </c>
      <c r="D58" s="1021" t="s">
        <v>1813</v>
      </c>
      <c r="E58" s="998">
        <v>44</v>
      </c>
      <c r="F58" s="978" t="s">
        <v>1807</v>
      </c>
      <c r="AX58" s="1022" t="s">
        <v>1814</v>
      </c>
      <c r="BE58" s="1022">
        <v>2056</v>
      </c>
      <c r="BJ58" s="1120" t="s">
        <v>1770</v>
      </c>
      <c r="BL58" s="1120" t="s">
        <v>1770</v>
      </c>
    </row>
    <row r="59" spans="1:64" ht="11.25" customHeight="1">
      <c r="A59" s="978" t="s">
        <v>1815</v>
      </c>
      <c r="D59" s="1021" t="s">
        <v>135</v>
      </c>
      <c r="E59" s="998" t="s">
        <v>1641</v>
      </c>
      <c r="F59" s="978" t="s">
        <v>1816</v>
      </c>
      <c r="AX59" s="1022" t="s">
        <v>1817</v>
      </c>
      <c r="AZ59" s="971" t="s">
        <v>1818</v>
      </c>
      <c r="BE59" s="1022">
        <v>2057</v>
      </c>
      <c r="BJ59" s="1120" t="s">
        <v>1774</v>
      </c>
      <c r="BL59" s="1120" t="s">
        <v>1774</v>
      </c>
    </row>
    <row r="60" spans="1:64" ht="11.25" customHeight="1">
      <c r="A60" s="978" t="s">
        <v>1819</v>
      </c>
      <c r="D60" s="1021" t="s">
        <v>1820</v>
      </c>
      <c r="E60" s="998" t="s">
        <v>1641</v>
      </c>
      <c r="F60" s="978" t="s">
        <v>1816</v>
      </c>
      <c r="AX60" s="1022" t="s">
        <v>1821</v>
      </c>
      <c r="AZ60" s="1022" t="s">
        <v>1349</v>
      </c>
      <c r="BE60" s="1022">
        <v>2058</v>
      </c>
      <c r="BJ60" s="1120" t="s">
        <v>1780</v>
      </c>
      <c r="BL60" s="1120" t="s">
        <v>1780</v>
      </c>
    </row>
    <row r="61" spans="1:64" ht="11.25" customHeight="1">
      <c r="A61" s="978" t="s">
        <v>1822</v>
      </c>
      <c r="D61" s="1021" t="s">
        <v>1823</v>
      </c>
      <c r="E61" s="998">
        <v>46</v>
      </c>
      <c r="F61" s="978" t="s">
        <v>1816</v>
      </c>
      <c r="AX61" s="1022" t="s">
        <v>1824</v>
      </c>
      <c r="AZ61" s="1022" t="s">
        <v>1375</v>
      </c>
      <c r="BE61" s="1022">
        <v>2059</v>
      </c>
      <c r="BL61" s="1120" t="s">
        <v>1069</v>
      </c>
    </row>
    <row r="62" spans="1:64" ht="11.25" customHeight="1">
      <c r="A62" s="978" t="s">
        <v>1825</v>
      </c>
      <c r="D62" s="1021" t="s">
        <v>134</v>
      </c>
      <c r="E62" s="998">
        <v>59</v>
      </c>
      <c r="F62" s="978" t="s">
        <v>1816</v>
      </c>
      <c r="AZ62" s="1022" t="s">
        <v>1409</v>
      </c>
      <c r="BE62" s="1022">
        <v>2060</v>
      </c>
      <c r="BL62" s="1120" t="s">
        <v>1071</v>
      </c>
    </row>
    <row r="63" spans="1:64" ht="11.25" customHeight="1">
      <c r="A63" s="978" t="s">
        <v>1826</v>
      </c>
      <c r="D63" s="1021" t="s">
        <v>1827</v>
      </c>
      <c r="E63" s="998">
        <v>59</v>
      </c>
      <c r="F63" s="978" t="s">
        <v>1816</v>
      </c>
      <c r="AZ63" s="1022" t="s">
        <v>1440</v>
      </c>
      <c r="BE63" s="1022">
        <v>2061</v>
      </c>
    </row>
    <row r="64" spans="1:64" ht="11.25" customHeight="1">
      <c r="A64" s="978" t="s">
        <v>1828</v>
      </c>
      <c r="D64" s="1021" t="s">
        <v>1829</v>
      </c>
      <c r="E64" s="998">
        <v>59</v>
      </c>
      <c r="F64" s="978" t="s">
        <v>1816</v>
      </c>
      <c r="AZ64" s="1022" t="s">
        <v>1463</v>
      </c>
      <c r="BE64" s="1022">
        <v>2062</v>
      </c>
    </row>
    <row r="65" spans="1:66" ht="11.25" customHeight="1">
      <c r="A65" s="978" t="s">
        <v>1830</v>
      </c>
      <c r="D65" s="978"/>
      <c r="BE65" s="1022">
        <v>2063</v>
      </c>
    </row>
    <row r="66" spans="1:66" ht="11.25" customHeight="1">
      <c r="A66" s="978" t="s">
        <v>1831</v>
      </c>
      <c r="AZ66" s="971" t="s">
        <v>1832</v>
      </c>
      <c r="BE66" s="1022">
        <v>2064</v>
      </c>
    </row>
    <row r="67" spans="1:66" ht="11.25" customHeight="1">
      <c r="A67" s="978" t="s">
        <v>1833</v>
      </c>
      <c r="AZ67" s="1022" t="s">
        <v>1350</v>
      </c>
      <c r="BE67" s="1022">
        <v>2065</v>
      </c>
    </row>
    <row r="68" spans="1:66" ht="11.25" customHeight="1">
      <c r="A68" s="978" t="s">
        <v>1834</v>
      </c>
      <c r="AZ68" s="1022" t="s">
        <v>1376</v>
      </c>
      <c r="BE68" s="1022">
        <v>2066</v>
      </c>
      <c r="BH68" s="971" t="s">
        <v>1835</v>
      </c>
      <c r="BJ68" s="971" t="s">
        <v>1836</v>
      </c>
      <c r="BL68" s="971" t="s">
        <v>1837</v>
      </c>
      <c r="BN68" s="971" t="s">
        <v>1838</v>
      </c>
    </row>
    <row r="69" spans="1:66" ht="11.25" customHeight="1">
      <c r="A69" s="978" t="s">
        <v>1839</v>
      </c>
      <c r="AZ69" s="1022" t="s">
        <v>1410</v>
      </c>
      <c r="BE69" s="1022">
        <v>2067</v>
      </c>
      <c r="BH69" s="972" t="s">
        <v>1840</v>
      </c>
      <c r="BI69" s="1020" t="s">
        <v>114</v>
      </c>
      <c r="BJ69" s="972" t="s">
        <v>1841</v>
      </c>
      <c r="BK69" s="1020" t="s">
        <v>114</v>
      </c>
      <c r="BL69" s="972" t="s">
        <v>1842</v>
      </c>
      <c r="BN69" s="972" t="s">
        <v>1843</v>
      </c>
    </row>
    <row r="70" spans="1:66" ht="11.25" customHeight="1">
      <c r="A70" s="978" t="s">
        <v>1844</v>
      </c>
      <c r="AZ70" s="1022" t="s">
        <v>1441</v>
      </c>
      <c r="BE70" s="1022">
        <v>2068</v>
      </c>
      <c r="BH70" s="972" t="s">
        <v>1845</v>
      </c>
      <c r="BJ70" s="972" t="s">
        <v>1846</v>
      </c>
      <c r="BL70" s="972" t="s">
        <v>1847</v>
      </c>
      <c r="BN70" s="972" t="s">
        <v>1848</v>
      </c>
    </row>
    <row r="71" spans="1:66" ht="11.25" customHeight="1">
      <c r="A71" s="978" t="s">
        <v>1849</v>
      </c>
      <c r="AZ71" s="1022" t="s">
        <v>1443</v>
      </c>
      <c r="BE71" s="1022">
        <v>2069</v>
      </c>
      <c r="BH71" s="972" t="s">
        <v>1850</v>
      </c>
      <c r="BI71" s="1020" t="s">
        <v>85</v>
      </c>
      <c r="BJ71" s="972" t="s">
        <v>1851</v>
      </c>
      <c r="BK71" s="1020" t="s">
        <v>85</v>
      </c>
      <c r="BL71" s="972" t="s">
        <v>1852</v>
      </c>
      <c r="BN71" s="972" t="s">
        <v>1853</v>
      </c>
    </row>
    <row r="72" spans="1:66" ht="11.25" customHeight="1">
      <c r="A72" s="978" t="s">
        <v>1854</v>
      </c>
      <c r="AZ72" s="1022" t="s">
        <v>57</v>
      </c>
      <c r="BE72" s="1022">
        <v>2070</v>
      </c>
      <c r="BH72" s="972" t="s">
        <v>1855</v>
      </c>
      <c r="BJ72" s="972" t="s">
        <v>1855</v>
      </c>
      <c r="BL72" s="972" t="s">
        <v>1855</v>
      </c>
      <c r="BN72" s="972" t="s">
        <v>1856</v>
      </c>
    </row>
    <row r="73" spans="1:66" ht="11.25" customHeight="1">
      <c r="A73" s="978" t="s">
        <v>1857</v>
      </c>
      <c r="BH73" s="972" t="s">
        <v>1858</v>
      </c>
      <c r="BI73" s="1020" t="s">
        <v>115</v>
      </c>
      <c r="BJ73" s="972" t="s">
        <v>1859</v>
      </c>
      <c r="BK73" s="1020" t="s">
        <v>115</v>
      </c>
      <c r="BL73" s="972" t="s">
        <v>1860</v>
      </c>
      <c r="BN73" s="972" t="s">
        <v>1861</v>
      </c>
    </row>
    <row r="74" spans="1:66" ht="11.25" customHeight="1">
      <c r="A74" s="978" t="s">
        <v>1862</v>
      </c>
      <c r="BH74" s="972" t="s">
        <v>1863</v>
      </c>
      <c r="BJ74" s="972" t="s">
        <v>1864</v>
      </c>
      <c r="BL74" s="972" t="s">
        <v>1865</v>
      </c>
      <c r="BN74" s="972" t="s">
        <v>1866</v>
      </c>
    </row>
    <row r="75" spans="1:66" ht="11.25" customHeight="1">
      <c r="A75" s="978" t="s">
        <v>1867</v>
      </c>
      <c r="AZ75" s="971" t="s">
        <v>1868</v>
      </c>
      <c r="BH75" s="972" t="s">
        <v>1869</v>
      </c>
      <c r="BJ75" s="972" t="s">
        <v>1869</v>
      </c>
      <c r="BL75" s="972" t="s">
        <v>1869</v>
      </c>
    </row>
    <row r="76" spans="1:66" ht="11.25" customHeight="1">
      <c r="A76" s="978" t="s">
        <v>1870</v>
      </c>
      <c r="AZ76" s="1022" t="s">
        <v>1359</v>
      </c>
      <c r="BH76" s="972" t="s">
        <v>1871</v>
      </c>
      <c r="BJ76" s="972" t="s">
        <v>1872</v>
      </c>
      <c r="BL76" s="972" t="s">
        <v>1873</v>
      </c>
    </row>
    <row r="77" spans="1:66" ht="11.25" customHeight="1">
      <c r="A77" s="978" t="s">
        <v>1874</v>
      </c>
      <c r="AZ77" s="1022" t="s">
        <v>1386</v>
      </c>
    </row>
    <row r="78" spans="1:66" ht="11.25" customHeight="1">
      <c r="A78" s="978" t="s">
        <v>1875</v>
      </c>
      <c r="AZ78" s="1022" t="s">
        <v>1417</v>
      </c>
    </row>
    <row r="79" spans="1:66" ht="11.25" customHeight="1">
      <c r="A79" s="978" t="s">
        <v>1876</v>
      </c>
      <c r="AZ79" s="1022" t="s">
        <v>1447</v>
      </c>
      <c r="BH79" s="971" t="s">
        <v>1877</v>
      </c>
      <c r="BJ79" s="971" t="s">
        <v>1878</v>
      </c>
      <c r="BL79" s="971" t="s">
        <v>1879</v>
      </c>
    </row>
    <row r="80" spans="1:66" ht="11.25" customHeight="1">
      <c r="A80" s="978" t="s">
        <v>1880</v>
      </c>
      <c r="AZ80" s="1022" t="s">
        <v>1468</v>
      </c>
      <c r="BH80" s="972" t="s">
        <v>1881</v>
      </c>
      <c r="BJ80" s="972" t="s">
        <v>1882</v>
      </c>
      <c r="BL80" s="972" t="s">
        <v>1883</v>
      </c>
    </row>
    <row r="81" spans="1:66" ht="11.25" customHeight="1">
      <c r="A81" s="978" t="s">
        <v>1884</v>
      </c>
      <c r="AZ81" s="1022" t="s">
        <v>1485</v>
      </c>
      <c r="BH81" s="972" t="s">
        <v>1885</v>
      </c>
      <c r="BJ81" s="972" t="s">
        <v>1886</v>
      </c>
      <c r="BL81" s="972" t="s">
        <v>1887</v>
      </c>
    </row>
    <row r="82" spans="1:66" ht="11.25" customHeight="1">
      <c r="A82" s="978" t="s">
        <v>1888</v>
      </c>
      <c r="AZ82" s="1022" t="s">
        <v>1499</v>
      </c>
      <c r="BH82" s="972" t="s">
        <v>1889</v>
      </c>
      <c r="BJ82" s="972" t="s">
        <v>1890</v>
      </c>
      <c r="BL82" s="972" t="s">
        <v>1891</v>
      </c>
    </row>
    <row r="83" spans="1:66" ht="11.25" customHeight="1">
      <c r="A83" s="978" t="s">
        <v>1892</v>
      </c>
      <c r="BH83" s="972" t="s">
        <v>1893</v>
      </c>
      <c r="BJ83" s="972" t="s">
        <v>1894</v>
      </c>
      <c r="BL83" s="972" t="s">
        <v>1895</v>
      </c>
    </row>
    <row r="84" spans="1:66" ht="11.25" customHeight="1">
      <c r="A84" s="978" t="s">
        <v>1896</v>
      </c>
      <c r="AZ84" s="971" t="s">
        <v>1897</v>
      </c>
    </row>
    <row r="85" spans="1:66" ht="11.25" customHeight="1">
      <c r="A85" s="1778" t="s">
        <v>1898</v>
      </c>
      <c r="AZ85" s="1022" t="s">
        <v>1899</v>
      </c>
    </row>
    <row r="86" spans="1:66" ht="11.25" customHeight="1">
      <c r="A86" s="978" t="s">
        <v>1900</v>
      </c>
      <c r="AZ86" s="1022" t="s">
        <v>1901</v>
      </c>
      <c r="BH86" s="971" t="s">
        <v>1902</v>
      </c>
      <c r="BJ86" s="971" t="s">
        <v>1903</v>
      </c>
      <c r="BL86" s="971" t="s">
        <v>1904</v>
      </c>
    </row>
    <row r="87" spans="1:66" ht="11.25" customHeight="1">
      <c r="A87" s="978" t="s">
        <v>1905</v>
      </c>
      <c r="AZ87" s="1022" t="s">
        <v>1906</v>
      </c>
      <c r="BH87" s="972" t="s">
        <v>1907</v>
      </c>
      <c r="BJ87" s="972" t="s">
        <v>1908</v>
      </c>
      <c r="BL87" s="972" t="s">
        <v>1909</v>
      </c>
    </row>
    <row r="88" spans="1:66" ht="11.25" customHeight="1">
      <c r="A88" s="978" t="s">
        <v>1910</v>
      </c>
      <c r="AZ88" s="1522"/>
      <c r="BH88" s="972" t="s">
        <v>1911</v>
      </c>
      <c r="BJ88" s="972" t="s">
        <v>1912</v>
      </c>
      <c r="BL88" s="972" t="s">
        <v>1913</v>
      </c>
    </row>
    <row r="89" spans="1:66" ht="11.25" customHeight="1">
      <c r="A89" s="978" t="s">
        <v>1914</v>
      </c>
      <c r="AZ89" s="971" t="s">
        <v>1915</v>
      </c>
    </row>
    <row r="90" spans="1:66" ht="11.25" customHeight="1">
      <c r="A90" s="978" t="s">
        <v>1916</v>
      </c>
      <c r="AZ90" s="1022" t="s">
        <v>1047</v>
      </c>
    </row>
    <row r="91" spans="1:66" ht="11.25" customHeight="1">
      <c r="A91" s="978" t="s">
        <v>1917</v>
      </c>
      <c r="AZ91" s="1022" t="s">
        <v>1083</v>
      </c>
      <c r="BH91" s="971" t="s">
        <v>1918</v>
      </c>
      <c r="BJ91" s="971" t="s">
        <v>1919</v>
      </c>
      <c r="BL91" s="971" t="s">
        <v>1920</v>
      </c>
    </row>
    <row r="92" spans="1:66" ht="11.25" customHeight="1">
      <c r="AZ92" s="1022" t="s">
        <v>1921</v>
      </c>
      <c r="BH92" s="972" t="s">
        <v>1922</v>
      </c>
      <c r="BJ92" s="972" t="s">
        <v>1923</v>
      </c>
      <c r="BL92" s="972" t="s">
        <v>1924</v>
      </c>
    </row>
    <row r="93" spans="1:66" ht="11.25" customHeight="1">
      <c r="AZ93" s="1022" t="s">
        <v>1925</v>
      </c>
      <c r="BH93" s="972" t="s">
        <v>1926</v>
      </c>
      <c r="BJ93" s="972" t="s">
        <v>1927</v>
      </c>
      <c r="BL93" s="972" t="s">
        <v>1928</v>
      </c>
    </row>
    <row r="94" spans="1:66" ht="11.25" customHeight="1">
      <c r="AZ94" s="1022" t="s">
        <v>1929</v>
      </c>
    </row>
    <row r="96" spans="1:66" ht="11.25" customHeight="1">
      <c r="AZ96" s="971" t="s">
        <v>1930</v>
      </c>
      <c r="BH96" s="971" t="s">
        <v>1931</v>
      </c>
      <c r="BJ96" s="971" t="s">
        <v>1932</v>
      </c>
      <c r="BL96" s="971" t="s">
        <v>1933</v>
      </c>
      <c r="BN96" s="971" t="s">
        <v>1934</v>
      </c>
    </row>
    <row r="97" spans="52:66" ht="11.25" customHeight="1">
      <c r="AZ97" s="1022" t="s">
        <v>1935</v>
      </c>
      <c r="BH97" s="972" t="s">
        <v>1936</v>
      </c>
      <c r="BJ97" s="972" t="s">
        <v>1937</v>
      </c>
      <c r="BL97" s="972" t="s">
        <v>1938</v>
      </c>
      <c r="BN97" s="972" t="s">
        <v>1939</v>
      </c>
    </row>
    <row r="98" spans="52:66" ht="11.25" customHeight="1">
      <c r="AZ98" s="1022" t="s">
        <v>1940</v>
      </c>
      <c r="BH98" s="972" t="s">
        <v>1941</v>
      </c>
      <c r="BJ98" s="972" t="s">
        <v>1942</v>
      </c>
      <c r="BL98" s="972" t="s">
        <v>1943</v>
      </c>
      <c r="BN98" s="972" t="s">
        <v>1944</v>
      </c>
    </row>
    <row r="99" spans="52:66" ht="11.25" customHeight="1">
      <c r="AZ99" s="1022" t="s">
        <v>1945</v>
      </c>
      <c r="BH99" s="972" t="s">
        <v>1946</v>
      </c>
      <c r="BJ99" s="972" t="s">
        <v>1947</v>
      </c>
      <c r="BL99" s="972" t="s">
        <v>1948</v>
      </c>
      <c r="BN99" s="972" t="s">
        <v>1949</v>
      </c>
    </row>
    <row r="100" spans="52:66" ht="11.25" customHeight="1">
      <c r="BJ100" s="972" t="s">
        <v>1544</v>
      </c>
      <c r="BL100" s="972" t="s">
        <v>1544</v>
      </c>
      <c r="BN100" s="972" t="s">
        <v>1950</v>
      </c>
    </row>
    <row r="101" spans="52:66" ht="11.25" customHeight="1">
      <c r="AZ101" s="1602" t="s">
        <v>1951</v>
      </c>
      <c r="BN101" s="972" t="s">
        <v>1952</v>
      </c>
    </row>
    <row r="102" spans="52:66" ht="11.25" customHeight="1">
      <c r="AZ102" s="1022" t="s">
        <v>1953</v>
      </c>
      <c r="BN102" s="972" t="s">
        <v>1954</v>
      </c>
    </row>
    <row r="103" spans="52:66" ht="11.25" customHeight="1">
      <c r="AZ103" s="1022" t="s">
        <v>1955</v>
      </c>
      <c r="BN103" s="972" t="s">
        <v>1956</v>
      </c>
    </row>
    <row r="104" spans="52:66" ht="11.25" customHeight="1">
      <c r="AZ104" s="1022" t="s">
        <v>685</v>
      </c>
      <c r="BN104" s="972" t="s">
        <v>1957</v>
      </c>
    </row>
    <row r="107" spans="52:66" ht="11.25" customHeight="1">
      <c r="BH107" s="971" t="s">
        <v>1958</v>
      </c>
      <c r="BJ107" s="971" t="s">
        <v>1959</v>
      </c>
      <c r="BL107" s="971" t="s">
        <v>1960</v>
      </c>
      <c r="BN107" s="971" t="s">
        <v>1961</v>
      </c>
    </row>
    <row r="108" spans="52:66" ht="11.25" customHeight="1">
      <c r="BH108" s="972" t="s">
        <v>1962</v>
      </c>
      <c r="BJ108" s="972" t="s">
        <v>1963</v>
      </c>
      <c r="BL108" s="972" t="s">
        <v>1629</v>
      </c>
      <c r="BN108" s="972" t="s">
        <v>1964</v>
      </c>
    </row>
    <row r="109" spans="52:66" ht="11.25" customHeight="1">
      <c r="BH109" s="972" t="s">
        <v>1965</v>
      </c>
    </row>
    <row r="110" spans="52:66" ht="11.25" customHeight="1">
      <c r="BH110" s="972" t="s">
        <v>1965</v>
      </c>
    </row>
    <row r="114" spans="60:60" ht="11.25" customHeight="1">
      <c r="BH114" s="971" t="s">
        <v>1966</v>
      </c>
    </row>
    <row r="115" spans="60:60" ht="11.25" customHeight="1">
      <c r="BH115" s="972" t="s">
        <v>565</v>
      </c>
    </row>
    <row r="116" spans="60:60" ht="11.25" customHeight="1">
      <c r="BH116" s="972" t="s">
        <v>564</v>
      </c>
    </row>
    <row r="117" spans="60:60" ht="11.25" customHeight="1">
      <c r="BH117" s="972" t="s">
        <v>1406</v>
      </c>
    </row>
    <row r="118" spans="60:60" ht="11.25" customHeight="1">
      <c r="BH118" s="972" t="s">
        <v>1439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5116"/>
    <col min="2" max="2" width="43.140625" style="5116" hidden="1"/>
    <col min="3" max="3" width="43.140625" style="5116"/>
    <col min="4" max="5" width="36.42578125" style="5116" customWidth="1"/>
    <col min="6" max="8" width="36.42578125" style="5117" customWidth="1"/>
  </cols>
  <sheetData>
    <row r="1" spans="1:8" ht="9" customHeight="1">
      <c r="A1" s="759" t="s">
        <v>1967</v>
      </c>
      <c r="B1" s="759"/>
      <c r="C1" s="889" t="s">
        <v>1968</v>
      </c>
      <c r="D1" s="888" t="s">
        <v>836</v>
      </c>
      <c r="E1" s="888" t="s">
        <v>882</v>
      </c>
      <c r="F1" s="888" t="s">
        <v>934</v>
      </c>
      <c r="G1" s="888" t="s">
        <v>920</v>
      </c>
      <c r="H1" s="888" t="s">
        <v>1742</v>
      </c>
    </row>
    <row r="2" spans="1:8" ht="9" customHeight="1">
      <c r="A2" s="890" t="s">
        <v>1969</v>
      </c>
      <c r="B2" s="890"/>
      <c r="C2" s="891" t="str">
        <f>INDEX(TEMPLATE_NUMBER_FORM_LIST,MATCH(TEMPLATE_SPHERE,TEMPLATE_SPHERE_LIST,0))</f>
        <v>16</v>
      </c>
      <c r="D2" s="890" t="s">
        <v>1595</v>
      </c>
      <c r="E2" s="890" t="s">
        <v>153</v>
      </c>
      <c r="F2" s="892" t="s">
        <v>153</v>
      </c>
      <c r="G2" s="890" t="s">
        <v>153</v>
      </c>
      <c r="H2" s="893"/>
    </row>
    <row r="3" spans="1:8" ht="63" customHeight="1">
      <c r="A3" s="759"/>
      <c r="B3" s="759" t="s">
        <v>114</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1970</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1971</v>
      </c>
      <c r="B4" s="759" t="s">
        <v>98</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1972</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1973</v>
      </c>
    </row>
    <row r="5" spans="1:8" ht="117" customHeight="1">
      <c r="A5" s="759" t="s">
        <v>1974</v>
      </c>
      <c r="B5" s="759" t="s">
        <v>85</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1975</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1976</v>
      </c>
    </row>
    <row r="6" spans="1:8" ht="45" customHeight="1">
      <c r="A6" s="759" t="s">
        <v>1977</v>
      </c>
      <c r="B6" s="759" t="s">
        <v>86</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1978</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1979</v>
      </c>
      <c r="B7" s="759" t="s">
        <v>115</v>
      </c>
      <c r="C7" s="891" t="str">
        <f>IF(TEMPLATE_SPHERE="HEAT",D7,E7)</f>
        <v>Форма 11. Информация о расходах на капитальный и текущий ремонт основных средств</v>
      </c>
      <c r="D7" s="759" t="s">
        <v>1980</v>
      </c>
      <c r="E7" s="759" t="s">
        <v>1981</v>
      </c>
      <c r="F7" s="893"/>
      <c r="G7" s="893"/>
      <c r="H7" s="893"/>
    </row>
    <row r="8" spans="1:8" ht="108" customHeight="1">
      <c r="A8" s="759" t="s">
        <v>1982</v>
      </c>
      <c r="B8" s="759" t="s">
        <v>87</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1983</v>
      </c>
      <c r="E8" s="759" t="s">
        <v>1984</v>
      </c>
      <c r="F8" s="893"/>
      <c r="G8" s="893"/>
      <c r="H8" s="893"/>
    </row>
    <row r="9" spans="1:8" ht="99" customHeight="1">
      <c r="A9" s="759" t="s">
        <v>1985</v>
      </c>
      <c r="B9" s="759"/>
      <c r="C9" s="759" t="s">
        <v>1986</v>
      </c>
      <c r="D9" s="759"/>
      <c r="E9" s="759"/>
      <c r="F9" s="893"/>
      <c r="G9" s="893"/>
      <c r="H9" s="893"/>
    </row>
    <row r="10" spans="1:8" ht="126" customHeight="1">
      <c r="A10" s="759" t="s">
        <v>1987</v>
      </c>
      <c r="B10" s="759"/>
      <c r="C10" s="759" t="s">
        <v>1988</v>
      </c>
      <c r="D10" s="759"/>
      <c r="E10" s="759"/>
      <c r="F10" s="893"/>
      <c r="G10" s="893"/>
      <c r="H10" s="893"/>
    </row>
    <row r="11" spans="1:8" ht="108" customHeight="1">
      <c r="A11" s="759" t="s">
        <v>1989</v>
      </c>
      <c r="B11" s="759"/>
      <c r="C11" s="759" t="s">
        <v>1990</v>
      </c>
      <c r="D11" s="759"/>
      <c r="E11" s="759"/>
      <c r="F11" s="893"/>
      <c r="G11" s="893"/>
      <c r="H11" s="893"/>
    </row>
    <row r="12" spans="1:8" ht="54" customHeight="1">
      <c r="A12" s="759" t="s">
        <v>1991</v>
      </c>
      <c r="B12" s="759"/>
      <c r="C12" s="759" t="s">
        <v>1992</v>
      </c>
      <c r="D12" s="759"/>
      <c r="E12" s="759"/>
      <c r="F12" s="893"/>
      <c r="G12" s="893"/>
      <c r="H12" s="893"/>
    </row>
    <row r="13" spans="1:8" ht="45" customHeight="1">
      <c r="A13" s="759" t="s">
        <v>1993</v>
      </c>
      <c r="B13" s="759"/>
      <c r="C13" s="759" t="s">
        <v>1994</v>
      </c>
      <c r="D13" s="759"/>
      <c r="E13" s="759"/>
      <c r="F13" s="893"/>
      <c r="G13" s="893"/>
      <c r="H13" s="893"/>
    </row>
    <row r="14" spans="1:8" ht="117" customHeight="1">
      <c r="A14" s="759" t="s">
        <v>1995</v>
      </c>
      <c r="B14" s="759"/>
      <c r="C14" s="759" t="s">
        <v>1996</v>
      </c>
      <c r="D14" s="759"/>
      <c r="E14" s="759"/>
      <c r="F14" s="893"/>
      <c r="G14" s="893"/>
      <c r="H14" s="893"/>
    </row>
    <row r="15" spans="1:8" ht="117" customHeight="1">
      <c r="A15" s="759" t="s">
        <v>1997</v>
      </c>
      <c r="B15" s="759"/>
      <c r="C15" s="759" t="s">
        <v>1998</v>
      </c>
      <c r="D15" s="759"/>
      <c r="E15" s="759"/>
      <c r="F15" s="893"/>
      <c r="G15" s="893"/>
      <c r="H15" s="893"/>
    </row>
    <row r="16" spans="1:8" ht="63" customHeight="1">
      <c r="A16" s="759" t="s">
        <v>1999</v>
      </c>
      <c r="B16" s="759"/>
      <c r="C16" s="759" t="s">
        <v>2000</v>
      </c>
      <c r="D16" s="759"/>
      <c r="E16" s="759"/>
      <c r="F16" s="893"/>
      <c r="G16" s="893"/>
      <c r="H16" s="893"/>
    </row>
    <row r="17" spans="1:8" ht="54" customHeight="1">
      <c r="A17" s="759" t="s">
        <v>2001</v>
      </c>
      <c r="B17" s="759"/>
      <c r="C17" s="891" t="s">
        <v>2002</v>
      </c>
      <c r="D17" s="759"/>
      <c r="E17" s="759"/>
      <c r="F17" s="893"/>
      <c r="G17" s="893"/>
      <c r="H17" s="893"/>
    </row>
    <row r="18" spans="1:8" ht="27" customHeight="1">
      <c r="A18" s="759" t="s">
        <v>2003</v>
      </c>
      <c r="B18" s="759"/>
      <c r="C18" s="891" t="s">
        <v>2004</v>
      </c>
      <c r="D18" s="759"/>
      <c r="E18" s="759"/>
      <c r="F18" s="893"/>
      <c r="G18" s="893"/>
      <c r="H18" s="893"/>
    </row>
    <row r="19" spans="1:8" ht="54" customHeight="1">
      <c r="A19" s="759" t="s">
        <v>2005</v>
      </c>
      <c r="B19" s="759"/>
      <c r="C19" s="891" t="s">
        <v>2006</v>
      </c>
      <c r="D19" s="759"/>
      <c r="E19" s="759"/>
      <c r="F19" s="893"/>
      <c r="G19" s="893"/>
      <c r="H19" s="893"/>
    </row>
    <row r="20" spans="1:8" ht="36" customHeight="1">
      <c r="A20" s="759" t="s">
        <v>2007</v>
      </c>
      <c r="B20" s="759"/>
      <c r="C20" s="891" t="s">
        <v>2008</v>
      </c>
      <c r="D20" s="759"/>
      <c r="E20" s="759"/>
      <c r="F20" s="893"/>
      <c r="G20" s="893"/>
      <c r="H20" s="893"/>
    </row>
    <row r="21" spans="1:8" ht="36" customHeight="1">
      <c r="A21" s="759" t="s">
        <v>2009</v>
      </c>
      <c r="B21" s="759"/>
      <c r="C21" s="891" t="s">
        <v>2010</v>
      </c>
      <c r="D21" s="759"/>
      <c r="E21" s="759"/>
      <c r="F21" s="893"/>
      <c r="G21" s="893"/>
      <c r="H21" s="893"/>
    </row>
    <row r="22" spans="1:8" ht="27" customHeight="1">
      <c r="A22" s="759" t="s">
        <v>2011</v>
      </c>
      <c r="B22" s="759"/>
      <c r="C22" s="891" t="s">
        <v>2012</v>
      </c>
      <c r="D22" s="759"/>
      <c r="E22" s="759"/>
      <c r="F22" s="893"/>
      <c r="G22" s="893"/>
      <c r="H22" s="893"/>
    </row>
    <row r="23" spans="1:8" ht="36" customHeight="1">
      <c r="A23" s="759" t="s">
        <v>2013</v>
      </c>
      <c r="B23" s="759"/>
      <c r="C23" s="891" t="s">
        <v>2014</v>
      </c>
      <c r="D23" s="759"/>
      <c r="E23" s="759"/>
      <c r="F23" s="893"/>
      <c r="G23" s="893"/>
      <c r="H23" s="893"/>
    </row>
    <row r="24" spans="1:8" ht="28.5" customHeight="1">
      <c r="A24" s="759" t="s">
        <v>2015</v>
      </c>
      <c r="B24" s="759"/>
      <c r="C24" s="891" t="s">
        <v>2016</v>
      </c>
      <c r="D24" s="759"/>
      <c r="E24" s="759"/>
      <c r="F24" s="893"/>
      <c r="G24" s="893"/>
      <c r="H24" s="893"/>
    </row>
    <row r="25" spans="1:8" ht="36" customHeight="1">
      <c r="A25" s="759" t="s">
        <v>2017</v>
      </c>
      <c r="B25" s="759"/>
      <c r="C25" s="891" t="s">
        <v>2018</v>
      </c>
      <c r="D25" s="759"/>
      <c r="E25" s="759"/>
      <c r="F25" s="893"/>
      <c r="G25" s="893"/>
      <c r="H25" s="893"/>
    </row>
    <row r="26" spans="1:8" ht="27" customHeight="1">
      <c r="A26" s="759" t="s">
        <v>2019</v>
      </c>
      <c r="B26" s="759"/>
      <c r="C26" s="891" t="s">
        <v>2020</v>
      </c>
      <c r="D26" s="759"/>
      <c r="E26" s="759"/>
      <c r="F26" s="893"/>
      <c r="G26" s="893"/>
      <c r="H26" s="893"/>
    </row>
    <row r="27" spans="1:8" ht="36" customHeight="1">
      <c r="A27" s="759" t="s">
        <v>2021</v>
      </c>
      <c r="B27" s="759"/>
      <c r="C27" s="891" t="s">
        <v>2022</v>
      </c>
      <c r="D27" s="759"/>
      <c r="E27" s="759"/>
      <c r="F27" s="893"/>
      <c r="G27" s="893"/>
      <c r="H27" s="893"/>
    </row>
    <row r="28" spans="1:8" ht="28.5" customHeight="1">
      <c r="A28" s="759" t="s">
        <v>2023</v>
      </c>
      <c r="B28" s="759"/>
      <c r="C28" s="891" t="s">
        <v>2024</v>
      </c>
      <c r="D28" s="759"/>
      <c r="E28" s="759"/>
      <c r="F28" s="893"/>
      <c r="G28" s="893"/>
      <c r="H28" s="893"/>
    </row>
    <row r="29" spans="1:8" ht="126" customHeight="1">
      <c r="A29" s="759" t="s">
        <v>2025</v>
      </c>
      <c r="B29" s="759" t="s">
        <v>1696</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2026</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2027</v>
      </c>
    </row>
    <row r="30" spans="1:8" ht="36" customHeight="1">
      <c r="A30" s="759" t="s">
        <v>2028</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2029</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2030</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2031</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2032</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2033</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2034</v>
      </c>
    </row>
    <row r="33" spans="1:8" ht="9" customHeight="1">
      <c r="A33" s="759"/>
      <c r="B33" s="759"/>
      <c r="C33" s="891"/>
      <c r="D33" s="759"/>
      <c r="E33" s="759"/>
      <c r="F33" s="893"/>
      <c r="G33" s="893"/>
      <c r="H33" s="893"/>
    </row>
    <row r="34" spans="1:8" ht="9" customHeight="1">
      <c r="A34" s="759"/>
      <c r="B34" s="759" t="s">
        <v>1632</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5116"/>
    <col min="3" max="7" width="8" style="5119" customWidth="1"/>
    <col min="8" max="12" width="8.5703125" style="5119" customWidth="1"/>
    <col min="13" max="14" width="27.7109375" style="5119" customWidth="1"/>
    <col min="15" max="19" width="5.140625" style="5119" customWidth="1"/>
    <col min="20" max="24" width="27.7109375" style="5119" customWidth="1"/>
    <col min="25" max="25" width="1.85546875" style="5120" customWidth="1"/>
    <col min="26" max="26" width="27.7109375" style="5116" customWidth="1"/>
    <col min="27" max="27" width="27.7109375" style="5121" customWidth="1"/>
    <col min="28" max="29" width="27.7109375" style="5116" customWidth="1"/>
    <col min="30" max="30" width="3.85546875" style="5116" customWidth="1"/>
    <col min="31" max="34" width="9.140625" style="5116"/>
  </cols>
  <sheetData>
    <row r="1" spans="1:34" s="5118" customFormat="1" ht="18" customHeight="1">
      <c r="A1" s="810"/>
      <c r="B1" s="810"/>
      <c r="C1" s="810" t="s">
        <v>2035</v>
      </c>
      <c r="D1" s="810"/>
      <c r="E1" s="810"/>
      <c r="F1" s="810"/>
      <c r="G1" s="810"/>
      <c r="H1" s="810" t="s">
        <v>2036</v>
      </c>
      <c r="I1" s="810"/>
      <c r="J1" s="810"/>
      <c r="K1" s="810"/>
      <c r="L1" s="810"/>
      <c r="M1" s="810" t="s">
        <v>2037</v>
      </c>
      <c r="N1" s="810" t="s">
        <v>2038</v>
      </c>
      <c r="O1" s="5555" t="s">
        <v>2039</v>
      </c>
      <c r="P1" s="5555"/>
      <c r="Q1" s="5555"/>
      <c r="R1" s="5555"/>
      <c r="S1" s="5555"/>
      <c r="T1" s="5555" t="s">
        <v>2037</v>
      </c>
      <c r="U1" s="5555"/>
      <c r="V1" s="5555"/>
      <c r="W1" s="5555"/>
      <c r="X1" s="5555"/>
      <c r="Y1" s="906"/>
      <c r="Z1" s="5555" t="s">
        <v>2040</v>
      </c>
      <c r="AA1" s="5555"/>
      <c r="AB1" s="5555"/>
      <c r="AC1" s="5555"/>
      <c r="AD1" s="5555"/>
    </row>
    <row r="2" spans="1:34" ht="18" customHeight="1">
      <c r="A2" s="759"/>
      <c r="B2" s="759"/>
      <c r="C2" s="755" t="s">
        <v>836</v>
      </c>
      <c r="D2" s="755" t="s">
        <v>882</v>
      </c>
      <c r="E2" s="755" t="s">
        <v>934</v>
      </c>
      <c r="F2" s="755" t="s">
        <v>920</v>
      </c>
      <c r="G2" s="755" t="s">
        <v>1742</v>
      </c>
      <c r="H2" s="756"/>
      <c r="I2" s="756"/>
      <c r="J2" s="756"/>
      <c r="K2" s="756"/>
      <c r="L2" s="756"/>
      <c r="M2" s="756"/>
      <c r="N2" s="756"/>
      <c r="O2" s="755" t="s">
        <v>836</v>
      </c>
      <c r="P2" s="755" t="s">
        <v>882</v>
      </c>
      <c r="Q2" s="755" t="s">
        <v>920</v>
      </c>
      <c r="R2" s="755" t="s">
        <v>934</v>
      </c>
      <c r="S2" s="755" t="s">
        <v>1742</v>
      </c>
      <c r="T2" s="755" t="s">
        <v>836</v>
      </c>
      <c r="U2" s="755" t="s">
        <v>882</v>
      </c>
      <c r="V2" s="755" t="s">
        <v>920</v>
      </c>
      <c r="W2" s="755" t="s">
        <v>934</v>
      </c>
      <c r="X2" s="755" t="s">
        <v>1742</v>
      </c>
      <c r="Y2" s="755"/>
      <c r="Z2" s="755" t="s">
        <v>836</v>
      </c>
      <c r="AA2" s="763" t="s">
        <v>882</v>
      </c>
      <c r="AB2" s="755" t="s">
        <v>920</v>
      </c>
      <c r="AC2" s="755" t="s">
        <v>934</v>
      </c>
      <c r="AD2" s="755" t="s">
        <v>1742</v>
      </c>
    </row>
    <row r="3" spans="1:34" ht="162" customHeight="1">
      <c r="A3" s="758" t="s">
        <v>22</v>
      </c>
      <c r="B3" s="758"/>
      <c r="C3" s="5559" t="s">
        <v>2041</v>
      </c>
      <c r="D3" s="5560"/>
      <c r="E3" s="5560"/>
      <c r="F3" s="5561"/>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2042</v>
      </c>
      <c r="AA3" s="756" t="s">
        <v>2043</v>
      </c>
      <c r="AB3" s="759" t="s">
        <v>2044</v>
      </c>
      <c r="AC3" s="759" t="s">
        <v>2045</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5556" t="s">
        <v>29</v>
      </c>
      <c r="B11" s="811">
        <v>1</v>
      </c>
      <c r="C11" s="5562" t="s">
        <v>1683</v>
      </c>
      <c r="D11" s="5562" t="s">
        <v>1679</v>
      </c>
      <c r="E11" s="5562" t="s">
        <v>1773</v>
      </c>
      <c r="F11" s="5562" t="s">
        <v>2046</v>
      </c>
      <c r="G11" s="5562"/>
      <c r="H11" s="810" t="s">
        <v>2047</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2048</v>
      </c>
      <c r="U11" s="756" t="s">
        <v>2049</v>
      </c>
      <c r="V11" s="756"/>
      <c r="W11" s="756"/>
      <c r="X11" s="756"/>
      <c r="Y11" s="907"/>
      <c r="Z11" s="759" t="s">
        <v>2050</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5556"/>
      <c r="B12" s="811">
        <v>2</v>
      </c>
      <c r="C12" s="5563"/>
      <c r="D12" s="5563"/>
      <c r="E12" s="5563"/>
      <c r="F12" s="5563"/>
      <c r="G12" s="5563"/>
      <c r="H12" s="810" t="s">
        <v>2051</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2052</v>
      </c>
      <c r="U12" s="756" t="s">
        <v>2053</v>
      </c>
      <c r="V12" s="756"/>
      <c r="W12" s="756"/>
      <c r="X12" s="756"/>
      <c r="Y12" s="907"/>
      <c r="Z12" s="759" t="s">
        <v>2054</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5556"/>
      <c r="B13" s="811">
        <v>3</v>
      </c>
      <c r="C13" s="5563"/>
      <c r="D13" s="5563"/>
      <c r="E13" s="5563"/>
      <c r="F13" s="5563"/>
      <c r="G13" s="5563"/>
      <c r="H13" s="5555" t="s">
        <v>2055</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2056</v>
      </c>
      <c r="U13" s="757" t="s">
        <v>2057</v>
      </c>
      <c r="V13" s="757"/>
      <c r="W13" s="757"/>
      <c r="X13" s="756"/>
      <c r="Y13" s="907"/>
      <c r="Z13" s="759" t="s">
        <v>2058</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5556"/>
      <c r="B14" s="811">
        <v>4</v>
      </c>
      <c r="C14" s="5563"/>
      <c r="D14" s="5563"/>
      <c r="E14" s="5563"/>
      <c r="F14" s="5563"/>
      <c r="G14" s="5563"/>
      <c r="H14" s="5555"/>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2059</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2060</v>
      </c>
      <c r="AA14" s="762" t="s">
        <v>2060</v>
      </c>
      <c r="AB14" s="759"/>
      <c r="AC14" s="759"/>
      <c r="AD14" s="759"/>
    </row>
    <row r="15" spans="1:34" ht="108" customHeight="1">
      <c r="A15" s="5556"/>
      <c r="B15" s="811">
        <v>5</v>
      </c>
      <c r="C15" s="5563"/>
      <c r="D15" s="5563"/>
      <c r="E15" s="5563"/>
      <c r="F15" s="5563"/>
      <c r="G15" s="5563"/>
      <c r="H15" s="5557" t="s">
        <v>2061</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2062</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2063</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5564"/>
      <c r="D16" s="5564"/>
      <c r="E16" s="5564"/>
      <c r="F16" s="5564"/>
      <c r="G16" s="5564"/>
      <c r="H16" s="5558"/>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2063</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1776</v>
      </c>
      <c r="B18" s="811">
        <v>1</v>
      </c>
      <c r="C18" s="756" t="s">
        <v>2047</v>
      </c>
      <c r="D18" s="875" t="s">
        <v>2047</v>
      </c>
      <c r="E18" s="756" t="s">
        <v>2047</v>
      </c>
      <c r="F18" s="756" t="s">
        <v>2047</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2064</v>
      </c>
      <c r="U18" s="759" t="s">
        <v>2065</v>
      </c>
      <c r="V18" s="759" t="s">
        <v>2066</v>
      </c>
      <c r="W18" s="759" t="s">
        <v>2067</v>
      </c>
      <c r="X18" s="756"/>
      <c r="Y18" s="907"/>
      <c r="Z18" s="759" t="s">
        <v>2068</v>
      </c>
      <c r="AA18" s="762" t="s">
        <v>2069</v>
      </c>
      <c r="AB18" s="762" t="s">
        <v>2069</v>
      </c>
      <c r="AC18" s="762" t="s">
        <v>2069</v>
      </c>
      <c r="AD18" s="759"/>
    </row>
    <row r="19" spans="1:30" ht="36" customHeight="1">
      <c r="A19" s="758"/>
      <c r="B19" s="811">
        <v>2</v>
      </c>
      <c r="C19" s="756" t="s">
        <v>2051</v>
      </c>
      <c r="D19" s="875" t="s">
        <v>2051</v>
      </c>
      <c r="E19" s="756" t="s">
        <v>2051</v>
      </c>
      <c r="F19" s="756" t="s">
        <v>2051</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2070</v>
      </c>
      <c r="U19" s="759" t="s">
        <v>2071</v>
      </c>
      <c r="V19" s="759" t="s">
        <v>2072</v>
      </c>
      <c r="W19" s="759" t="s">
        <v>2073</v>
      </c>
      <c r="X19" s="756"/>
      <c r="Y19" s="907"/>
      <c r="Z19" s="759" t="s">
        <v>2074</v>
      </c>
      <c r="AA19" s="762" t="s">
        <v>2074</v>
      </c>
      <c r="AB19" s="762" t="s">
        <v>2074</v>
      </c>
      <c r="AC19" s="762" t="s">
        <v>2074</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736</v>
      </c>
      <c r="P20" s="865" t="s">
        <v>736</v>
      </c>
      <c r="Q20" s="865" t="s">
        <v>736</v>
      </c>
      <c r="R20" s="865" t="s">
        <v>736</v>
      </c>
      <c r="S20" s="865"/>
      <c r="T20" s="872" t="s">
        <v>2075</v>
      </c>
      <c r="U20" s="759" t="s">
        <v>2076</v>
      </c>
      <c r="V20" s="759" t="s">
        <v>2077</v>
      </c>
      <c r="W20" s="759" t="s">
        <v>2078</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424</v>
      </c>
      <c r="P21" s="865"/>
      <c r="Q21" s="865"/>
      <c r="R21" s="865"/>
      <c r="S21" s="865"/>
      <c r="T21" s="872" t="s">
        <v>2079</v>
      </c>
      <c r="U21" s="759"/>
      <c r="V21" s="759"/>
      <c r="W21" s="759"/>
      <c r="X21" s="756"/>
      <c r="Y21" s="907"/>
      <c r="Z21" s="759" t="s">
        <v>2080</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424</v>
      </c>
      <c r="R22" s="865"/>
      <c r="S22" s="865"/>
      <c r="T22" s="872"/>
      <c r="U22" s="759"/>
      <c r="V22" s="759" t="s">
        <v>2081</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427</v>
      </c>
      <c r="R23" s="865"/>
      <c r="S23" s="865"/>
      <c r="T23" s="872"/>
      <c r="U23" s="759"/>
      <c r="V23" s="759" t="s">
        <v>2082</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756</v>
      </c>
      <c r="R24" s="865"/>
      <c r="S24" s="865"/>
      <c r="T24" s="872"/>
      <c r="U24" s="759"/>
      <c r="V24" s="759" t="s">
        <v>2083</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427</v>
      </c>
      <c r="P25" s="865" t="s">
        <v>424</v>
      </c>
      <c r="Q25" s="865" t="s">
        <v>763</v>
      </c>
      <c r="R25" s="865" t="s">
        <v>424</v>
      </c>
      <c r="S25" s="865"/>
      <c r="T25" s="872" t="s">
        <v>2084</v>
      </c>
      <c r="U25" s="759" t="s">
        <v>2084</v>
      </c>
      <c r="V25" s="759" t="s">
        <v>2084</v>
      </c>
      <c r="W25" s="759" t="s">
        <v>2084</v>
      </c>
      <c r="X25" s="756"/>
      <c r="Y25" s="907"/>
      <c r="Z25" s="759"/>
      <c r="AA25" s="762"/>
      <c r="AB25" s="759"/>
      <c r="AC25" s="759"/>
      <c r="AD25" s="759"/>
    </row>
    <row r="26" spans="1:30" ht="18" customHeight="1">
      <c r="A26" s="758"/>
      <c r="B26" s="811">
        <v>9</v>
      </c>
      <c r="C26" s="756" t="s">
        <v>932</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752</v>
      </c>
      <c r="P26" s="865" t="s">
        <v>746</v>
      </c>
      <c r="Q26" s="865" t="s">
        <v>2085</v>
      </c>
      <c r="R26" s="865" t="s">
        <v>746</v>
      </c>
      <c r="S26" s="865"/>
      <c r="T26" s="872" t="s">
        <v>2086</v>
      </c>
      <c r="U26" s="872" t="s">
        <v>2086</v>
      </c>
      <c r="V26" s="872" t="s">
        <v>2086</v>
      </c>
      <c r="W26" s="872" t="s">
        <v>2086</v>
      </c>
      <c r="X26" s="756"/>
      <c r="Y26" s="907"/>
      <c r="Z26" s="759"/>
      <c r="AA26" s="762"/>
      <c r="AB26" s="759"/>
      <c r="AC26" s="759"/>
      <c r="AD26" s="759"/>
    </row>
    <row r="27" spans="1:30" ht="18" customHeight="1">
      <c r="A27" s="758"/>
      <c r="B27" s="811">
        <v>10</v>
      </c>
      <c r="C27" s="756" t="s">
        <v>2087</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754</v>
      </c>
      <c r="P27" s="865" t="s">
        <v>748</v>
      </c>
      <c r="Q27" s="865" t="s">
        <v>2088</v>
      </c>
      <c r="R27" s="865" t="s">
        <v>748</v>
      </c>
      <c r="S27" s="865"/>
      <c r="T27" s="872" t="s">
        <v>2089</v>
      </c>
      <c r="U27" s="872" t="s">
        <v>2089</v>
      </c>
      <c r="V27" s="872" t="s">
        <v>2089</v>
      </c>
      <c r="W27" s="872" t="s">
        <v>2089</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756</v>
      </c>
      <c r="P28" s="865"/>
      <c r="Q28" s="865"/>
      <c r="R28" s="865"/>
      <c r="S28" s="865"/>
      <c r="T28" s="872" t="s">
        <v>2090</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763</v>
      </c>
      <c r="P29" s="865" t="s">
        <v>427</v>
      </c>
      <c r="Q29" s="865"/>
      <c r="R29" s="865" t="s">
        <v>427</v>
      </c>
      <c r="S29" s="865"/>
      <c r="T29" s="872" t="s">
        <v>2091</v>
      </c>
      <c r="U29" s="759" t="s">
        <v>2091</v>
      </c>
      <c r="V29" s="759"/>
      <c r="W29" s="759" t="s">
        <v>2091</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765</v>
      </c>
      <c r="P30" s="865" t="s">
        <v>756</v>
      </c>
      <c r="Q30" s="865" t="s">
        <v>765</v>
      </c>
      <c r="R30" s="865" t="s">
        <v>756</v>
      </c>
      <c r="S30" s="865"/>
      <c r="T30" s="872" t="s">
        <v>2092</v>
      </c>
      <c r="U30" s="759" t="s">
        <v>2092</v>
      </c>
      <c r="V30" s="759" t="s">
        <v>2092</v>
      </c>
      <c r="W30" s="759" t="s">
        <v>2092</v>
      </c>
      <c r="X30" s="756"/>
      <c r="Y30" s="907"/>
      <c r="Z30" s="759"/>
      <c r="AA30" s="762" t="s">
        <v>2093</v>
      </c>
      <c r="AB30" s="762" t="s">
        <v>2093</v>
      </c>
      <c r="AC30" s="762" t="s">
        <v>2093</v>
      </c>
      <c r="AD30" s="759"/>
    </row>
    <row r="31" spans="1:30" ht="18" customHeight="1">
      <c r="A31" s="758"/>
      <c r="B31" s="811">
        <v>14</v>
      </c>
      <c r="C31" s="756" t="s">
        <v>2094</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2095</v>
      </c>
      <c r="P31" s="865" t="s">
        <v>759</v>
      </c>
      <c r="Q31" s="865" t="s">
        <v>2095</v>
      </c>
      <c r="R31" s="865" t="s">
        <v>759</v>
      </c>
      <c r="S31" s="865"/>
      <c r="T31" s="873" t="s">
        <v>2096</v>
      </c>
      <c r="U31" s="759" t="s">
        <v>2096</v>
      </c>
      <c r="V31" s="759" t="s">
        <v>2096</v>
      </c>
      <c r="W31" s="759" t="s">
        <v>2096</v>
      </c>
      <c r="X31" s="756"/>
      <c r="Y31" s="907"/>
      <c r="Z31" s="759"/>
      <c r="AA31" s="762"/>
      <c r="AB31" s="762"/>
      <c r="AC31" s="762"/>
      <c r="AD31" s="759"/>
    </row>
    <row r="32" spans="1:30" ht="36" customHeight="1">
      <c r="A32" s="758"/>
      <c r="B32" s="811">
        <v>15</v>
      </c>
      <c r="C32" s="756" t="s">
        <v>2097</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2098</v>
      </c>
      <c r="P32" s="865" t="s">
        <v>761</v>
      </c>
      <c r="Q32" s="865" t="s">
        <v>2098</v>
      </c>
      <c r="R32" s="865" t="s">
        <v>761</v>
      </c>
      <c r="S32" s="865"/>
      <c r="T32" s="874" t="s">
        <v>2099</v>
      </c>
      <c r="U32" s="759" t="s">
        <v>2099</v>
      </c>
      <c r="V32" s="759" t="s">
        <v>2099</v>
      </c>
      <c r="W32" s="759" t="s">
        <v>2099</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767</v>
      </c>
      <c r="P33" s="865" t="s">
        <v>763</v>
      </c>
      <c r="Q33" s="865" t="s">
        <v>767</v>
      </c>
      <c r="R33" s="865" t="s">
        <v>763</v>
      </c>
      <c r="S33" s="865"/>
      <c r="T33" s="873" t="s">
        <v>2100</v>
      </c>
      <c r="U33" s="759" t="s">
        <v>2100</v>
      </c>
      <c r="V33" s="759" t="s">
        <v>2100</v>
      </c>
      <c r="W33" s="759" t="s">
        <v>2101</v>
      </c>
      <c r="X33" s="756"/>
      <c r="Y33" s="907"/>
      <c r="Z33" s="759"/>
      <c r="AA33" s="762" t="s">
        <v>2102</v>
      </c>
      <c r="AB33" s="762" t="s">
        <v>2102</v>
      </c>
      <c r="AC33" s="762" t="s">
        <v>2102</v>
      </c>
      <c r="AD33" s="759"/>
    </row>
    <row r="34" spans="1:30" ht="27" customHeight="1">
      <c r="A34" s="758"/>
      <c r="B34" s="811">
        <v>17</v>
      </c>
      <c r="C34" s="756" t="s">
        <v>2103</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2104</v>
      </c>
      <c r="P34" s="865" t="s">
        <v>2085</v>
      </c>
      <c r="Q34" s="865" t="s">
        <v>2104</v>
      </c>
      <c r="R34" s="865" t="s">
        <v>2085</v>
      </c>
      <c r="S34" s="865"/>
      <c r="T34" s="874" t="s">
        <v>2105</v>
      </c>
      <c r="U34" s="759" t="s">
        <v>2105</v>
      </c>
      <c r="V34" s="759" t="s">
        <v>2105</v>
      </c>
      <c r="W34" s="759" t="s">
        <v>2106</v>
      </c>
      <c r="X34" s="756"/>
      <c r="Y34" s="907"/>
      <c r="Z34" s="759"/>
      <c r="AA34" s="762"/>
      <c r="AB34" s="759"/>
      <c r="AC34" s="759"/>
      <c r="AD34" s="759"/>
    </row>
    <row r="35" spans="1:30" ht="45" customHeight="1">
      <c r="A35" s="758"/>
      <c r="B35" s="811">
        <v>18</v>
      </c>
      <c r="C35" s="756" t="s">
        <v>2107</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2108</v>
      </c>
      <c r="P35" s="865" t="s">
        <v>2088</v>
      </c>
      <c r="Q35" s="865" t="s">
        <v>2108</v>
      </c>
      <c r="R35" s="865" t="s">
        <v>2088</v>
      </c>
      <c r="S35" s="865"/>
      <c r="T35" s="872" t="s">
        <v>2109</v>
      </c>
      <c r="U35" s="759" t="s">
        <v>2109</v>
      </c>
      <c r="V35" s="759" t="s">
        <v>2109</v>
      </c>
      <c r="W35" s="759" t="s">
        <v>2109</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769</v>
      </c>
      <c r="P36" s="865" t="s">
        <v>765</v>
      </c>
      <c r="Q36" s="865" t="s">
        <v>769</v>
      </c>
      <c r="R36" s="865" t="s">
        <v>765</v>
      </c>
      <c r="S36" s="865"/>
      <c r="T36" s="872" t="s">
        <v>2110</v>
      </c>
      <c r="U36" s="759" t="s">
        <v>2110</v>
      </c>
      <c r="V36" s="759" t="s">
        <v>2110</v>
      </c>
      <c r="W36" s="759" t="s">
        <v>2110</v>
      </c>
      <c r="X36" s="756"/>
      <c r="Y36" s="907"/>
      <c r="Z36" s="759"/>
      <c r="AA36" s="762"/>
      <c r="AB36" s="759"/>
      <c r="AC36" s="759"/>
      <c r="AD36" s="759"/>
    </row>
    <row r="37" spans="1:30" ht="18" customHeight="1">
      <c r="A37" s="758"/>
      <c r="B37" s="811">
        <v>20</v>
      </c>
      <c r="C37" s="756" t="s">
        <v>2111</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2112</v>
      </c>
      <c r="P37" s="865" t="s">
        <v>2095</v>
      </c>
      <c r="Q37" s="865" t="s">
        <v>2112</v>
      </c>
      <c r="R37" s="865" t="s">
        <v>2095</v>
      </c>
      <c r="S37" s="865"/>
      <c r="T37" s="872" t="s">
        <v>2113</v>
      </c>
      <c r="U37" s="759" t="s">
        <v>2113</v>
      </c>
      <c r="V37" s="759" t="s">
        <v>2113</v>
      </c>
      <c r="W37" s="759" t="s">
        <v>2113</v>
      </c>
      <c r="X37" s="756"/>
      <c r="Y37" s="907"/>
      <c r="Z37" s="759"/>
      <c r="AA37" s="762"/>
      <c r="AB37" s="759"/>
      <c r="AC37" s="759"/>
      <c r="AD37" s="759"/>
    </row>
    <row r="38" spans="1:30" ht="18" customHeight="1">
      <c r="A38" s="758"/>
      <c r="B38" s="811">
        <v>21</v>
      </c>
      <c r="C38" s="756" t="s">
        <v>2114</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2115</v>
      </c>
      <c r="P38" s="865" t="s">
        <v>2098</v>
      </c>
      <c r="Q38" s="865" t="s">
        <v>2115</v>
      </c>
      <c r="R38" s="865" t="s">
        <v>2098</v>
      </c>
      <c r="S38" s="865"/>
      <c r="T38" s="872" t="s">
        <v>2116</v>
      </c>
      <c r="U38" s="759" t="s">
        <v>2116</v>
      </c>
      <c r="V38" s="759" t="s">
        <v>2116</v>
      </c>
      <c r="W38" s="759" t="s">
        <v>2116</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773</v>
      </c>
      <c r="P39" s="865" t="s">
        <v>767</v>
      </c>
      <c r="Q39" s="865" t="s">
        <v>773</v>
      </c>
      <c r="R39" s="865" t="s">
        <v>767</v>
      </c>
      <c r="S39" s="865"/>
      <c r="T39" s="872" t="s">
        <v>2117</v>
      </c>
      <c r="U39" s="759" t="s">
        <v>2118</v>
      </c>
      <c r="V39" s="759" t="s">
        <v>2119</v>
      </c>
      <c r="W39" s="759" t="s">
        <v>2120</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2121</v>
      </c>
      <c r="P40" s="865" t="s">
        <v>769</v>
      </c>
      <c r="Q40" s="865" t="s">
        <v>2121</v>
      </c>
      <c r="R40" s="865" t="s">
        <v>769</v>
      </c>
      <c r="S40" s="865"/>
      <c r="T40" s="756" t="s">
        <v>2122</v>
      </c>
      <c r="U40" s="756" t="s">
        <v>2122</v>
      </c>
      <c r="V40" s="756" t="s">
        <v>2122</v>
      </c>
      <c r="W40" s="756" t="s">
        <v>2122</v>
      </c>
      <c r="X40" s="756"/>
      <c r="Y40" s="907"/>
      <c r="Z40" s="759" t="s">
        <v>2123</v>
      </c>
      <c r="AA40" s="762" t="s">
        <v>2123</v>
      </c>
      <c r="AB40" s="762" t="s">
        <v>2123</v>
      </c>
      <c r="AC40" s="762" t="s">
        <v>2123</v>
      </c>
      <c r="AD40" s="759"/>
    </row>
    <row r="41" spans="1:30" ht="27" customHeight="1">
      <c r="A41" s="758"/>
      <c r="B41" s="811">
        <v>24</v>
      </c>
      <c r="C41" s="756" t="s">
        <v>2124</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2125</v>
      </c>
      <c r="P41" s="865" t="s">
        <v>2112</v>
      </c>
      <c r="Q41" s="865" t="s">
        <v>2125</v>
      </c>
      <c r="R41" s="865" t="s">
        <v>2112</v>
      </c>
      <c r="S41" s="865"/>
      <c r="T41" s="756" t="s">
        <v>2126</v>
      </c>
      <c r="U41" s="756" t="s">
        <v>2126</v>
      </c>
      <c r="V41" s="756" t="s">
        <v>2126</v>
      </c>
      <c r="W41" s="756" t="s">
        <v>2126</v>
      </c>
      <c r="X41" s="756"/>
      <c r="Y41" s="907"/>
      <c r="Z41" s="759" t="s">
        <v>2127</v>
      </c>
      <c r="AA41" s="759" t="s">
        <v>2127</v>
      </c>
      <c r="AB41" s="759" t="s">
        <v>2127</v>
      </c>
      <c r="AC41" s="759" t="s">
        <v>2127</v>
      </c>
      <c r="AD41" s="759"/>
    </row>
    <row r="42" spans="1:30" ht="27" customHeight="1">
      <c r="A42" s="758"/>
      <c r="B42" s="811">
        <v>25</v>
      </c>
      <c r="C42" s="756" t="s">
        <v>2128</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2129</v>
      </c>
      <c r="P42" s="865" t="s">
        <v>2115</v>
      </c>
      <c r="Q42" s="865" t="s">
        <v>2129</v>
      </c>
      <c r="R42" s="865" t="s">
        <v>2115</v>
      </c>
      <c r="S42" s="865"/>
      <c r="T42" s="756" t="s">
        <v>2130</v>
      </c>
      <c r="U42" s="756" t="s">
        <v>2130</v>
      </c>
      <c r="V42" s="756" t="s">
        <v>2130</v>
      </c>
      <c r="W42" s="756" t="s">
        <v>2130</v>
      </c>
      <c r="X42" s="756"/>
      <c r="Y42" s="907"/>
      <c r="Z42" s="759" t="s">
        <v>2131</v>
      </c>
      <c r="AA42" s="759" t="s">
        <v>2131</v>
      </c>
      <c r="AB42" s="759" t="s">
        <v>2131</v>
      </c>
      <c r="AC42" s="759" t="s">
        <v>2131</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2132</v>
      </c>
      <c r="P43" s="865" t="s">
        <v>773</v>
      </c>
      <c r="Q43" s="865" t="s">
        <v>2132</v>
      </c>
      <c r="R43" s="865" t="s">
        <v>773</v>
      </c>
      <c r="S43" s="865"/>
      <c r="T43" s="756" t="s">
        <v>2133</v>
      </c>
      <c r="U43" s="756" t="s">
        <v>2133</v>
      </c>
      <c r="V43" s="756" t="s">
        <v>2133</v>
      </c>
      <c r="W43" s="756" t="s">
        <v>2133</v>
      </c>
      <c r="X43" s="756"/>
      <c r="Y43" s="907"/>
      <c r="Z43" s="759" t="s">
        <v>2134</v>
      </c>
      <c r="AA43" s="759" t="s">
        <v>2134</v>
      </c>
      <c r="AB43" s="759" t="s">
        <v>2134</v>
      </c>
      <c r="AC43" s="759" t="s">
        <v>2134</v>
      </c>
      <c r="AD43" s="759"/>
    </row>
    <row r="44" spans="1:30" ht="27" customHeight="1">
      <c r="A44" s="758"/>
      <c r="B44" s="811">
        <v>27</v>
      </c>
      <c r="C44" s="756" t="s">
        <v>2135</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2136</v>
      </c>
      <c r="P44" s="865" t="s">
        <v>2137</v>
      </c>
      <c r="Q44" s="865" t="s">
        <v>2136</v>
      </c>
      <c r="R44" s="865" t="s">
        <v>2137</v>
      </c>
      <c r="S44" s="865"/>
      <c r="T44" s="756" t="s">
        <v>2126</v>
      </c>
      <c r="U44" s="756" t="s">
        <v>2126</v>
      </c>
      <c r="V44" s="756" t="s">
        <v>2126</v>
      </c>
      <c r="W44" s="756" t="s">
        <v>2126</v>
      </c>
      <c r="X44" s="756"/>
      <c r="Y44" s="907"/>
      <c r="Z44" s="759" t="s">
        <v>2138</v>
      </c>
      <c r="AA44" s="759" t="s">
        <v>2138</v>
      </c>
      <c r="AB44" s="759" t="s">
        <v>2138</v>
      </c>
      <c r="AC44" s="759" t="s">
        <v>2138</v>
      </c>
      <c r="AD44" s="759"/>
    </row>
    <row r="45" spans="1:30" ht="27" customHeight="1">
      <c r="A45" s="758"/>
      <c r="B45" s="811">
        <v>28</v>
      </c>
      <c r="C45" s="756" t="s">
        <v>2139</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2140</v>
      </c>
      <c r="P45" s="865" t="s">
        <v>2141</v>
      </c>
      <c r="Q45" s="865" t="s">
        <v>2140</v>
      </c>
      <c r="R45" s="865" t="s">
        <v>2141</v>
      </c>
      <c r="S45" s="865"/>
      <c r="T45" s="756" t="s">
        <v>2130</v>
      </c>
      <c r="U45" s="756" t="s">
        <v>2130</v>
      </c>
      <c r="V45" s="756" t="s">
        <v>2130</v>
      </c>
      <c r="W45" s="756" t="s">
        <v>2130</v>
      </c>
      <c r="X45" s="756"/>
      <c r="Y45" s="907"/>
      <c r="Z45" s="759" t="s">
        <v>2142</v>
      </c>
      <c r="AA45" s="759" t="s">
        <v>2142</v>
      </c>
      <c r="AB45" s="759" t="s">
        <v>2142</v>
      </c>
      <c r="AC45" s="759" t="s">
        <v>2142</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2143</v>
      </c>
      <c r="P46" s="865" t="s">
        <v>2121</v>
      </c>
      <c r="Q46" s="865" t="s">
        <v>2143</v>
      </c>
      <c r="R46" s="865" t="s">
        <v>2121</v>
      </c>
      <c r="S46" s="865"/>
      <c r="T46" s="756" t="s">
        <v>2144</v>
      </c>
      <c r="U46" s="756" t="s">
        <v>2144</v>
      </c>
      <c r="V46" s="756" t="s">
        <v>2144</v>
      </c>
      <c r="W46" s="756" t="s">
        <v>2144</v>
      </c>
      <c r="X46" s="756"/>
      <c r="Y46" s="907"/>
      <c r="Z46" s="759" t="s">
        <v>2145</v>
      </c>
      <c r="AA46" s="759" t="s">
        <v>2146</v>
      </c>
      <c r="AB46" s="759" t="s">
        <v>2146</v>
      </c>
      <c r="AC46" s="759" t="s">
        <v>2146</v>
      </c>
      <c r="AD46" s="759"/>
    </row>
    <row r="47" spans="1:30" ht="54" customHeight="1">
      <c r="A47" s="758"/>
      <c r="B47" s="811">
        <v>30</v>
      </c>
      <c r="C47" s="756" t="s">
        <v>2147</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2148</v>
      </c>
      <c r="P47" s="865" t="s">
        <v>2125</v>
      </c>
      <c r="Q47" s="865" t="s">
        <v>2148</v>
      </c>
      <c r="R47" s="865" t="s">
        <v>2125</v>
      </c>
      <c r="S47" s="865"/>
      <c r="T47" s="756" t="s">
        <v>2149</v>
      </c>
      <c r="U47" s="756" t="s">
        <v>2149</v>
      </c>
      <c r="V47" s="756" t="s">
        <v>2149</v>
      </c>
      <c r="W47" s="756" t="s">
        <v>2149</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2132</v>
      </c>
      <c r="Q48" s="865" t="s">
        <v>2150</v>
      </c>
      <c r="R48" s="865" t="s">
        <v>2132</v>
      </c>
      <c r="S48" s="865"/>
      <c r="T48" s="756"/>
      <c r="U48" s="756" t="s">
        <v>2151</v>
      </c>
      <c r="V48" s="756" t="s">
        <v>2152</v>
      </c>
      <c r="W48" s="756" t="s">
        <v>2152</v>
      </c>
      <c r="X48" s="756"/>
      <c r="Y48" s="907"/>
      <c r="Z48" s="759"/>
      <c r="AA48" s="762" t="s">
        <v>2146</v>
      </c>
      <c r="AB48" s="762" t="s">
        <v>2146</v>
      </c>
      <c r="AC48" s="762" t="s">
        <v>2146</v>
      </c>
      <c r="AD48" s="759"/>
    </row>
    <row r="49" spans="1:30" ht="54" customHeight="1">
      <c r="A49" s="758"/>
      <c r="B49" s="811">
        <v>32</v>
      </c>
      <c r="C49" s="756" t="s">
        <v>2153</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2136</v>
      </c>
      <c r="Q49" s="865" t="s">
        <v>2154</v>
      </c>
      <c r="R49" s="865" t="s">
        <v>2136</v>
      </c>
      <c r="S49" s="865"/>
      <c r="T49" s="756"/>
      <c r="U49" s="756" t="s">
        <v>2149</v>
      </c>
      <c r="V49" s="756" t="s">
        <v>2149</v>
      </c>
      <c r="W49" s="756" t="s">
        <v>2149</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2150</v>
      </c>
      <c r="P50" s="865" t="s">
        <v>2143</v>
      </c>
      <c r="Q50" s="865" t="s">
        <v>2155</v>
      </c>
      <c r="R50" s="865" t="s">
        <v>2143</v>
      </c>
      <c r="S50" s="865"/>
      <c r="T50" s="756" t="s">
        <v>2156</v>
      </c>
      <c r="U50" s="756" t="s">
        <v>2157</v>
      </c>
      <c r="V50" s="756" t="s">
        <v>2158</v>
      </c>
      <c r="W50" s="756" t="s">
        <v>2159</v>
      </c>
      <c r="X50" s="756"/>
      <c r="Y50" s="907"/>
      <c r="Z50" s="759" t="s">
        <v>2160</v>
      </c>
      <c r="AA50" s="762" t="s">
        <v>2161</v>
      </c>
      <c r="AB50" s="762" t="s">
        <v>2161</v>
      </c>
      <c r="AC50" s="762" t="s">
        <v>2161</v>
      </c>
      <c r="AD50" s="759"/>
    </row>
    <row r="51" spans="1:30" ht="27" customHeight="1">
      <c r="A51" s="758"/>
      <c r="B51" s="811">
        <v>34</v>
      </c>
      <c r="C51" s="756" t="s">
        <v>2162</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85</v>
      </c>
      <c r="P51" s="865"/>
      <c r="Q51" s="865"/>
      <c r="R51" s="865"/>
      <c r="S51" s="865"/>
      <c r="T51" s="756" t="s">
        <v>2163</v>
      </c>
      <c r="U51" s="756"/>
      <c r="V51" s="756"/>
      <c r="W51" s="756"/>
      <c r="X51" s="756"/>
      <c r="Y51" s="907"/>
      <c r="Z51" s="759"/>
      <c r="AA51" s="762"/>
      <c r="AB51" s="762"/>
      <c r="AC51" s="762"/>
      <c r="AD51" s="759"/>
    </row>
    <row r="52" spans="1:30" ht="36" customHeight="1">
      <c r="A52" s="758"/>
      <c r="B52" s="811">
        <v>35</v>
      </c>
      <c r="C52" s="756" t="s">
        <v>2055</v>
      </c>
      <c r="D52" s="875" t="s">
        <v>2055</v>
      </c>
      <c r="E52" s="756" t="s">
        <v>2055</v>
      </c>
      <c r="F52" s="756" t="s">
        <v>2055</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86</v>
      </c>
      <c r="P52" s="865" t="s">
        <v>85</v>
      </c>
      <c r="Q52" s="865" t="s">
        <v>85</v>
      </c>
      <c r="R52" s="865" t="s">
        <v>85</v>
      </c>
      <c r="S52" s="865"/>
      <c r="T52" s="756" t="s">
        <v>2164</v>
      </c>
      <c r="U52" s="756" t="s">
        <v>2165</v>
      </c>
      <c r="V52" s="756" t="s">
        <v>2166</v>
      </c>
      <c r="W52" s="756" t="s">
        <v>2167</v>
      </c>
      <c r="X52" s="756"/>
      <c r="Y52" s="907"/>
      <c r="Z52" s="759" t="s">
        <v>777</v>
      </c>
      <c r="AA52" s="762" t="s">
        <v>777</v>
      </c>
      <c r="AB52" s="762" t="s">
        <v>777</v>
      </c>
      <c r="AC52" s="762" t="s">
        <v>777</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781</v>
      </c>
      <c r="P53" s="865" t="s">
        <v>443</v>
      </c>
      <c r="Q53" s="865" t="s">
        <v>443</v>
      </c>
      <c r="R53" s="865" t="s">
        <v>443</v>
      </c>
      <c r="S53" s="865"/>
      <c r="T53" s="756" t="s">
        <v>2168</v>
      </c>
      <c r="U53" s="756" t="s">
        <v>2168</v>
      </c>
      <c r="V53" s="756" t="s">
        <v>2168</v>
      </c>
      <c r="W53" s="756" t="s">
        <v>2168</v>
      </c>
      <c r="X53" s="756"/>
      <c r="Y53" s="907"/>
      <c r="Z53" s="759"/>
      <c r="AA53" s="762"/>
      <c r="AB53" s="759"/>
      <c r="AC53" s="759"/>
      <c r="AD53" s="759"/>
    </row>
    <row r="54" spans="1:30" ht="18" customHeight="1">
      <c r="A54" s="758"/>
      <c r="B54" s="811">
        <v>37</v>
      </c>
      <c r="C54" s="756" t="s">
        <v>2061</v>
      </c>
      <c r="D54" s="875" t="s">
        <v>2061</v>
      </c>
      <c r="E54" s="756" t="s">
        <v>2061</v>
      </c>
      <c r="F54" s="756" t="s">
        <v>2061</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115</v>
      </c>
      <c r="P54" s="865" t="s">
        <v>86</v>
      </c>
      <c r="Q54" s="865" t="s">
        <v>86</v>
      </c>
      <c r="R54" s="865" t="s">
        <v>86</v>
      </c>
      <c r="S54" s="865"/>
      <c r="T54" s="756" t="s">
        <v>779</v>
      </c>
      <c r="U54" s="756" t="s">
        <v>779</v>
      </c>
      <c r="V54" s="756" t="s">
        <v>779</v>
      </c>
      <c r="W54" s="756" t="s">
        <v>779</v>
      </c>
      <c r="X54" s="756"/>
      <c r="Y54" s="907"/>
      <c r="Z54" s="759" t="s">
        <v>780</v>
      </c>
      <c r="AA54" s="759" t="s">
        <v>780</v>
      </c>
      <c r="AB54" s="759" t="s">
        <v>780</v>
      </c>
      <c r="AC54" s="759" t="s">
        <v>780</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432</v>
      </c>
      <c r="P55" s="865" t="s">
        <v>781</v>
      </c>
      <c r="Q55" s="865" t="s">
        <v>781</v>
      </c>
      <c r="R55" s="865" t="s">
        <v>781</v>
      </c>
      <c r="S55" s="865"/>
      <c r="T55" s="756" t="s">
        <v>2169</v>
      </c>
      <c r="U55" s="756" t="s">
        <v>2170</v>
      </c>
      <c r="V55" s="756" t="s">
        <v>2170</v>
      </c>
      <c r="W55" s="756" t="s">
        <v>2170</v>
      </c>
      <c r="X55" s="756"/>
      <c r="Y55" s="907"/>
      <c r="Z55" s="759" t="s">
        <v>2171</v>
      </c>
      <c r="AA55" s="759" t="s">
        <v>2171</v>
      </c>
      <c r="AB55" s="759" t="s">
        <v>2171</v>
      </c>
      <c r="AC55" s="759" t="s">
        <v>2171</v>
      </c>
      <c r="AD55" s="759"/>
    </row>
    <row r="56" spans="1:30" ht="27" customHeight="1">
      <c r="A56" s="758"/>
      <c r="B56" s="811">
        <v>39</v>
      </c>
      <c r="C56" s="756" t="s">
        <v>1050</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1174</v>
      </c>
      <c r="P56" s="865" t="s">
        <v>784</v>
      </c>
      <c r="Q56" s="865" t="s">
        <v>784</v>
      </c>
      <c r="R56" s="865" t="s">
        <v>784</v>
      </c>
      <c r="S56" s="865"/>
      <c r="T56" s="756" t="s">
        <v>2172</v>
      </c>
      <c r="U56" s="756" t="s">
        <v>2173</v>
      </c>
      <c r="V56" s="756" t="s">
        <v>2173</v>
      </c>
      <c r="W56" s="756" t="s">
        <v>2173</v>
      </c>
      <c r="X56" s="756"/>
      <c r="Y56" s="907"/>
      <c r="Z56" s="759" t="s">
        <v>786</v>
      </c>
      <c r="AA56" s="759" t="s">
        <v>786</v>
      </c>
      <c r="AB56" s="759" t="s">
        <v>786</v>
      </c>
      <c r="AC56" s="759" t="s">
        <v>786</v>
      </c>
      <c r="AD56" s="759"/>
    </row>
    <row r="57" spans="1:30" ht="27" customHeight="1">
      <c r="A57" s="758"/>
      <c r="B57" s="811">
        <v>40</v>
      </c>
      <c r="C57" s="756" t="s">
        <v>1052</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2174</v>
      </c>
      <c r="P57" s="865" t="s">
        <v>787</v>
      </c>
      <c r="Q57" s="865" t="s">
        <v>787</v>
      </c>
      <c r="R57" s="865" t="s">
        <v>787</v>
      </c>
      <c r="S57" s="865"/>
      <c r="T57" s="756" t="s">
        <v>2175</v>
      </c>
      <c r="U57" s="756" t="s">
        <v>2176</v>
      </c>
      <c r="V57" s="756" t="s">
        <v>2176</v>
      </c>
      <c r="W57" s="756" t="s">
        <v>2176</v>
      </c>
      <c r="X57" s="756"/>
      <c r="Y57" s="907"/>
      <c r="Z57" s="759" t="s">
        <v>789</v>
      </c>
      <c r="AA57" s="759" t="s">
        <v>789</v>
      </c>
      <c r="AB57" s="759" t="s">
        <v>789</v>
      </c>
      <c r="AC57" s="759" t="s">
        <v>789</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434</v>
      </c>
      <c r="P58" s="865" t="s">
        <v>824</v>
      </c>
      <c r="Q58" s="865" t="s">
        <v>824</v>
      </c>
      <c r="R58" s="865" t="s">
        <v>824</v>
      </c>
      <c r="S58" s="865"/>
      <c r="T58" s="756" t="s">
        <v>2177</v>
      </c>
      <c r="U58" s="756" t="s">
        <v>2177</v>
      </c>
      <c r="V58" s="756" t="s">
        <v>2177</v>
      </c>
      <c r="W58" s="756" t="s">
        <v>2177</v>
      </c>
      <c r="X58" s="756"/>
      <c r="Y58" s="907"/>
      <c r="Z58" s="759"/>
      <c r="AA58" s="762"/>
      <c r="AB58" s="759"/>
      <c r="AC58" s="759"/>
      <c r="AD58" s="759"/>
    </row>
    <row r="59" spans="1:30" ht="36" customHeight="1">
      <c r="A59" s="758"/>
      <c r="B59" s="811">
        <v>42</v>
      </c>
      <c r="C59" s="756">
        <v>3</v>
      </c>
      <c r="D59" s="875" t="s">
        <v>2162</v>
      </c>
      <c r="E59" s="756" t="s">
        <v>2162</v>
      </c>
      <c r="F59" s="756" t="s">
        <v>2162</v>
      </c>
      <c r="G59" s="756"/>
      <c r="H59" s="803"/>
      <c r="I59" s="911">
        <f t="shared" si="7"/>
        <v>0</v>
      </c>
      <c r="J59" s="911">
        <f t="shared" si="8"/>
        <v>0</v>
      </c>
      <c r="K59" s="911">
        <f t="shared" si="9"/>
        <v>0</v>
      </c>
      <c r="L59" s="757" t="str">
        <f t="shared" si="10"/>
        <v/>
      </c>
      <c r="M59" s="757" t="str">
        <f t="shared" si="11"/>
        <v/>
      </c>
      <c r="N59" s="757" t="str">
        <f t="shared" si="12"/>
        <v/>
      </c>
      <c r="O59" s="865"/>
      <c r="P59" s="865" t="s">
        <v>115</v>
      </c>
      <c r="Q59" s="865" t="s">
        <v>115</v>
      </c>
      <c r="R59" s="865" t="s">
        <v>115</v>
      </c>
      <c r="S59" s="865"/>
      <c r="T59" s="756"/>
      <c r="U59" s="756" t="s">
        <v>2178</v>
      </c>
      <c r="V59" s="756" t="s">
        <v>2179</v>
      </c>
      <c r="W59" s="756" t="s">
        <v>2180</v>
      </c>
      <c r="X59" s="756"/>
      <c r="Y59" s="907"/>
      <c r="Z59" s="759"/>
      <c r="AA59" s="762"/>
      <c r="AB59" s="759"/>
      <c r="AC59" s="759"/>
      <c r="AD59" s="759"/>
    </row>
    <row r="60" spans="1:30" ht="81" customHeight="1">
      <c r="A60" s="758"/>
      <c r="B60" s="811">
        <v>43</v>
      </c>
      <c r="C60" s="756" t="s">
        <v>2181</v>
      </c>
      <c r="D60" s="875" t="s">
        <v>2181</v>
      </c>
      <c r="E60" s="756" t="s">
        <v>2181</v>
      </c>
      <c r="F60" s="756" t="s">
        <v>2181</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87</v>
      </c>
      <c r="P60" s="865" t="s">
        <v>87</v>
      </c>
      <c r="Q60" s="865" t="s">
        <v>87</v>
      </c>
      <c r="R60" s="865" t="s">
        <v>87</v>
      </c>
      <c r="S60" s="865"/>
      <c r="T60" s="756" t="s">
        <v>793</v>
      </c>
      <c r="U60" s="756" t="s">
        <v>793</v>
      </c>
      <c r="V60" s="756" t="s">
        <v>793</v>
      </c>
      <c r="W60" s="756" t="s">
        <v>793</v>
      </c>
      <c r="X60" s="756"/>
      <c r="Y60" s="907"/>
      <c r="Z60" s="759" t="s">
        <v>2182</v>
      </c>
      <c r="AA60" s="762" t="s">
        <v>2183</v>
      </c>
      <c r="AB60" s="759" t="s">
        <v>2184</v>
      </c>
      <c r="AC60" s="759" t="s">
        <v>2183</v>
      </c>
      <c r="AD60" s="759"/>
    </row>
    <row r="61" spans="1:30" ht="9" customHeight="1">
      <c r="A61" s="758"/>
      <c r="B61" s="811">
        <v>44</v>
      </c>
      <c r="C61" s="756"/>
      <c r="D61" s="875" t="s">
        <v>2185</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88</v>
      </c>
      <c r="Q61" s="865"/>
      <c r="R61" s="865"/>
      <c r="S61" s="865"/>
      <c r="T61" s="756"/>
      <c r="U61" s="756" t="s">
        <v>2186</v>
      </c>
      <c r="V61" s="756"/>
      <c r="W61" s="756"/>
      <c r="X61" s="756"/>
      <c r="Y61" s="907"/>
      <c r="Z61" s="759"/>
      <c r="AA61" s="762"/>
      <c r="AB61" s="759"/>
      <c r="AC61" s="759"/>
      <c r="AD61" s="759"/>
    </row>
    <row r="62" spans="1:30" ht="9" customHeight="1">
      <c r="A62" s="758"/>
      <c r="B62" s="811">
        <v>45</v>
      </c>
      <c r="C62" s="756"/>
      <c r="D62" s="875" t="s">
        <v>2187</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116</v>
      </c>
      <c r="Q62" s="865"/>
      <c r="R62" s="865"/>
      <c r="S62" s="865"/>
      <c r="T62" s="756"/>
      <c r="U62" s="756" t="s">
        <v>2188</v>
      </c>
      <c r="V62" s="756"/>
      <c r="W62" s="756"/>
      <c r="X62" s="756"/>
      <c r="Y62" s="907"/>
      <c r="Z62" s="759"/>
      <c r="AA62" s="762"/>
      <c r="AB62" s="759"/>
      <c r="AC62" s="759"/>
      <c r="AD62" s="759"/>
    </row>
    <row r="63" spans="1:30" ht="18" customHeight="1">
      <c r="A63" s="758"/>
      <c r="B63" s="811">
        <v>46</v>
      </c>
      <c r="C63" s="756"/>
      <c r="D63" s="875" t="s">
        <v>2189</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152</v>
      </c>
      <c r="Q63" s="865"/>
      <c r="R63" s="865"/>
      <c r="S63" s="865"/>
      <c r="T63" s="756"/>
      <c r="U63" s="756" t="s">
        <v>2190</v>
      </c>
      <c r="V63" s="756"/>
      <c r="W63" s="756"/>
      <c r="X63" s="756"/>
      <c r="Y63" s="907"/>
      <c r="Z63" s="759"/>
      <c r="AA63" s="762"/>
      <c r="AB63" s="759"/>
      <c r="AC63" s="759"/>
      <c r="AD63" s="759"/>
    </row>
    <row r="64" spans="1:30" ht="18" customHeight="1">
      <c r="A64" s="758"/>
      <c r="B64" s="811">
        <v>47</v>
      </c>
      <c r="C64" s="756"/>
      <c r="D64" s="875" t="s">
        <v>2191</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153</v>
      </c>
      <c r="Q64" s="865"/>
      <c r="R64" s="865"/>
      <c r="S64" s="865"/>
      <c r="T64" s="756"/>
      <c r="U64" s="756" t="s">
        <v>2192</v>
      </c>
      <c r="V64" s="756"/>
      <c r="W64" s="756"/>
      <c r="X64" s="756"/>
      <c r="Y64" s="907"/>
      <c r="Z64" s="759"/>
      <c r="AA64" s="762" t="s">
        <v>2193</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2103</v>
      </c>
      <c r="Q65" s="865"/>
      <c r="R65" s="865"/>
      <c r="S65" s="865"/>
      <c r="T65" s="756"/>
      <c r="U65" s="756" t="s">
        <v>2194</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2107</v>
      </c>
      <c r="Q66" s="865"/>
      <c r="R66" s="865"/>
      <c r="S66" s="865"/>
      <c r="T66" s="756"/>
      <c r="U66" s="756" t="s">
        <v>2195</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2196</v>
      </c>
      <c r="Q67" s="865"/>
      <c r="R67" s="865"/>
      <c r="S67" s="865"/>
      <c r="T67" s="756"/>
      <c r="U67" s="756" t="s">
        <v>2197</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2198</v>
      </c>
      <c r="Q68" s="865"/>
      <c r="R68" s="865"/>
      <c r="S68" s="865"/>
      <c r="T68" s="756"/>
      <c r="U68" s="756" t="s">
        <v>2199</v>
      </c>
      <c r="V68" s="756"/>
      <c r="W68" s="756"/>
      <c r="X68" s="756"/>
      <c r="Y68" s="907"/>
      <c r="Z68" s="759"/>
      <c r="AA68" s="762"/>
      <c r="AB68" s="759"/>
      <c r="AC68" s="759"/>
      <c r="AD68" s="759"/>
    </row>
    <row r="69" spans="1:30" ht="9" customHeight="1">
      <c r="A69" s="758"/>
      <c r="B69" s="811">
        <v>52</v>
      </c>
      <c r="C69" s="756"/>
      <c r="D69" s="875" t="s">
        <v>2200</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154</v>
      </c>
      <c r="Q69" s="865"/>
      <c r="R69" s="865"/>
      <c r="S69" s="865"/>
      <c r="T69" s="756"/>
      <c r="U69" s="756" t="s">
        <v>2201</v>
      </c>
      <c r="V69" s="756"/>
      <c r="W69" s="756"/>
      <c r="X69" s="756"/>
      <c r="Y69" s="907"/>
      <c r="Z69" s="759"/>
      <c r="AA69" s="762"/>
      <c r="AB69" s="759"/>
      <c r="AC69" s="759"/>
      <c r="AD69" s="759"/>
    </row>
    <row r="70" spans="1:30" ht="27" customHeight="1">
      <c r="A70" s="758"/>
      <c r="B70" s="811">
        <v>53</v>
      </c>
      <c r="C70" s="756"/>
      <c r="D70" s="875"/>
      <c r="E70" s="756" t="s">
        <v>2185</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88</v>
      </c>
      <c r="R70" s="865"/>
      <c r="S70" s="865"/>
      <c r="T70" s="756"/>
      <c r="U70" s="756"/>
      <c r="V70" s="756" t="s">
        <v>2202</v>
      </c>
      <c r="W70" s="756"/>
      <c r="X70" s="756"/>
      <c r="Y70" s="907"/>
      <c r="Z70" s="759"/>
      <c r="AA70" s="762"/>
      <c r="AB70" s="759"/>
      <c r="AC70" s="759"/>
      <c r="AD70" s="759"/>
    </row>
    <row r="71" spans="1:30" ht="36" customHeight="1">
      <c r="A71" s="758"/>
      <c r="B71" s="811">
        <v>54</v>
      </c>
      <c r="C71" s="756"/>
      <c r="D71" s="875"/>
      <c r="E71" s="756" t="s">
        <v>2187</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116</v>
      </c>
      <c r="R71" s="865"/>
      <c r="S71" s="865"/>
      <c r="T71" s="756"/>
      <c r="U71" s="756"/>
      <c r="V71" s="756" t="s">
        <v>2203</v>
      </c>
      <c r="W71" s="756"/>
      <c r="X71" s="756"/>
      <c r="Y71" s="907"/>
      <c r="Z71" s="759"/>
      <c r="AA71" s="762"/>
      <c r="AB71" s="759"/>
      <c r="AC71" s="759"/>
      <c r="AD71" s="759"/>
    </row>
    <row r="72" spans="1:30" ht="27" customHeight="1">
      <c r="A72" s="758"/>
      <c r="B72" s="811">
        <v>55</v>
      </c>
      <c r="C72" s="756"/>
      <c r="D72" s="875"/>
      <c r="E72" s="756" t="s">
        <v>2189</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152</v>
      </c>
      <c r="R72" s="865"/>
      <c r="S72" s="865"/>
      <c r="T72" s="756"/>
      <c r="U72" s="756"/>
      <c r="V72" s="756" t="s">
        <v>2204</v>
      </c>
      <c r="W72" s="756"/>
      <c r="X72" s="756"/>
      <c r="Y72" s="907"/>
      <c r="Z72" s="759"/>
      <c r="AA72" s="762"/>
      <c r="AB72" s="759"/>
      <c r="AC72" s="759"/>
      <c r="AD72" s="759"/>
    </row>
    <row r="73" spans="1:30" ht="36" customHeight="1">
      <c r="A73" s="758"/>
      <c r="B73" s="811">
        <v>56</v>
      </c>
      <c r="C73" s="756"/>
      <c r="D73" s="875"/>
      <c r="E73" s="756" t="s">
        <v>2191</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153</v>
      </c>
      <c r="R73" s="865"/>
      <c r="S73" s="865"/>
      <c r="T73" s="756"/>
      <c r="U73" s="756"/>
      <c r="V73" s="756" t="s">
        <v>2205</v>
      </c>
      <c r="W73" s="756"/>
      <c r="X73" s="756"/>
      <c r="Y73" s="907"/>
      <c r="Z73" s="759"/>
      <c r="AA73" s="762"/>
      <c r="AB73" s="759"/>
      <c r="AC73" s="759"/>
      <c r="AD73" s="759"/>
    </row>
    <row r="74" spans="1:30" ht="18" customHeight="1">
      <c r="A74" s="758"/>
      <c r="B74" s="811">
        <v>57</v>
      </c>
      <c r="C74" s="756"/>
      <c r="D74" s="875"/>
      <c r="E74" s="756" t="s">
        <v>2200</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154</v>
      </c>
      <c r="R74" s="865"/>
      <c r="S74" s="865"/>
      <c r="T74" s="756"/>
      <c r="U74" s="756"/>
      <c r="V74" s="756" t="s">
        <v>2206</v>
      </c>
      <c r="W74" s="756"/>
      <c r="X74" s="756"/>
      <c r="Y74" s="907"/>
      <c r="Z74" s="759"/>
      <c r="AA74" s="762"/>
      <c r="AB74" s="759"/>
      <c r="AC74" s="759"/>
      <c r="AD74" s="759"/>
    </row>
    <row r="75" spans="1:30" ht="18" customHeight="1">
      <c r="A75" s="758"/>
      <c r="B75" s="811">
        <v>58</v>
      </c>
      <c r="C75" s="756"/>
      <c r="D75" s="875"/>
      <c r="E75" s="756"/>
      <c r="F75" s="756" t="s">
        <v>2185</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88</v>
      </c>
      <c r="S75" s="865"/>
      <c r="T75" s="756"/>
      <c r="U75" s="756"/>
      <c r="V75" s="756"/>
      <c r="W75" s="756" t="s">
        <v>2207</v>
      </c>
      <c r="X75" s="756"/>
      <c r="Y75" s="907"/>
      <c r="Z75" s="759"/>
      <c r="AA75" s="762"/>
      <c r="AB75" s="759"/>
      <c r="AC75" s="759"/>
      <c r="AD75" s="759"/>
    </row>
    <row r="76" spans="1:30" ht="36" customHeight="1">
      <c r="A76" s="758"/>
      <c r="B76" s="811">
        <v>59</v>
      </c>
      <c r="C76" s="756"/>
      <c r="D76" s="875"/>
      <c r="E76" s="756"/>
      <c r="F76" s="756" t="s">
        <v>2187</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116</v>
      </c>
      <c r="S76" s="865"/>
      <c r="T76" s="756"/>
      <c r="U76" s="756"/>
      <c r="V76" s="756"/>
      <c r="W76" s="756" t="s">
        <v>2208</v>
      </c>
      <c r="X76" s="756"/>
      <c r="Y76" s="907"/>
      <c r="Z76" s="759"/>
      <c r="AA76" s="762"/>
      <c r="AB76" s="759"/>
      <c r="AC76" s="759"/>
      <c r="AD76" s="759"/>
    </row>
    <row r="77" spans="1:30" ht="18" customHeight="1">
      <c r="A77" s="758"/>
      <c r="B77" s="811">
        <v>60</v>
      </c>
      <c r="C77" s="756"/>
      <c r="D77" s="875"/>
      <c r="E77" s="756"/>
      <c r="F77" s="756" t="s">
        <v>2189</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152</v>
      </c>
      <c r="S77" s="865"/>
      <c r="T77" s="756"/>
      <c r="U77" s="756"/>
      <c r="V77" s="756"/>
      <c r="W77" s="756" t="s">
        <v>2209</v>
      </c>
      <c r="X77" s="756"/>
      <c r="Y77" s="907"/>
      <c r="Z77" s="759"/>
      <c r="AA77" s="762"/>
      <c r="AB77" s="759"/>
      <c r="AC77" s="759"/>
      <c r="AD77" s="759"/>
    </row>
    <row r="78" spans="1:30" ht="72" customHeight="1">
      <c r="A78" s="758"/>
      <c r="B78" s="811">
        <v>61</v>
      </c>
      <c r="C78" s="756" t="s">
        <v>2185</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88</v>
      </c>
      <c r="P78" s="865"/>
      <c r="Q78" s="865"/>
      <c r="R78" s="865"/>
      <c r="S78" s="865"/>
      <c r="T78" s="756" t="s">
        <v>2210</v>
      </c>
      <c r="U78" s="756"/>
      <c r="V78" s="756"/>
      <c r="W78" s="756"/>
      <c r="X78" s="756"/>
      <c r="Y78" s="907"/>
      <c r="Z78" s="759" t="s">
        <v>2211</v>
      </c>
      <c r="AA78" s="762"/>
      <c r="AB78" s="759"/>
      <c r="AC78" s="759"/>
      <c r="AD78" s="759"/>
    </row>
    <row r="79" spans="1:30" ht="36" customHeight="1">
      <c r="A79" s="758"/>
      <c r="B79" s="811">
        <v>62</v>
      </c>
      <c r="C79" s="756" t="s">
        <v>2187</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116</v>
      </c>
      <c r="P79" s="865"/>
      <c r="Q79" s="865"/>
      <c r="R79" s="865"/>
      <c r="S79" s="865"/>
      <c r="T79" s="756" t="s">
        <v>2212</v>
      </c>
      <c r="U79" s="756"/>
      <c r="V79" s="756"/>
      <c r="W79" s="756"/>
      <c r="X79" s="756"/>
      <c r="Y79" s="907"/>
      <c r="Z79" s="759" t="s">
        <v>2213</v>
      </c>
      <c r="AA79" s="762"/>
      <c r="AB79" s="759"/>
      <c r="AC79" s="759"/>
      <c r="AD79" s="759"/>
    </row>
    <row r="80" spans="1:30" ht="45" customHeight="1">
      <c r="A80" s="758"/>
      <c r="B80" s="811">
        <v>63</v>
      </c>
      <c r="C80" s="756" t="s">
        <v>2189</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152</v>
      </c>
      <c r="P80" s="865"/>
      <c r="Q80" s="865"/>
      <c r="R80" s="865"/>
      <c r="S80" s="865"/>
      <c r="T80" s="756" t="s">
        <v>2214</v>
      </c>
      <c r="U80" s="756"/>
      <c r="V80" s="756"/>
      <c r="W80" s="756"/>
      <c r="X80" s="756"/>
      <c r="Y80" s="907"/>
      <c r="Z80" s="759" t="s">
        <v>2215</v>
      </c>
      <c r="AA80" s="762"/>
      <c r="AB80" s="759"/>
      <c r="AC80" s="759"/>
      <c r="AD80" s="759"/>
    </row>
    <row r="81" spans="1:30" ht="36" customHeight="1">
      <c r="A81" s="758"/>
      <c r="B81" s="811">
        <v>64</v>
      </c>
      <c r="C81" s="756" t="s">
        <v>2191</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2094</v>
      </c>
      <c r="P81" s="865"/>
      <c r="Q81" s="865"/>
      <c r="R81" s="865"/>
      <c r="S81" s="865"/>
      <c r="T81" s="756" t="s">
        <v>2216</v>
      </c>
      <c r="U81" s="756"/>
      <c r="V81" s="756"/>
      <c r="W81" s="756"/>
      <c r="X81" s="756"/>
      <c r="Y81" s="907"/>
      <c r="Z81" s="759" t="s">
        <v>2217</v>
      </c>
      <c r="AA81" s="762"/>
      <c r="AB81" s="759"/>
      <c r="AC81" s="759"/>
      <c r="AD81" s="759"/>
    </row>
    <row r="82" spans="1:30" ht="90" customHeight="1">
      <c r="A82" s="758"/>
      <c r="B82" s="811">
        <v>65</v>
      </c>
      <c r="C82" s="756" t="s">
        <v>2200</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153</v>
      </c>
      <c r="P82" s="865"/>
      <c r="Q82" s="865"/>
      <c r="R82" s="865"/>
      <c r="S82" s="865"/>
      <c r="T82" s="756" t="s">
        <v>2218</v>
      </c>
      <c r="U82" s="756"/>
      <c r="V82" s="756"/>
      <c r="W82" s="756"/>
      <c r="X82" s="756"/>
      <c r="Y82" s="907"/>
      <c r="Z82" s="759" t="s">
        <v>2219</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2103</v>
      </c>
      <c r="P83" s="865"/>
      <c r="Q83" s="865"/>
      <c r="R83" s="865"/>
      <c r="S83" s="865"/>
      <c r="T83" s="756" t="s">
        <v>2220</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2221</v>
      </c>
      <c r="P84" s="865"/>
      <c r="Q84" s="865"/>
      <c r="R84" s="865"/>
      <c r="S84" s="865"/>
      <c r="T84" s="756" t="s">
        <v>2222</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2107</v>
      </c>
      <c r="P85" s="865"/>
      <c r="Q85" s="865"/>
      <c r="R85" s="865"/>
      <c r="S85" s="865"/>
      <c r="T85" s="756" t="s">
        <v>2223</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2224</v>
      </c>
      <c r="P86" s="865"/>
      <c r="Q86" s="865"/>
      <c r="R86" s="865"/>
      <c r="S86" s="865"/>
      <c r="T86" s="756" t="s">
        <v>2225</v>
      </c>
      <c r="U86" s="756"/>
      <c r="V86" s="756"/>
      <c r="W86" s="756"/>
      <c r="X86" s="756"/>
      <c r="Y86" s="907"/>
      <c r="Z86" s="759"/>
      <c r="AA86" s="762"/>
      <c r="AB86" s="759"/>
      <c r="AC86" s="759"/>
      <c r="AD86" s="759"/>
    </row>
    <row r="87" spans="1:30" ht="36" customHeight="1">
      <c r="A87" s="758"/>
      <c r="B87" s="811">
        <v>70</v>
      </c>
      <c r="C87" s="756" t="s">
        <v>2226</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154</v>
      </c>
      <c r="P87" s="865"/>
      <c r="Q87" s="865"/>
      <c r="R87" s="865"/>
      <c r="S87" s="865"/>
      <c r="T87" s="756" t="s">
        <v>2227</v>
      </c>
      <c r="U87" s="756"/>
      <c r="V87" s="756"/>
      <c r="W87" s="756"/>
      <c r="X87" s="756"/>
      <c r="Y87" s="907"/>
      <c r="Z87" s="759"/>
      <c r="AA87" s="762"/>
      <c r="AB87" s="759"/>
      <c r="AC87" s="759"/>
      <c r="AD87" s="759"/>
    </row>
    <row r="88" spans="1:30" ht="18" customHeight="1">
      <c r="A88" s="758"/>
      <c r="B88" s="811">
        <v>71</v>
      </c>
      <c r="C88" s="756" t="s">
        <v>2228</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155</v>
      </c>
      <c r="P88" s="865"/>
      <c r="Q88" s="865"/>
      <c r="R88" s="865"/>
      <c r="S88" s="865"/>
      <c r="T88" s="756" t="s">
        <v>2229</v>
      </c>
      <c r="U88" s="756"/>
      <c r="V88" s="756"/>
      <c r="W88" s="756"/>
      <c r="X88" s="756"/>
      <c r="Y88" s="907"/>
      <c r="Z88" s="759"/>
      <c r="AA88" s="762"/>
      <c r="AB88" s="759"/>
      <c r="AC88" s="759"/>
      <c r="AD88" s="759"/>
    </row>
    <row r="89" spans="1:30" ht="18" customHeight="1">
      <c r="A89" s="758"/>
      <c r="B89" s="811">
        <v>72</v>
      </c>
      <c r="C89" s="756" t="s">
        <v>2230</v>
      </c>
      <c r="D89" s="875" t="s">
        <v>2226</v>
      </c>
      <c r="E89" s="756" t="s">
        <v>2226</v>
      </c>
      <c r="F89" s="756" t="s">
        <v>2191</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156</v>
      </c>
      <c r="P89" s="865" t="s">
        <v>155</v>
      </c>
      <c r="Q89" s="865" t="s">
        <v>155</v>
      </c>
      <c r="R89" s="865" t="s">
        <v>153</v>
      </c>
      <c r="S89" s="865"/>
      <c r="T89" s="756" t="s">
        <v>2231</v>
      </c>
      <c r="U89" s="756" t="s">
        <v>2231</v>
      </c>
      <c r="V89" s="756" t="s">
        <v>2231</v>
      </c>
      <c r="W89" s="756" t="s">
        <v>2231</v>
      </c>
      <c r="X89" s="756"/>
      <c r="Y89" s="907"/>
      <c r="Z89" s="759"/>
      <c r="AA89" s="762"/>
      <c r="AB89" s="759"/>
      <c r="AC89" s="759"/>
      <c r="AD89" s="759"/>
    </row>
    <row r="90" spans="1:30" ht="27" customHeight="1">
      <c r="A90" s="758"/>
      <c r="B90" s="811">
        <v>73</v>
      </c>
      <c r="C90" s="756" t="s">
        <v>2232</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157</v>
      </c>
      <c r="P90" s="865"/>
      <c r="Q90" s="865"/>
      <c r="R90" s="865"/>
      <c r="S90" s="865"/>
      <c r="T90" s="756" t="s">
        <v>2233</v>
      </c>
      <c r="U90" s="756"/>
      <c r="V90" s="756"/>
      <c r="W90" s="756"/>
      <c r="X90" s="756"/>
      <c r="Y90" s="907"/>
      <c r="Z90" s="759"/>
      <c r="AA90" s="762"/>
      <c r="AB90" s="759"/>
      <c r="AC90" s="759"/>
      <c r="AD90" s="759"/>
    </row>
    <row r="91" spans="1:30" ht="18" customHeight="1">
      <c r="A91" s="758"/>
      <c r="B91" s="811">
        <v>74</v>
      </c>
      <c r="C91" s="756"/>
      <c r="D91" s="875" t="s">
        <v>2228</v>
      </c>
      <c r="E91" s="756" t="s">
        <v>2228</v>
      </c>
      <c r="F91" s="756"/>
      <c r="G91" s="756"/>
      <c r="H91" s="803"/>
      <c r="I91" s="911">
        <f t="shared" si="13"/>
        <v>0</v>
      </c>
      <c r="J91" s="911">
        <f t="shared" si="14"/>
        <v>0</v>
      </c>
      <c r="K91" s="911">
        <f t="shared" si="15"/>
        <v>0</v>
      </c>
      <c r="L91" s="757" t="str">
        <f t="shared" si="16"/>
        <v/>
      </c>
      <c r="M91" s="757" t="str">
        <f t="shared" si="17"/>
        <v/>
      </c>
      <c r="N91" s="757" t="str">
        <f t="shared" si="18"/>
        <v/>
      </c>
      <c r="O91" s="865"/>
      <c r="P91" s="865" t="s">
        <v>156</v>
      </c>
      <c r="Q91" s="865" t="s">
        <v>156</v>
      </c>
      <c r="R91" s="865"/>
      <c r="S91" s="865"/>
      <c r="T91" s="756"/>
      <c r="U91" s="756" t="s">
        <v>2234</v>
      </c>
      <c r="V91" s="756" t="s">
        <v>2234</v>
      </c>
      <c r="W91" s="756"/>
      <c r="X91" s="756"/>
      <c r="Y91" s="907"/>
      <c r="Z91" s="759"/>
      <c r="AA91" s="762"/>
      <c r="AB91" s="759"/>
      <c r="AC91" s="759"/>
      <c r="AD91" s="759"/>
    </row>
    <row r="92" spans="1:30" ht="27" customHeight="1">
      <c r="A92" s="758"/>
      <c r="B92" s="811">
        <v>75</v>
      </c>
      <c r="C92" s="756"/>
      <c r="D92" s="875" t="s">
        <v>2230</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157</v>
      </c>
      <c r="Q92" s="865"/>
      <c r="R92" s="865"/>
      <c r="S92" s="865"/>
      <c r="T92" s="756"/>
      <c r="U92" s="756" t="s">
        <v>2235</v>
      </c>
      <c r="V92" s="756"/>
      <c r="W92" s="756"/>
      <c r="X92" s="756"/>
      <c r="Y92" s="907"/>
      <c r="Z92" s="759"/>
      <c r="AA92" s="762" t="s">
        <v>2236</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2135</v>
      </c>
      <c r="Q93" s="865"/>
      <c r="R93" s="865"/>
      <c r="S93" s="865"/>
      <c r="T93" s="756"/>
      <c r="U93" s="756" t="s">
        <v>2237</v>
      </c>
      <c r="V93" s="756"/>
      <c r="W93" s="756"/>
      <c r="X93" s="756"/>
      <c r="Y93" s="907"/>
      <c r="Z93" s="759"/>
      <c r="AA93" s="762" t="s">
        <v>2238</v>
      </c>
      <c r="AB93" s="759"/>
      <c r="AC93" s="759"/>
      <c r="AD93" s="759"/>
    </row>
    <row r="94" spans="1:30" ht="45" customHeight="1">
      <c r="A94" s="758"/>
      <c r="B94" s="811">
        <v>77</v>
      </c>
      <c r="C94" s="756"/>
      <c r="D94" s="875" t="s">
        <v>2232</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1589</v>
      </c>
      <c r="Q94" s="865"/>
      <c r="R94" s="865"/>
      <c r="S94" s="865"/>
      <c r="T94" s="756"/>
      <c r="U94" s="756" t="s">
        <v>2239</v>
      </c>
      <c r="V94" s="756"/>
      <c r="W94" s="756"/>
      <c r="X94" s="756"/>
      <c r="Y94" s="907"/>
      <c r="Z94" s="759"/>
      <c r="AA94" s="762" t="s">
        <v>2240</v>
      </c>
      <c r="AB94" s="759"/>
      <c r="AC94" s="759"/>
      <c r="AD94" s="759"/>
    </row>
    <row r="95" spans="1:30" ht="99" customHeight="1">
      <c r="A95" s="758"/>
      <c r="B95" s="811">
        <v>78</v>
      </c>
      <c r="C95" s="756" t="s">
        <v>2241</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1589</v>
      </c>
      <c r="P95" s="865"/>
      <c r="Q95" s="865"/>
      <c r="R95" s="865"/>
      <c r="S95" s="865"/>
      <c r="T95" s="756" t="s">
        <v>2242</v>
      </c>
      <c r="U95" s="756"/>
      <c r="V95" s="756"/>
      <c r="W95" s="756"/>
      <c r="X95" s="756"/>
      <c r="Y95" s="907"/>
      <c r="Z95" s="759"/>
      <c r="AA95" s="762"/>
      <c r="AB95" s="759"/>
      <c r="AC95" s="759"/>
      <c r="AD95" s="759"/>
    </row>
    <row r="96" spans="1:30" ht="99" customHeight="1">
      <c r="A96" s="758"/>
      <c r="B96" s="811">
        <v>79</v>
      </c>
      <c r="C96" s="756" t="s">
        <v>1186</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1595</v>
      </c>
      <c r="P96" s="865"/>
      <c r="Q96" s="865"/>
      <c r="R96" s="865"/>
      <c r="S96" s="865"/>
      <c r="T96" s="756" t="s">
        <v>2243</v>
      </c>
      <c r="U96" s="756"/>
      <c r="V96" s="756"/>
      <c r="W96" s="756"/>
      <c r="X96" s="756"/>
      <c r="Y96" s="907"/>
      <c r="Z96" s="759" t="s">
        <v>2244</v>
      </c>
      <c r="AA96" s="762"/>
      <c r="AB96" s="759"/>
      <c r="AC96" s="759"/>
      <c r="AD96" s="759"/>
    </row>
    <row r="97" spans="1:30" ht="63" customHeight="1">
      <c r="A97" s="758"/>
      <c r="B97" s="811">
        <v>80</v>
      </c>
      <c r="C97" s="756" t="s">
        <v>2245</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1606</v>
      </c>
      <c r="P97" s="865"/>
      <c r="Q97" s="865"/>
      <c r="R97" s="865"/>
      <c r="S97" s="865"/>
      <c r="T97" s="756" t="s">
        <v>2246</v>
      </c>
      <c r="U97" s="756"/>
      <c r="V97" s="756"/>
      <c r="W97" s="756"/>
      <c r="X97" s="756"/>
      <c r="Y97" s="907"/>
      <c r="Z97" s="759" t="s">
        <v>2247</v>
      </c>
      <c r="AA97" s="762"/>
      <c r="AB97" s="759"/>
      <c r="AC97" s="759"/>
      <c r="AD97" s="759"/>
    </row>
    <row r="98" spans="1:30" ht="63" customHeight="1">
      <c r="A98" s="758"/>
      <c r="B98" s="811">
        <v>81</v>
      </c>
      <c r="C98" s="756" t="s">
        <v>2248</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1620</v>
      </c>
      <c r="P98" s="865"/>
      <c r="Q98" s="865"/>
      <c r="R98" s="865"/>
      <c r="S98" s="865"/>
      <c r="T98" s="756" t="s">
        <v>2249</v>
      </c>
      <c r="U98" s="756"/>
      <c r="V98" s="756"/>
      <c r="W98" s="756"/>
      <c r="X98" s="756"/>
      <c r="Y98" s="907"/>
      <c r="Z98" s="759" t="s">
        <v>2247</v>
      </c>
      <c r="AA98" s="762"/>
      <c r="AB98" s="759"/>
      <c r="AC98" s="759"/>
      <c r="AD98" s="759"/>
    </row>
    <row r="99" spans="1:30" ht="90" customHeight="1">
      <c r="A99" s="758"/>
      <c r="B99" s="811">
        <v>82</v>
      </c>
      <c r="C99" s="756" t="s">
        <v>2250</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1632</v>
      </c>
      <c r="P99" s="865"/>
      <c r="Q99" s="865"/>
      <c r="R99" s="865"/>
      <c r="S99" s="865"/>
      <c r="T99" s="756" t="s">
        <v>2251</v>
      </c>
      <c r="U99" s="756"/>
      <c r="V99" s="756"/>
      <c r="W99" s="756"/>
      <c r="X99" s="756"/>
      <c r="Y99" s="907"/>
      <c r="Z99" s="759" t="s">
        <v>917</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2252</v>
      </c>
      <c r="P100" s="865"/>
      <c r="Q100" s="865"/>
      <c r="R100" s="865"/>
      <c r="S100" s="865"/>
      <c r="T100" s="756" t="s">
        <v>2253</v>
      </c>
      <c r="U100" s="756"/>
      <c r="V100" s="756"/>
      <c r="W100" s="756"/>
      <c r="X100" s="756"/>
      <c r="Y100" s="907"/>
      <c r="Z100" s="759" t="s">
        <v>917</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2254</v>
      </c>
      <c r="P101" s="865"/>
      <c r="Q101" s="865"/>
      <c r="R101" s="865"/>
      <c r="S101" s="865"/>
      <c r="T101" s="756" t="s">
        <v>2255</v>
      </c>
      <c r="U101" s="756"/>
      <c r="V101" s="756"/>
      <c r="W101" s="756"/>
      <c r="X101" s="756"/>
      <c r="Y101" s="907"/>
      <c r="Z101" s="759" t="s">
        <v>917</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1782</v>
      </c>
      <c r="B148" s="758"/>
      <c r="C148" s="756" t="s">
        <v>2256</v>
      </c>
      <c r="D148" s="756" t="s">
        <v>1688</v>
      </c>
      <c r="E148" s="756" t="s">
        <v>1784</v>
      </c>
      <c r="F148" s="756" t="s">
        <v>2257</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2258</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2259</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1786</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1789</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1794</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2171" hidden="1" customWidth="1"/>
    <col min="9" max="9" width="3.7109375" style="5122" customWidth="1"/>
    <col min="10" max="11" width="3.7109375" style="3147" customWidth="1"/>
    <col min="12" max="12" width="12.7109375" style="3148" customWidth="1"/>
    <col min="13" max="13" width="32" style="2112" customWidth="1"/>
    <col min="14" max="14" width="1.7109375" style="2112" customWidth="1"/>
    <col min="15" max="18" width="24.7109375" style="2112" customWidth="1"/>
    <col min="19" max="19" width="11.7109375" style="2112" customWidth="1"/>
    <col min="20" max="20" width="3.7109375" style="2112" customWidth="1"/>
    <col min="21" max="21" width="11.7109375" style="2112" customWidth="1"/>
    <col min="22" max="22" width="8.5703125" style="2112" customWidth="1"/>
    <col min="23" max="23" width="4.7109375" style="2112" customWidth="1"/>
    <col min="24" max="24" width="115.7109375" style="2112" customWidth="1"/>
    <col min="25" max="26" width="10.5703125" style="1819"/>
    <col min="27" max="27" width="11.140625" style="1819" customWidth="1"/>
    <col min="28" max="29" width="10.5703125" style="1819"/>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5565" t="s">
        <v>2260</v>
      </c>
      <c r="M5" s="5565"/>
      <c r="N5" s="5565"/>
      <c r="O5" s="5565"/>
      <c r="P5" s="5565"/>
      <c r="Q5" s="5565"/>
      <c r="R5" s="5565"/>
      <c r="S5" s="5565"/>
      <c r="T5" s="5565"/>
      <c r="U5" s="5565"/>
      <c r="V5" s="1151"/>
    </row>
    <row r="6" spans="1:29" ht="14.25" customHeight="1">
      <c r="J6" s="304"/>
      <c r="K6" s="304"/>
      <c r="L6" s="5566" t="str">
        <f>IF(org=0,"Не определено",org)</f>
        <v>ПАО "ТГК-1" (филиал "Кольский")</v>
      </c>
      <c r="M6" s="5566"/>
      <c r="N6" s="5566"/>
      <c r="O6" s="5566"/>
      <c r="P6" s="5566"/>
      <c r="Q6" s="5566"/>
      <c r="R6" s="5566"/>
      <c r="S6" s="5566"/>
      <c r="T6" s="5566"/>
      <c r="U6" s="5566"/>
      <c r="V6" s="1151"/>
    </row>
    <row r="7" spans="1:29" ht="14.25" customHeight="1">
      <c r="J7" s="304"/>
      <c r="K7" s="304"/>
      <c r="L7" s="1194"/>
      <c r="M7" s="289"/>
      <c r="N7" s="289"/>
      <c r="O7" s="246"/>
      <c r="P7" s="246"/>
      <c r="Q7" s="246"/>
      <c r="R7" s="246"/>
      <c r="S7" s="246"/>
      <c r="T7" s="246"/>
      <c r="U7" s="246"/>
      <c r="V7" s="246"/>
      <c r="W7" s="434"/>
    </row>
    <row r="8" spans="1:29" s="2180" customFormat="1" ht="45" customHeight="1">
      <c r="A8" s="1283"/>
      <c r="B8" s="1283"/>
      <c r="C8" s="1283"/>
      <c r="D8" s="1283"/>
      <c r="E8" s="1283"/>
      <c r="F8" s="1283"/>
      <c r="G8" s="1283"/>
      <c r="H8" s="1283"/>
      <c r="L8" s="1195"/>
      <c r="M8" s="213" t="s">
        <v>38</v>
      </c>
      <c r="N8" s="222"/>
      <c r="O8" s="5307" t="str">
        <f>IF(TITLE_NAME_OR_PR_CHANGE="",IF(TITLE_NAME_OR_PR="","",TITLE_NAME_OR_PR),TITLE_NAME_OR_PR_CHANGE)</f>
        <v>Комитет по тарифному регулированию Мурманской области</v>
      </c>
      <c r="P8" s="5307"/>
      <c r="Q8" s="5307"/>
      <c r="R8" s="5307"/>
      <c r="S8" s="5307"/>
      <c r="T8" s="5307"/>
      <c r="U8" s="5307"/>
      <c r="V8" s="252"/>
      <c r="W8" s="252"/>
      <c r="X8" s="199"/>
      <c r="Y8" s="295"/>
      <c r="Z8" s="295"/>
      <c r="AA8" s="295"/>
      <c r="AB8" s="295"/>
      <c r="AC8" s="295"/>
    </row>
    <row r="9" spans="1:29" s="2180" customFormat="1" ht="22.5" customHeight="1">
      <c r="A9" s="1283"/>
      <c r="B9" s="1283"/>
      <c r="C9" s="1283"/>
      <c r="D9" s="1283"/>
      <c r="E9" s="1283"/>
      <c r="F9" s="1283"/>
      <c r="G9" s="1283"/>
      <c r="H9" s="1283"/>
      <c r="L9" s="1195"/>
      <c r="M9" s="213" t="s">
        <v>539</v>
      </c>
      <c r="N9" s="222"/>
      <c r="O9" s="5307">
        <f>IF(TITLE_DATE_CHANGE_PERIOD="",IF(TITLE_DATE_PR="","",TITLE_DATE_PR),TITLE_DATE_CHANGE_PERIOD)</f>
        <v>45292.338773148149</v>
      </c>
      <c r="P9" s="5307"/>
      <c r="Q9" s="5307"/>
      <c r="R9" s="5307"/>
      <c r="S9" s="5307"/>
      <c r="T9" s="5307"/>
      <c r="U9" s="5307"/>
      <c r="V9" s="252"/>
      <c r="W9" s="252"/>
      <c r="X9" s="199"/>
      <c r="Y9" s="295"/>
      <c r="Z9" s="295"/>
      <c r="AA9" s="295"/>
      <c r="AB9" s="295"/>
      <c r="AC9" s="295"/>
    </row>
    <row r="10" spans="1:29" s="2180" customFormat="1" ht="22.5" customHeight="1">
      <c r="A10" s="1283"/>
      <c r="B10" s="1283"/>
      <c r="C10" s="1283"/>
      <c r="D10" s="1283"/>
      <c r="E10" s="1283"/>
      <c r="F10" s="1283"/>
      <c r="G10" s="1283"/>
      <c r="H10" s="1283"/>
      <c r="L10" s="1159"/>
      <c r="M10" s="213" t="s">
        <v>540</v>
      </c>
      <c r="N10" s="222"/>
      <c r="O10" s="5307" t="str">
        <f>IF(TITLE_NUMBER_PR_CHANGE="",IF(TITLE_NUMBER_PR="","",TITLE_NUMBER_PR),TITLE_NUMBER_PR_CHANGE)</f>
        <v>51/6; 51/7</v>
      </c>
      <c r="P10" s="5307"/>
      <c r="Q10" s="5307"/>
      <c r="R10" s="5307"/>
      <c r="S10" s="5307"/>
      <c r="T10" s="5307"/>
      <c r="U10" s="5307"/>
      <c r="V10" s="252"/>
      <c r="W10" s="252"/>
      <c r="X10" s="199"/>
      <c r="Y10" s="295"/>
      <c r="Z10" s="295"/>
      <c r="AA10" s="295"/>
      <c r="AB10" s="295"/>
      <c r="AC10" s="295"/>
    </row>
    <row r="11" spans="1:29" s="2180" customFormat="1" ht="22.5" customHeight="1">
      <c r="A11" s="1283"/>
      <c r="B11" s="1283"/>
      <c r="C11" s="1283"/>
      <c r="D11" s="1283"/>
      <c r="E11" s="1283"/>
      <c r="F11" s="1283"/>
      <c r="G11" s="1283"/>
      <c r="H11" s="1283"/>
      <c r="L11" s="1159"/>
      <c r="M11" s="213" t="s">
        <v>40</v>
      </c>
      <c r="N11" s="222"/>
      <c r="O11" s="5307" t="str">
        <f>IF(TITLE_IST_PUB_CHANGE="",IF(TITLE_IST_PUB="","",TITLE_IST_PUB),TITLE_IST_PUB_CHANGE)</f>
        <v>Официальный электронный бюллетень Правительства Мурманской области</v>
      </c>
      <c r="P11" s="5307"/>
      <c r="Q11" s="5307"/>
      <c r="R11" s="5307"/>
      <c r="S11" s="5307"/>
      <c r="T11" s="5307"/>
      <c r="U11" s="5307"/>
      <c r="V11" s="252"/>
      <c r="W11" s="252"/>
      <c r="X11" s="199"/>
      <c r="Y11" s="295"/>
      <c r="Z11" s="295"/>
      <c r="AA11" s="295"/>
      <c r="AB11" s="295"/>
      <c r="AC11" s="295"/>
    </row>
    <row r="12" spans="1:29" s="2180" customFormat="1" ht="11.25" hidden="1" customHeight="1">
      <c r="A12" s="1283"/>
      <c r="B12" s="1283"/>
      <c r="C12" s="1283"/>
      <c r="D12" s="1283"/>
      <c r="E12" s="1283"/>
      <c r="F12" s="1283"/>
      <c r="G12" s="1283"/>
      <c r="H12" s="1283"/>
      <c r="L12" s="5567"/>
      <c r="M12" s="5567"/>
      <c r="N12" s="1205"/>
      <c r="O12" s="252"/>
      <c r="P12" s="252"/>
      <c r="Q12" s="252"/>
      <c r="R12" s="252"/>
      <c r="S12" s="252"/>
      <c r="T12" s="252"/>
      <c r="U12" s="252"/>
      <c r="V12" s="197" t="s">
        <v>543</v>
      </c>
      <c r="Y12" s="295"/>
      <c r="Z12" s="295"/>
      <c r="AA12" s="295"/>
      <c r="AB12" s="295"/>
      <c r="AC12" s="295"/>
    </row>
    <row r="13" spans="1:29" ht="14.25" customHeight="1">
      <c r="J13" s="304"/>
      <c r="K13" s="304"/>
      <c r="L13" s="1194"/>
      <c r="M13" s="289"/>
      <c r="N13" s="1152"/>
      <c r="O13" s="5308"/>
      <c r="P13" s="5308"/>
      <c r="Q13" s="5308"/>
      <c r="R13" s="5308"/>
      <c r="S13" s="5308"/>
      <c r="T13" s="5308"/>
      <c r="U13" s="5308"/>
      <c r="V13" s="5308"/>
    </row>
    <row r="14" spans="1:29" ht="14.25" customHeight="1">
      <c r="J14" s="304"/>
      <c r="K14" s="304"/>
      <c r="L14" s="5180" t="s">
        <v>417</v>
      </c>
      <c r="M14" s="5180"/>
      <c r="N14" s="5180"/>
      <c r="O14" s="5180"/>
      <c r="P14" s="5180"/>
      <c r="Q14" s="5180"/>
      <c r="R14" s="5180"/>
      <c r="S14" s="5180"/>
      <c r="T14" s="5180"/>
      <c r="U14" s="5180"/>
      <c r="V14" s="5180"/>
      <c r="W14" s="5180"/>
      <c r="X14" s="5180" t="s">
        <v>418</v>
      </c>
    </row>
    <row r="15" spans="1:29" ht="14.25" customHeight="1">
      <c r="J15" s="304"/>
      <c r="K15" s="304"/>
      <c r="L15" s="5322" t="s">
        <v>83</v>
      </c>
      <c r="M15" s="5274" t="s">
        <v>544</v>
      </c>
      <c r="N15" s="219"/>
      <c r="O15" s="5323" t="s">
        <v>2261</v>
      </c>
      <c r="P15" s="5324"/>
      <c r="Q15" s="5324"/>
      <c r="R15" s="5324"/>
      <c r="S15" s="5324"/>
      <c r="T15" s="5324"/>
      <c r="U15" s="5325"/>
      <c r="V15" s="5326" t="s">
        <v>546</v>
      </c>
      <c r="W15" s="5329" t="s">
        <v>1183</v>
      </c>
      <c r="X15" s="5180"/>
    </row>
    <row r="16" spans="1:29" ht="33.75" customHeight="1">
      <c r="J16" s="304"/>
      <c r="K16" s="304"/>
      <c r="L16" s="5322"/>
      <c r="M16" s="5274"/>
      <c r="N16" s="937"/>
      <c r="O16" s="5244" t="s">
        <v>549</v>
      </c>
      <c r="P16" s="5244" t="s">
        <v>550</v>
      </c>
      <c r="Q16" s="5151" t="s">
        <v>551</v>
      </c>
      <c r="R16" s="5150"/>
      <c r="S16" s="5151" t="s">
        <v>568</v>
      </c>
      <c r="T16" s="5156"/>
      <c r="U16" s="5150"/>
      <c r="V16" s="5327"/>
      <c r="W16" s="5330"/>
      <c r="X16" s="5180"/>
    </row>
    <row r="17" spans="1:29" ht="33.75" customHeight="1">
      <c r="A17" s="1285" t="s">
        <v>138</v>
      </c>
      <c r="B17" s="1285" t="s">
        <v>139</v>
      </c>
      <c r="C17" s="1285" t="s">
        <v>140</v>
      </c>
      <c r="D17" s="1285" t="s">
        <v>141</v>
      </c>
      <c r="E17" s="1285"/>
      <c r="J17" s="304"/>
      <c r="K17" s="304"/>
      <c r="L17" s="5322"/>
      <c r="M17" s="5274"/>
      <c r="N17" s="220"/>
      <c r="O17" s="5293"/>
      <c r="P17" s="5293"/>
      <c r="Q17" s="1127" t="s">
        <v>560</v>
      </c>
      <c r="R17" s="1127" t="s">
        <v>561</v>
      </c>
      <c r="S17" s="1210" t="s">
        <v>562</v>
      </c>
      <c r="T17" s="5282" t="s">
        <v>563</v>
      </c>
      <c r="U17" s="5284"/>
      <c r="V17" s="5328"/>
      <c r="W17" s="5331"/>
      <c r="X17" s="5180"/>
    </row>
    <row r="18" spans="1:29" s="1818" customFormat="1" ht="11.25" customHeight="1">
      <c r="A18" s="1285"/>
      <c r="B18" s="1285"/>
      <c r="C18" s="1285"/>
      <c r="D18" s="1285"/>
      <c r="E18" s="1285"/>
      <c r="F18" s="1277"/>
      <c r="G18" s="1277"/>
      <c r="H18" s="1277"/>
      <c r="I18" s="1154"/>
      <c r="J18" s="1155"/>
      <c r="K18" s="1170">
        <v>1</v>
      </c>
      <c r="L18" s="1196" t="s">
        <v>114</v>
      </c>
      <c r="M18" s="1171" t="s">
        <v>98</v>
      </c>
      <c r="N18" s="1153" t="str">
        <f ca="1">OFFSET(N18,0,-1)</f>
        <v>2</v>
      </c>
      <c r="O18" s="1207">
        <f ca="1">OFFSET(O18,0,-1)+1</f>
        <v>3</v>
      </c>
      <c r="P18" s="1207"/>
      <c r="Q18" s="1207">
        <f ca="1">OFFSET(Q18,0,-1)+1</f>
        <v>1</v>
      </c>
      <c r="R18" s="1207">
        <f ca="1">OFFSET(R18,0,-1)+1</f>
        <v>2</v>
      </c>
      <c r="S18" s="1207">
        <f ca="1">OFFSET(S18,0,-1)+1</f>
        <v>3</v>
      </c>
      <c r="T18" s="5321">
        <f ca="1">OFFSET(T18,0,-1)+1</f>
        <v>4</v>
      </c>
      <c r="U18" s="5321"/>
      <c r="V18" s="1207">
        <f ca="1">OFFSET(V18,0,-2)+1</f>
        <v>5</v>
      </c>
      <c r="W18" s="1153">
        <f ca="1">OFFSET(W18,0,-1)</f>
        <v>5</v>
      </c>
      <c r="X18" s="1207">
        <f ca="1">OFFSET(X18,0,-1)+1</f>
        <v>6</v>
      </c>
      <c r="Y18" s="436"/>
      <c r="Z18" s="436"/>
      <c r="AA18" s="436"/>
      <c r="AB18" s="436"/>
      <c r="AC18" s="436"/>
    </row>
    <row r="19" spans="1:29" ht="21" customHeight="1">
      <c r="A19" s="1278" t="s">
        <v>250</v>
      </c>
      <c r="B19" s="1278" t="s">
        <v>251</v>
      </c>
      <c r="C19" s="1278" t="s">
        <v>252</v>
      </c>
      <c r="D19" s="1278" t="s">
        <v>253</v>
      </c>
      <c r="E19" s="1278"/>
      <c r="F19" s="1280"/>
      <c r="G19" s="1280"/>
      <c r="H19" s="1280"/>
      <c r="I19" s="285"/>
      <c r="J19" s="284"/>
      <c r="K19" s="279"/>
      <c r="L19" s="1211">
        <f>INDEX(PT_DIFFERENTIATION_NUM_NTAR,MATCH(A19,PT_DIFFERENTIATION_NTAR_ID,0))</f>
        <v>1</v>
      </c>
      <c r="M19" s="216" t="s">
        <v>127</v>
      </c>
      <c r="N19" s="218"/>
      <c r="O19" s="5568" t="str">
        <f>INDEX(PT_DIFFERENTIATION_NTAR,MATCH(A19,PT_DIFFERENTIATION_NTAR_ID,0))</f>
        <v>Тарифы на теплоноситель, поставляемый потребителям. Муниципальный округ город Апатиты с подведомственной территорией Мурманской области, муниципальный округ город Кировск с подведомственной территорией Мурманской области</v>
      </c>
      <c r="P19" s="5568"/>
      <c r="Q19" s="5568"/>
      <c r="R19" s="5568"/>
      <c r="S19" s="5568"/>
      <c r="T19" s="5568"/>
      <c r="U19" s="5568"/>
      <c r="V19" s="5568"/>
      <c r="W19" s="5568"/>
      <c r="X19" s="1176" t="s">
        <v>515</v>
      </c>
      <c r="Z19" s="425"/>
      <c r="AA19" s="425" t="str">
        <f t="shared" ref="AA19:AA32" si="0">IF(M19="","",M19)</f>
        <v>Наименование тарифа</v>
      </c>
      <c r="AB19" s="425"/>
      <c r="AC19" s="425"/>
    </row>
    <row r="20" spans="1:29" ht="21" customHeight="1">
      <c r="A20" s="1278" t="s">
        <v>250</v>
      </c>
      <c r="B20" s="1278" t="s">
        <v>251</v>
      </c>
      <c r="C20" s="1278" t="s">
        <v>252</v>
      </c>
      <c r="D20" s="1278" t="s">
        <v>253</v>
      </c>
      <c r="E20" s="1278"/>
      <c r="F20" s="1280"/>
      <c r="G20" s="1280"/>
      <c r="H20" s="1280"/>
      <c r="I20" s="1208"/>
      <c r="J20" s="276"/>
      <c r="K20" s="277"/>
      <c r="L20" s="1211" t="str">
        <f>INDEX(PT_DIFFERENTIATION_NUM_TER,MATCH(B19,PT_DIFFERENTIATION_TER_ID,0))</f>
        <v>1.1</v>
      </c>
      <c r="M20" s="228" t="s">
        <v>516</v>
      </c>
      <c r="N20" s="218"/>
      <c r="O20" s="5568" t="str">
        <f>INDEX(PT_DIFFERENTIATION_TER,MATCH(B19,PT_DIFFERENTIATION_TER_ID,0))</f>
        <v>Территория 1</v>
      </c>
      <c r="P20" s="5568"/>
      <c r="Q20" s="5568"/>
      <c r="R20" s="5568"/>
      <c r="S20" s="5568"/>
      <c r="T20" s="5568"/>
      <c r="U20" s="5568"/>
      <c r="V20" s="5568"/>
      <c r="W20" s="5568"/>
      <c r="X20" s="1176" t="s">
        <v>517</v>
      </c>
      <c r="Z20" s="425"/>
      <c r="AA20" s="425" t="str">
        <f t="shared" si="0"/>
        <v>Территория действия тарифа</v>
      </c>
      <c r="AB20" s="425"/>
      <c r="AC20" s="425"/>
    </row>
    <row r="21" spans="1:29" ht="22.5" customHeight="1">
      <c r="A21" s="1278" t="s">
        <v>250</v>
      </c>
      <c r="B21" s="1278" t="s">
        <v>251</v>
      </c>
      <c r="C21" s="1278" t="s">
        <v>252</v>
      </c>
      <c r="D21" s="1278" t="s">
        <v>253</v>
      </c>
      <c r="E21" s="1278"/>
      <c r="F21" s="1280"/>
      <c r="G21" s="1280"/>
      <c r="H21" s="1280"/>
      <c r="I21" s="278"/>
      <c r="J21" s="276"/>
      <c r="K21" s="277"/>
      <c r="L21" s="1211" t="str">
        <f>INDEX(PT_DIFFERENTIATION_NUM_CS,MATCH(C19,PT_DIFFERENTIATION_CS_ID,0))</f>
        <v>1.1.1</v>
      </c>
      <c r="M21" s="229" t="s">
        <v>518</v>
      </c>
      <c r="N21" s="218"/>
      <c r="O21" s="5568" t="str">
        <f>INDEX(PT_DIFFERENTIATION_CS,MATCH(C19,PT_DIFFERENTIATION_CS_ID,0))</f>
        <v xml:space="preserve">открытая система теплоснабжения г. Апатиты
</v>
      </c>
      <c r="P21" s="5568"/>
      <c r="Q21" s="5568"/>
      <c r="R21" s="5568"/>
      <c r="S21" s="5568"/>
      <c r="T21" s="5568"/>
      <c r="U21" s="5568"/>
      <c r="V21" s="5568"/>
      <c r="W21" s="5568"/>
      <c r="X21" s="1176" t="s">
        <v>519</v>
      </c>
      <c r="Z21" s="425"/>
      <c r="AA21" s="425" t="str">
        <f t="shared" si="0"/>
        <v xml:space="preserve">Наименование системы теплоснабжения </v>
      </c>
      <c r="AB21" s="425"/>
      <c r="AC21" s="425"/>
    </row>
    <row r="22" spans="1:29" ht="21" customHeight="1">
      <c r="A22" s="1278" t="s">
        <v>250</v>
      </c>
      <c r="B22" s="1278" t="s">
        <v>251</v>
      </c>
      <c r="C22" s="1278" t="s">
        <v>252</v>
      </c>
      <c r="D22" s="1278" t="s">
        <v>253</v>
      </c>
      <c r="E22" s="1278"/>
      <c r="F22" s="1280"/>
      <c r="G22" s="1280"/>
      <c r="H22" s="1280"/>
      <c r="I22" s="278"/>
      <c r="J22" s="276"/>
      <c r="K22" s="277"/>
      <c r="L22" s="1211" t="str">
        <f>INDEX(PT_DIFFERENTIATION_NUM_IST_TE,MATCH(D19,PT_DIFFERENTIATION_IST_TE_ID,0))</f>
        <v>1.1.1.1</v>
      </c>
      <c r="M22" s="230" t="s">
        <v>520</v>
      </c>
      <c r="N22" s="218"/>
      <c r="O22" s="5568" t="str">
        <f>INDEX(PT_DIFFERENTIATION_IST_TE,MATCH(D19,PT_DIFFERENTIATION_IST_TE_ID,0))</f>
        <v>Апатитская ТЭЦ</v>
      </c>
      <c r="P22" s="5568"/>
      <c r="Q22" s="5568"/>
      <c r="R22" s="5568"/>
      <c r="S22" s="5568"/>
      <c r="T22" s="5568"/>
      <c r="U22" s="5568"/>
      <c r="V22" s="5568"/>
      <c r="W22" s="5568"/>
      <c r="X22" s="1176" t="s">
        <v>521</v>
      </c>
      <c r="Z22" s="425"/>
      <c r="AA22" s="425" t="str">
        <f t="shared" si="0"/>
        <v xml:space="preserve">Источник тепловой энергии  </v>
      </c>
      <c r="AB22" s="425"/>
      <c r="AC22" s="425"/>
    </row>
    <row r="23" spans="1:29" ht="94.5" customHeight="1">
      <c r="A23" s="1278" t="s">
        <v>250</v>
      </c>
      <c r="B23" s="1278" t="s">
        <v>251</v>
      </c>
      <c r="C23" s="1278" t="s">
        <v>252</v>
      </c>
      <c r="D23" s="1278" t="s">
        <v>253</v>
      </c>
      <c r="E23" s="1278"/>
      <c r="F23" s="5158" t="str">
        <f>L22&amp;".1"</f>
        <v>1.1.1.1.1</v>
      </c>
      <c r="I23" s="5313">
        <v>1</v>
      </c>
      <c r="J23" s="1209"/>
      <c r="K23" s="280"/>
      <c r="L23" s="1211" t="str">
        <f>$F$23</f>
        <v>1.1.1.1.1</v>
      </c>
      <c r="M23" s="203" t="s">
        <v>523</v>
      </c>
      <c r="N23" s="218"/>
      <c r="O23" s="5569"/>
      <c r="P23" s="5569"/>
      <c r="Q23" s="5569"/>
      <c r="R23" s="5569"/>
      <c r="S23" s="5569"/>
      <c r="T23" s="5569"/>
      <c r="U23" s="5569"/>
      <c r="V23" s="5569"/>
      <c r="W23" s="5569"/>
      <c r="X23" s="1176" t="s">
        <v>524</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250</v>
      </c>
      <c r="B24" s="1278" t="s">
        <v>251</v>
      </c>
      <c r="C24" s="1278" t="s">
        <v>252</v>
      </c>
      <c r="D24" s="1278" t="s">
        <v>253</v>
      </c>
      <c r="E24" s="1278"/>
      <c r="F24" s="5158"/>
      <c r="G24" s="5158" t="str">
        <f>F23&amp;".1"</f>
        <v>1.1.1.1.1.1</v>
      </c>
      <c r="I24" s="5313"/>
      <c r="J24" s="5313">
        <v>1</v>
      </c>
      <c r="K24" s="281"/>
      <c r="L24" s="1211" t="str">
        <f>$G$24</f>
        <v>1.1.1.1.1.1</v>
      </c>
      <c r="M24" s="204" t="s">
        <v>526</v>
      </c>
      <c r="N24" s="218"/>
      <c r="O24" s="5570"/>
      <c r="P24" s="5571"/>
      <c r="Q24" s="5571"/>
      <c r="R24" s="5571"/>
      <c r="S24" s="5571"/>
      <c r="T24" s="5571"/>
      <c r="U24" s="5571"/>
      <c r="V24" s="5571"/>
      <c r="W24" s="5572"/>
      <c r="X24" s="1176" t="s">
        <v>527</v>
      </c>
      <c r="Z24" s="425"/>
      <c r="AA24" s="425" t="str">
        <f t="shared" si="0"/>
        <v>Группа потребителей</v>
      </c>
      <c r="AB24" s="425"/>
      <c r="AC24" s="425"/>
    </row>
    <row r="25" spans="1:29" ht="11.25" customHeight="1">
      <c r="A25" s="1278" t="s">
        <v>250</v>
      </c>
      <c r="B25" s="1278" t="s">
        <v>251</v>
      </c>
      <c r="C25" s="1278" t="s">
        <v>252</v>
      </c>
      <c r="D25" s="1278" t="s">
        <v>253</v>
      </c>
      <c r="E25" s="1278"/>
      <c r="F25" s="5158"/>
      <c r="G25" s="5158"/>
      <c r="H25" s="5158" t="str">
        <f>G24&amp;".1"</f>
        <v>1.1.1.1.1.1.1</v>
      </c>
      <c r="I25" s="5313"/>
      <c r="J25" s="5313"/>
      <c r="K25" s="281">
        <v>1</v>
      </c>
      <c r="L25" s="1211" t="str">
        <f>$H$25</f>
        <v>1.1.1.1.1.1.1</v>
      </c>
      <c r="M25" s="1177"/>
      <c r="N25" s="218"/>
      <c r="O25" s="667"/>
      <c r="P25" s="250"/>
      <c r="Q25" s="667"/>
      <c r="R25" s="1175"/>
      <c r="S25" s="5317"/>
      <c r="T25" s="5161" t="s">
        <v>62</v>
      </c>
      <c r="U25" s="5317"/>
      <c r="V25" s="5161" t="s">
        <v>57</v>
      </c>
      <c r="W25" s="250"/>
      <c r="X25" s="5309" t="s">
        <v>529</v>
      </c>
      <c r="Y25" s="436" t="e">
        <f ca="1">STRCHECKDATE(O26:W26)</f>
        <v>#NAME?</v>
      </c>
      <c r="Z25" s="425"/>
      <c r="AA25" s="425" t="str">
        <f t="shared" si="0"/>
        <v/>
      </c>
      <c r="AB25" s="425"/>
      <c r="AC25" s="425"/>
    </row>
    <row r="26" spans="1:29" ht="11.25" customHeight="1">
      <c r="A26" s="1278" t="s">
        <v>250</v>
      </c>
      <c r="B26" s="1278" t="s">
        <v>251</v>
      </c>
      <c r="C26" s="1278" t="s">
        <v>252</v>
      </c>
      <c r="D26" s="1278" t="s">
        <v>253</v>
      </c>
      <c r="E26" s="1278"/>
      <c r="F26" s="5158"/>
      <c r="G26" s="5158"/>
      <c r="H26" s="5158"/>
      <c r="I26" s="5313"/>
      <c r="J26" s="5313"/>
      <c r="K26" s="281"/>
      <c r="L26" s="1212"/>
      <c r="M26" s="218"/>
      <c r="N26" s="218"/>
      <c r="O26" s="250"/>
      <c r="P26" s="250"/>
      <c r="Q26" s="250"/>
      <c r="R26" s="254" t="str">
        <f>S25&amp;"-"&amp;U25</f>
        <v>-</v>
      </c>
      <c r="S26" s="5318"/>
      <c r="T26" s="5161"/>
      <c r="U26" s="5318"/>
      <c r="V26" s="5161"/>
      <c r="W26" s="250"/>
      <c r="X26" s="5310"/>
      <c r="Z26" s="425"/>
      <c r="AA26" s="425" t="str">
        <f t="shared" si="0"/>
        <v/>
      </c>
      <c r="AB26" s="425"/>
      <c r="AC26" s="425"/>
    </row>
    <row r="27" spans="1:29" ht="15" customHeight="1">
      <c r="A27" s="1278" t="s">
        <v>250</v>
      </c>
      <c r="B27" s="1278" t="s">
        <v>251</v>
      </c>
      <c r="C27" s="1278" t="s">
        <v>252</v>
      </c>
      <c r="D27" s="1278" t="s">
        <v>253</v>
      </c>
      <c r="E27" s="1278"/>
      <c r="F27" s="5158"/>
      <c r="G27" s="5158"/>
      <c r="I27" s="5313"/>
      <c r="J27" s="5313"/>
      <c r="K27" s="280"/>
      <c r="L27" s="1197"/>
      <c r="M27" s="206" t="s">
        <v>530</v>
      </c>
      <c r="N27" s="294"/>
      <c r="O27" s="294"/>
      <c r="P27" s="294"/>
      <c r="Q27" s="294"/>
      <c r="R27" s="294"/>
      <c r="S27" s="294"/>
      <c r="T27" s="294"/>
      <c r="U27" s="294"/>
      <c r="V27" s="294"/>
      <c r="W27" s="249"/>
      <c r="X27" s="5311"/>
      <c r="Z27" s="425"/>
      <c r="AA27" s="425" t="str">
        <f t="shared" si="0"/>
        <v>Добавить вид теплоносителя (параметры теплоносителя)</v>
      </c>
      <c r="AB27" s="425"/>
      <c r="AC27" s="425"/>
    </row>
    <row r="28" spans="1:29" ht="15" customHeight="1">
      <c r="A28" s="1278" t="s">
        <v>250</v>
      </c>
      <c r="B28" s="1278" t="s">
        <v>251</v>
      </c>
      <c r="C28" s="1278" t="s">
        <v>252</v>
      </c>
      <c r="D28" s="1278" t="s">
        <v>253</v>
      </c>
      <c r="E28" s="1278"/>
      <c r="F28" s="5158"/>
      <c r="I28" s="5313"/>
      <c r="J28" s="1209"/>
      <c r="K28" s="280"/>
      <c r="L28" s="1197"/>
      <c r="M28" s="205" t="s">
        <v>531</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250</v>
      </c>
      <c r="B29" s="1278" t="s">
        <v>251</v>
      </c>
      <c r="C29" s="1278" t="s">
        <v>252</v>
      </c>
      <c r="D29" s="1278" t="s">
        <v>253</v>
      </c>
      <c r="E29" s="1278"/>
      <c r="F29" s="1280"/>
      <c r="G29" s="1280"/>
      <c r="H29" s="461"/>
      <c r="I29" s="284"/>
      <c r="J29" s="303"/>
      <c r="K29" s="279"/>
      <c r="L29" s="1197"/>
      <c r="M29" s="291" t="s">
        <v>532</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250</v>
      </c>
      <c r="B30" s="1278" t="s">
        <v>251</v>
      </c>
      <c r="C30" s="1278" t="s">
        <v>252</v>
      </c>
      <c r="D30" s="1278"/>
      <c r="E30" s="1278" t="s">
        <v>700</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250</v>
      </c>
      <c r="B31" s="1278" t="s">
        <v>251</v>
      </c>
      <c r="C31" s="1278"/>
      <c r="D31" s="1278"/>
      <c r="E31" s="1278" t="s">
        <v>2262</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2263</v>
      </c>
      <c r="B32" s="1278"/>
      <c r="C32" s="1278"/>
      <c r="D32" s="1278"/>
      <c r="E32" s="1278" t="s">
        <v>109</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5101" customFormat="1" ht="11.25" customHeight="1">
      <c r="A33" s="1278"/>
      <c r="B33" s="1278"/>
      <c r="C33" s="1278"/>
      <c r="D33" s="1278"/>
      <c r="E33" s="1278" t="s">
        <v>215</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832</v>
      </c>
      <c r="M35" s="5334" t="s">
        <v>2264</v>
      </c>
      <c r="N35" s="5334"/>
      <c r="O35" s="5334"/>
      <c r="P35" s="5334"/>
      <c r="Q35" s="5334"/>
      <c r="R35" s="5334"/>
      <c r="S35" s="5334"/>
      <c r="T35" s="5334"/>
      <c r="U35" s="5334"/>
      <c r="V35" s="5334"/>
      <c r="W35" s="5334"/>
      <c r="X35" s="5334"/>
    </row>
    <row r="36" spans="1:29" ht="104.25" customHeight="1">
      <c r="H36" s="461"/>
      <c r="I36" s="1221"/>
      <c r="M36" s="5334" t="s">
        <v>2265</v>
      </c>
      <c r="N36" s="5334"/>
      <c r="O36" s="5334"/>
      <c r="P36" s="5334"/>
      <c r="Q36" s="5334"/>
      <c r="R36" s="5334"/>
      <c r="S36" s="5334"/>
      <c r="T36" s="5334"/>
      <c r="U36" s="5334"/>
      <c r="V36" s="5334"/>
      <c r="W36" s="5334"/>
      <c r="X36" s="5334"/>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2112" customWidth="1"/>
    <col min="2" max="2" width="10.7109375" style="2112" customWidth="1"/>
    <col min="3" max="3" width="10" style="2112" customWidth="1"/>
    <col min="4" max="4" width="12.85546875" style="2112" customWidth="1"/>
    <col min="5" max="5" width="12.28515625" style="2112" customWidth="1"/>
    <col min="6" max="8" width="12.28515625" style="5122" customWidth="1"/>
    <col min="9" max="9" width="3.7109375" style="5122" customWidth="1"/>
    <col min="10" max="11" width="3.7109375" style="3147" customWidth="1"/>
    <col min="12" max="12" width="12.7109375" style="3148" customWidth="1"/>
    <col min="13" max="13" width="32" style="2112" customWidth="1"/>
    <col min="14" max="14" width="1.7109375" style="2112" customWidth="1"/>
    <col min="15" max="18" width="24.7109375" style="2112" customWidth="1"/>
    <col min="19" max="19" width="11.7109375" style="2112" customWidth="1"/>
    <col min="20" max="20" width="3.7109375" style="2112" customWidth="1"/>
    <col min="21" max="21" width="11.7109375" style="2112" customWidth="1"/>
    <col min="22" max="22" width="8.5703125" style="2112" customWidth="1"/>
    <col min="23" max="23" width="4.7109375" style="2112" customWidth="1"/>
    <col min="24" max="24" width="115.7109375" style="2112"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5565" t="s">
        <v>2260</v>
      </c>
      <c r="M5" s="5565"/>
      <c r="N5" s="5565"/>
      <c r="O5" s="5565"/>
      <c r="P5" s="5565"/>
      <c r="Q5" s="5565"/>
      <c r="R5" s="5565"/>
      <c r="S5" s="5565"/>
      <c r="T5" s="5565"/>
      <c r="U5" s="5565"/>
      <c r="V5" s="1151"/>
    </row>
    <row r="6" spans="6:29" ht="14.25" customHeight="1">
      <c r="J6" s="304"/>
      <c r="K6" s="304"/>
      <c r="L6" s="5566" t="str">
        <f>IF(org=0,"Не определено",org)</f>
        <v>ПАО "ТГК-1" (филиал "Кольский")</v>
      </c>
      <c r="M6" s="5566"/>
      <c r="N6" s="5566"/>
      <c r="O6" s="5566"/>
      <c r="P6" s="5566"/>
      <c r="Q6" s="5566"/>
      <c r="R6" s="5566"/>
      <c r="S6" s="5566"/>
      <c r="T6" s="5566"/>
      <c r="U6" s="5566"/>
      <c r="V6" s="1151"/>
    </row>
    <row r="7" spans="6:29" ht="14.25" customHeight="1">
      <c r="J7" s="304"/>
      <c r="K7" s="304"/>
      <c r="L7" s="1194"/>
      <c r="M7" s="289"/>
      <c r="N7" s="289"/>
      <c r="O7" s="246"/>
      <c r="P7" s="246"/>
      <c r="Q7" s="246"/>
      <c r="R7" s="246"/>
      <c r="S7" s="246"/>
      <c r="T7" s="246"/>
      <c r="U7" s="246"/>
      <c r="V7" s="246"/>
      <c r="W7" s="434"/>
    </row>
    <row r="8" spans="6:29" s="2180" customFormat="1" ht="45" customHeight="1">
      <c r="F8" s="1157"/>
      <c r="G8" s="1157"/>
      <c r="H8" s="1157"/>
      <c r="L8" s="1195"/>
      <c r="M8" s="213" t="s">
        <v>38</v>
      </c>
      <c r="N8" s="222"/>
      <c r="O8" s="5307" t="str">
        <f>IF(TITLE_NAME_OR_PR_CHANGE="",IF(TITLE_NAME_OR_PR="","",TITLE_NAME_OR_PR),TITLE_NAME_OR_PR_CHANGE)</f>
        <v>Комитет по тарифному регулированию Мурманской области</v>
      </c>
      <c r="P8" s="5307"/>
      <c r="Q8" s="5307"/>
      <c r="R8" s="5307"/>
      <c r="S8" s="5307"/>
      <c r="T8" s="5307"/>
      <c r="U8" s="5307"/>
      <c r="V8" s="252"/>
      <c r="W8" s="252"/>
      <c r="X8" s="199"/>
      <c r="Y8" s="295"/>
      <c r="Z8" s="295"/>
      <c r="AA8" s="295"/>
      <c r="AB8" s="295"/>
      <c r="AC8" s="295"/>
    </row>
    <row r="9" spans="6:29" s="2180" customFormat="1" ht="22.5" customHeight="1">
      <c r="F9" s="1157"/>
      <c r="G9" s="1157"/>
      <c r="H9" s="1157"/>
      <c r="L9" s="1195"/>
      <c r="M9" s="213" t="s">
        <v>539</v>
      </c>
      <c r="N9" s="222"/>
      <c r="O9" s="5307">
        <f>IF(TITLE_DATE_CHANGE_PERIOD="",IF(TITLE_DATE_PR="","",TITLE_DATE_PR),TITLE_DATE_CHANGE_PERIOD)</f>
        <v>45292.338773148149</v>
      </c>
      <c r="P9" s="5307"/>
      <c r="Q9" s="5307"/>
      <c r="R9" s="5307"/>
      <c r="S9" s="5307"/>
      <c r="T9" s="5307"/>
      <c r="U9" s="5307"/>
      <c r="V9" s="252"/>
      <c r="W9" s="252"/>
      <c r="X9" s="199"/>
      <c r="Y9" s="295"/>
      <c r="Z9" s="295"/>
      <c r="AA9" s="295"/>
      <c r="AB9" s="295"/>
      <c r="AC9" s="295"/>
    </row>
    <row r="10" spans="6:29" s="2180" customFormat="1" ht="22.5" customHeight="1">
      <c r="F10" s="1157"/>
      <c r="G10" s="1157"/>
      <c r="H10" s="1157"/>
      <c r="L10" s="1159"/>
      <c r="M10" s="213" t="s">
        <v>540</v>
      </c>
      <c r="N10" s="222"/>
      <c r="O10" s="5307" t="str">
        <f>IF(TITLE_NUMBER_PR_CHANGE="",IF(TITLE_NUMBER_PR="","",TITLE_NUMBER_PR),TITLE_NUMBER_PR_CHANGE)</f>
        <v>51/6; 51/7</v>
      </c>
      <c r="P10" s="5307"/>
      <c r="Q10" s="5307"/>
      <c r="R10" s="5307"/>
      <c r="S10" s="5307"/>
      <c r="T10" s="5307"/>
      <c r="U10" s="5307"/>
      <c r="V10" s="252"/>
      <c r="W10" s="252"/>
      <c r="X10" s="199"/>
      <c r="Y10" s="295"/>
      <c r="Z10" s="295"/>
      <c r="AA10" s="295"/>
      <c r="AB10" s="295"/>
      <c r="AC10" s="295"/>
    </row>
    <row r="11" spans="6:29" s="2180" customFormat="1" ht="22.5" customHeight="1">
      <c r="F11" s="1157"/>
      <c r="G11" s="1157"/>
      <c r="H11" s="1157"/>
      <c r="L11" s="1159"/>
      <c r="M11" s="213" t="s">
        <v>40</v>
      </c>
      <c r="N11" s="222"/>
      <c r="O11" s="5307" t="str">
        <f>IF(TITLE_IST_PUB_CHANGE="",IF(TITLE_IST_PUB="","",TITLE_IST_PUB),TITLE_IST_PUB_CHANGE)</f>
        <v>Официальный электронный бюллетень Правительства Мурманской области</v>
      </c>
      <c r="P11" s="5307"/>
      <c r="Q11" s="5307"/>
      <c r="R11" s="5307"/>
      <c r="S11" s="5307"/>
      <c r="T11" s="5307"/>
      <c r="U11" s="5307"/>
      <c r="V11" s="252"/>
      <c r="W11" s="252"/>
      <c r="X11" s="199"/>
      <c r="Y11" s="295"/>
      <c r="Z11" s="295"/>
      <c r="AA11" s="295"/>
      <c r="AB11" s="295"/>
      <c r="AC11" s="295"/>
    </row>
    <row r="12" spans="6:29" s="2180" customFormat="1" ht="11.25" hidden="1" customHeight="1">
      <c r="F12" s="1157"/>
      <c r="G12" s="1157"/>
      <c r="H12" s="1157"/>
      <c r="L12" s="5567"/>
      <c r="M12" s="5567"/>
      <c r="N12" s="1205"/>
      <c r="O12" s="252"/>
      <c r="P12" s="252"/>
      <c r="Q12" s="252"/>
      <c r="R12" s="252"/>
      <c r="S12" s="252"/>
      <c r="T12" s="252"/>
      <c r="U12" s="252"/>
      <c r="V12" s="197" t="s">
        <v>543</v>
      </c>
      <c r="Y12" s="295"/>
      <c r="Z12" s="295"/>
      <c r="AA12" s="295"/>
      <c r="AB12" s="295"/>
      <c r="AC12" s="295"/>
    </row>
    <row r="13" spans="6:29" ht="14.25" customHeight="1">
      <c r="J13" s="304"/>
      <c r="K13" s="304"/>
      <c r="L13" s="1194"/>
      <c r="M13" s="289"/>
      <c r="N13" s="1152"/>
      <c r="O13" s="5308"/>
      <c r="P13" s="5308"/>
      <c r="Q13" s="5308"/>
      <c r="R13" s="5308"/>
      <c r="S13" s="5308"/>
      <c r="T13" s="5308"/>
      <c r="U13" s="5308"/>
      <c r="V13" s="5308"/>
    </row>
    <row r="14" spans="6:29" ht="14.25" customHeight="1">
      <c r="J14" s="304"/>
      <c r="K14" s="304"/>
      <c r="L14" s="5180" t="s">
        <v>417</v>
      </c>
      <c r="M14" s="5180"/>
      <c r="N14" s="5180"/>
      <c r="O14" s="5180"/>
      <c r="P14" s="5180"/>
      <c r="Q14" s="5180"/>
      <c r="R14" s="5180"/>
      <c r="S14" s="5180"/>
      <c r="T14" s="5180"/>
      <c r="U14" s="5180"/>
      <c r="V14" s="5180"/>
      <c r="W14" s="5180"/>
      <c r="X14" s="5180" t="s">
        <v>418</v>
      </c>
    </row>
    <row r="15" spans="6:29" ht="14.25" customHeight="1">
      <c r="J15" s="304"/>
      <c r="K15" s="304"/>
      <c r="L15" s="5322" t="s">
        <v>83</v>
      </c>
      <c r="M15" s="5274" t="s">
        <v>544</v>
      </c>
      <c r="N15" s="219"/>
      <c r="O15" s="5323" t="s">
        <v>2261</v>
      </c>
      <c r="P15" s="5324"/>
      <c r="Q15" s="5324"/>
      <c r="R15" s="5324"/>
      <c r="S15" s="5324"/>
      <c r="T15" s="5324"/>
      <c r="U15" s="5325"/>
      <c r="V15" s="5326" t="s">
        <v>546</v>
      </c>
      <c r="W15" s="5329" t="s">
        <v>1183</v>
      </c>
      <c r="X15" s="5180"/>
    </row>
    <row r="16" spans="6:29" ht="33.75" customHeight="1">
      <c r="J16" s="304"/>
      <c r="K16" s="304"/>
      <c r="L16" s="5322"/>
      <c r="M16" s="5274"/>
      <c r="N16" s="937"/>
      <c r="O16" s="5244" t="s">
        <v>549</v>
      </c>
      <c r="P16" s="5244" t="s">
        <v>550</v>
      </c>
      <c r="Q16" s="5151" t="s">
        <v>551</v>
      </c>
      <c r="R16" s="5150"/>
      <c r="S16" s="5151" t="s">
        <v>568</v>
      </c>
      <c r="T16" s="5156"/>
      <c r="U16" s="5150"/>
      <c r="V16" s="5327"/>
      <c r="W16" s="5330"/>
      <c r="X16" s="5180"/>
    </row>
    <row r="17" spans="1:29" ht="33.75" customHeight="1">
      <c r="A17" s="1178" t="s">
        <v>138</v>
      </c>
      <c r="B17" s="1178" t="s">
        <v>139</v>
      </c>
      <c r="C17" s="1178" t="s">
        <v>140</v>
      </c>
      <c r="D17" s="1178" t="s">
        <v>141</v>
      </c>
      <c r="E17" s="1178"/>
      <c r="J17" s="304"/>
      <c r="K17" s="304"/>
      <c r="L17" s="5322"/>
      <c r="M17" s="5274"/>
      <c r="N17" s="220"/>
      <c r="O17" s="5293"/>
      <c r="P17" s="5293"/>
      <c r="Q17" s="1127" t="s">
        <v>560</v>
      </c>
      <c r="R17" s="1127" t="s">
        <v>561</v>
      </c>
      <c r="S17" s="1210" t="s">
        <v>562</v>
      </c>
      <c r="T17" s="5282" t="s">
        <v>563</v>
      </c>
      <c r="U17" s="5284"/>
      <c r="V17" s="5328"/>
      <c r="W17" s="5331"/>
      <c r="X17" s="5180"/>
    </row>
    <row r="18" spans="1:29" s="1818" customFormat="1" ht="11.25" customHeight="1">
      <c r="A18" s="1178"/>
      <c r="B18" s="1178"/>
      <c r="C18" s="1178"/>
      <c r="D18" s="1178"/>
      <c r="E18" s="1178"/>
      <c r="F18" s="1204"/>
      <c r="G18" s="1204"/>
      <c r="H18" s="1204"/>
      <c r="I18" s="1154"/>
      <c r="J18" s="1155"/>
      <c r="K18" s="1170">
        <v>1</v>
      </c>
      <c r="L18" s="1196" t="s">
        <v>114</v>
      </c>
      <c r="M18" s="1171" t="s">
        <v>98</v>
      </c>
      <c r="N18" s="1153" t="str">
        <f ca="1">OFFSET(N18,0,-1)</f>
        <v>2</v>
      </c>
      <c r="O18" s="1207">
        <f ca="1">OFFSET(O18,0,-1)+1</f>
        <v>3</v>
      </c>
      <c r="P18" s="1207"/>
      <c r="Q18" s="1207">
        <f ca="1">OFFSET(Q18,0,-1)+1</f>
        <v>1</v>
      </c>
      <c r="R18" s="1207">
        <f ca="1">OFFSET(R18,0,-1)+1</f>
        <v>2</v>
      </c>
      <c r="S18" s="1207">
        <f ca="1">OFFSET(S18,0,-1)+1</f>
        <v>3</v>
      </c>
      <c r="T18" s="5321">
        <f ca="1">OFFSET(T18,0,-1)+1</f>
        <v>4</v>
      </c>
      <c r="U18" s="5321"/>
      <c r="V18" s="1207">
        <f ca="1">OFFSET(V18,0,-2)+1</f>
        <v>5</v>
      </c>
      <c r="W18" s="1153">
        <f ca="1">OFFSET(W18,0,-1)</f>
        <v>5</v>
      </c>
      <c r="X18" s="1207">
        <f ca="1">OFFSET(X18,0,-1)+1</f>
        <v>6</v>
      </c>
      <c r="Y18" s="436"/>
      <c r="Z18" s="436"/>
      <c r="AA18" s="436"/>
      <c r="AB18" s="436"/>
      <c r="AC18" s="436"/>
    </row>
    <row r="19" spans="1:29" ht="21" customHeight="1">
      <c r="A19" s="1185" t="s">
        <v>2266</v>
      </c>
      <c r="B19" s="1185" t="s">
        <v>2267</v>
      </c>
      <c r="C19" s="1185" t="s">
        <v>2268</v>
      </c>
      <c r="D19" s="1185" t="s">
        <v>2269</v>
      </c>
      <c r="E19" s="1185"/>
      <c r="F19" s="607"/>
      <c r="G19" s="607"/>
      <c r="H19" s="607"/>
      <c r="I19" s="285"/>
      <c r="J19" s="284"/>
      <c r="K19" s="279"/>
      <c r="L19" s="1211" t="e">
        <f>INDEX(PT_DIFFERENTIATION_NUM_NTAR,MATCH(A19,PT_DIFFERENTIATION_NTAR_ID,0))</f>
        <v>#N/A</v>
      </c>
      <c r="M19" s="216" t="s">
        <v>127</v>
      </c>
      <c r="N19" s="218"/>
      <c r="O19" s="5568" t="e">
        <f>INDEX(PT_DIFFERENTIATION_NTAR,MATCH(A19,PT_DIFFERENTIATION_NTAR_ID,0))</f>
        <v>#N/A</v>
      </c>
      <c r="P19" s="5568"/>
      <c r="Q19" s="5568"/>
      <c r="R19" s="5568"/>
      <c r="S19" s="5568"/>
      <c r="T19" s="5568"/>
      <c r="U19" s="5568"/>
      <c r="V19" s="5568"/>
      <c r="W19" s="5568"/>
      <c r="X19" s="1176" t="s">
        <v>515</v>
      </c>
      <c r="Z19" s="425"/>
      <c r="AA19" s="425" t="str">
        <f t="shared" ref="AA19:AA32" si="0">IF(M19="","",M19)</f>
        <v>Наименование тарифа</v>
      </c>
      <c r="AB19" s="425"/>
      <c r="AC19" s="425"/>
    </row>
    <row r="20" spans="1:29" ht="21" customHeight="1">
      <c r="A20" s="1185" t="s">
        <v>2266</v>
      </c>
      <c r="B20" s="1185" t="s">
        <v>2267</v>
      </c>
      <c r="C20" s="1185" t="s">
        <v>2268</v>
      </c>
      <c r="D20" s="1185" t="s">
        <v>2269</v>
      </c>
      <c r="E20" s="1185"/>
      <c r="F20" s="607"/>
      <c r="G20" s="607"/>
      <c r="H20" s="607"/>
      <c r="I20" s="1208"/>
      <c r="J20" s="276"/>
      <c r="K20" s="277"/>
      <c r="L20" s="1211" t="e">
        <f>INDEX(PT_DIFFERENTIATION_NUM_TER,MATCH(B19,PT_DIFFERENTIATION_TER_ID,0))</f>
        <v>#N/A</v>
      </c>
      <c r="M20" s="228" t="s">
        <v>516</v>
      </c>
      <c r="N20" s="218"/>
      <c r="O20" s="5568" t="e">
        <f>INDEX(PT_DIFFERENTIATION_TER,MATCH(B19,PT_DIFFERENTIATION_TER_ID,0))</f>
        <v>#N/A</v>
      </c>
      <c r="P20" s="5568"/>
      <c r="Q20" s="5568"/>
      <c r="R20" s="5568"/>
      <c r="S20" s="5568"/>
      <c r="T20" s="5568"/>
      <c r="U20" s="5568"/>
      <c r="V20" s="5568"/>
      <c r="W20" s="5568"/>
      <c r="X20" s="1176" t="s">
        <v>517</v>
      </c>
      <c r="Z20" s="425"/>
      <c r="AA20" s="425" t="str">
        <f t="shared" si="0"/>
        <v>Территория действия тарифа</v>
      </c>
      <c r="AB20" s="425"/>
      <c r="AC20" s="425"/>
    </row>
    <row r="21" spans="1:29" ht="22.5" customHeight="1">
      <c r="A21" s="1185" t="s">
        <v>2266</v>
      </c>
      <c r="B21" s="1185" t="s">
        <v>2267</v>
      </c>
      <c r="C21" s="1185" t="s">
        <v>2268</v>
      </c>
      <c r="D21" s="1185" t="s">
        <v>2269</v>
      </c>
      <c r="E21" s="1185"/>
      <c r="F21" s="607"/>
      <c r="G21" s="607"/>
      <c r="H21" s="607"/>
      <c r="I21" s="278"/>
      <c r="J21" s="276"/>
      <c r="K21" s="277"/>
      <c r="L21" s="1211" t="e">
        <f>INDEX(PT_DIFFERENTIATION_NUM_CS,MATCH(C19,PT_DIFFERENTIATION_CS_ID,0))</f>
        <v>#N/A</v>
      </c>
      <c r="M21" s="229" t="s">
        <v>518</v>
      </c>
      <c r="N21" s="218"/>
      <c r="O21" s="5568" t="e">
        <f>INDEX(PT_DIFFERENTIATION_CS,MATCH(C19,PT_DIFFERENTIATION_CS_ID,0))</f>
        <v>#N/A</v>
      </c>
      <c r="P21" s="5568"/>
      <c r="Q21" s="5568"/>
      <c r="R21" s="5568"/>
      <c r="S21" s="5568"/>
      <c r="T21" s="5568"/>
      <c r="U21" s="5568"/>
      <c r="V21" s="5568"/>
      <c r="W21" s="5568"/>
      <c r="X21" s="1176" t="s">
        <v>519</v>
      </c>
      <c r="Z21" s="425"/>
      <c r="AA21" s="425" t="str">
        <f t="shared" si="0"/>
        <v xml:space="preserve">Наименование системы теплоснабжения </v>
      </c>
      <c r="AB21" s="425"/>
      <c r="AC21" s="425"/>
    </row>
    <row r="22" spans="1:29" ht="21" customHeight="1">
      <c r="A22" s="1185" t="s">
        <v>2266</v>
      </c>
      <c r="B22" s="1185" t="s">
        <v>2267</v>
      </c>
      <c r="C22" s="1185" t="s">
        <v>2268</v>
      </c>
      <c r="D22" s="1185" t="s">
        <v>2269</v>
      </c>
      <c r="E22" s="1185"/>
      <c r="F22" s="607"/>
      <c r="G22" s="607"/>
      <c r="H22" s="607"/>
      <c r="I22" s="278"/>
      <c r="J22" s="276"/>
      <c r="K22" s="277"/>
      <c r="L22" s="1211" t="e">
        <f>INDEX(PT_DIFFERENTIATION_NUM_IST_TE,MATCH(D19,PT_DIFFERENTIATION_IST_TE_ID,0))</f>
        <v>#N/A</v>
      </c>
      <c r="M22" s="230" t="s">
        <v>520</v>
      </c>
      <c r="N22" s="218"/>
      <c r="O22" s="5568" t="e">
        <f>INDEX(PT_DIFFERENTIATION_IST_TE,MATCH(D19,PT_DIFFERENTIATION_IST_TE_ID,0))</f>
        <v>#N/A</v>
      </c>
      <c r="P22" s="5568"/>
      <c r="Q22" s="5568"/>
      <c r="R22" s="5568"/>
      <c r="S22" s="5568"/>
      <c r="T22" s="5568"/>
      <c r="U22" s="5568"/>
      <c r="V22" s="5568"/>
      <c r="W22" s="5568"/>
      <c r="X22" s="1176" t="s">
        <v>521</v>
      </c>
      <c r="Z22" s="425"/>
      <c r="AA22" s="425" t="str">
        <f t="shared" si="0"/>
        <v xml:space="preserve">Источник тепловой энергии  </v>
      </c>
      <c r="AB22" s="425"/>
      <c r="AC22" s="425"/>
    </row>
    <row r="23" spans="1:29" ht="94.5" customHeight="1">
      <c r="A23" s="1185" t="s">
        <v>2266</v>
      </c>
      <c r="B23" s="1185" t="s">
        <v>2267</v>
      </c>
      <c r="C23" s="1185" t="s">
        <v>2268</v>
      </c>
      <c r="D23" s="1185" t="s">
        <v>2269</v>
      </c>
      <c r="E23" s="1185"/>
      <c r="F23" s="5154" t="e">
        <f>L22&amp;".1"</f>
        <v>#N/A</v>
      </c>
      <c r="I23" s="5313">
        <v>1</v>
      </c>
      <c r="J23" s="1209"/>
      <c r="K23" s="280"/>
      <c r="L23" s="1211" t="e">
        <f>$F$23</f>
        <v>#N/A</v>
      </c>
      <c r="M23" s="203" t="s">
        <v>523</v>
      </c>
      <c r="N23" s="218"/>
      <c r="O23" s="5569"/>
      <c r="P23" s="5569"/>
      <c r="Q23" s="5569"/>
      <c r="R23" s="5569"/>
      <c r="S23" s="5569"/>
      <c r="T23" s="5569"/>
      <c r="U23" s="5569"/>
      <c r="V23" s="5569"/>
      <c r="W23" s="5569"/>
      <c r="X23" s="1176" t="s">
        <v>524</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2266</v>
      </c>
      <c r="B24" s="1185" t="s">
        <v>2267</v>
      </c>
      <c r="C24" s="1185" t="s">
        <v>2268</v>
      </c>
      <c r="D24" s="1185" t="s">
        <v>2269</v>
      </c>
      <c r="E24" s="1185"/>
      <c r="F24" s="5154"/>
      <c r="G24" s="5154" t="e">
        <f>F23&amp;".1"</f>
        <v>#N/A</v>
      </c>
      <c r="I24" s="5313"/>
      <c r="J24" s="5313">
        <v>1</v>
      </c>
      <c r="K24" s="281"/>
      <c r="L24" s="1211" t="e">
        <f>$G$24</f>
        <v>#N/A</v>
      </c>
      <c r="M24" s="204" t="s">
        <v>526</v>
      </c>
      <c r="N24" s="218"/>
      <c r="O24" s="5570"/>
      <c r="P24" s="5571"/>
      <c r="Q24" s="5571"/>
      <c r="R24" s="5571"/>
      <c r="S24" s="5571"/>
      <c r="T24" s="5571"/>
      <c r="U24" s="5571"/>
      <c r="V24" s="5571"/>
      <c r="W24" s="5572"/>
      <c r="X24" s="1176" t="s">
        <v>527</v>
      </c>
      <c r="Z24" s="425"/>
      <c r="AA24" s="425" t="str">
        <f t="shared" si="0"/>
        <v>Группа потребителей</v>
      </c>
      <c r="AB24" s="425"/>
      <c r="AC24" s="425"/>
    </row>
    <row r="25" spans="1:29" ht="11.25" customHeight="1">
      <c r="A25" s="1185" t="s">
        <v>2266</v>
      </c>
      <c r="B25" s="1185" t="s">
        <v>2267</v>
      </c>
      <c r="C25" s="1185" t="s">
        <v>2268</v>
      </c>
      <c r="D25" s="1185" t="s">
        <v>2269</v>
      </c>
      <c r="E25" s="1185"/>
      <c r="F25" s="5154"/>
      <c r="G25" s="5154"/>
      <c r="H25" s="5154" t="e">
        <f>G24&amp;".1"</f>
        <v>#N/A</v>
      </c>
      <c r="I25" s="5313"/>
      <c r="J25" s="5313"/>
      <c r="K25" s="281">
        <v>1</v>
      </c>
      <c r="L25" s="1211" t="e">
        <f>$H$25</f>
        <v>#N/A</v>
      </c>
      <c r="M25" s="1177"/>
      <c r="N25" s="218"/>
      <c r="O25" s="667"/>
      <c r="P25" s="250"/>
      <c r="Q25" s="667"/>
      <c r="R25" s="1175"/>
      <c r="S25" s="5317"/>
      <c r="T25" s="5161" t="s">
        <v>62</v>
      </c>
      <c r="U25" s="5317"/>
      <c r="V25" s="5161" t="s">
        <v>57</v>
      </c>
      <c r="W25" s="250"/>
      <c r="X25" s="5309" t="s">
        <v>529</v>
      </c>
      <c r="Y25" s="436" t="e">
        <f ca="1">STRCHECKDATE(O26:W26)</f>
        <v>#NAME?</v>
      </c>
      <c r="Z25" s="425"/>
      <c r="AA25" s="425" t="str">
        <f t="shared" si="0"/>
        <v/>
      </c>
      <c r="AB25" s="425"/>
      <c r="AC25" s="425"/>
    </row>
    <row r="26" spans="1:29" ht="11.25" customHeight="1">
      <c r="A26" s="1185" t="s">
        <v>2266</v>
      </c>
      <c r="B26" s="1185" t="s">
        <v>2267</v>
      </c>
      <c r="C26" s="1185" t="s">
        <v>2268</v>
      </c>
      <c r="D26" s="1185" t="s">
        <v>2269</v>
      </c>
      <c r="E26" s="1185"/>
      <c r="F26" s="5154"/>
      <c r="G26" s="5154"/>
      <c r="H26" s="5154"/>
      <c r="I26" s="5313"/>
      <c r="J26" s="5313"/>
      <c r="K26" s="281"/>
      <c r="L26" s="1212"/>
      <c r="M26" s="218"/>
      <c r="N26" s="218"/>
      <c r="O26" s="250"/>
      <c r="P26" s="250"/>
      <c r="Q26" s="250"/>
      <c r="R26" s="254" t="str">
        <f>S25&amp;"-"&amp;U25</f>
        <v>-</v>
      </c>
      <c r="S26" s="5318"/>
      <c r="T26" s="5161"/>
      <c r="U26" s="5318"/>
      <c r="V26" s="5161"/>
      <c r="W26" s="250"/>
      <c r="X26" s="5310"/>
      <c r="Z26" s="425"/>
      <c r="AA26" s="425" t="str">
        <f t="shared" si="0"/>
        <v/>
      </c>
      <c r="AB26" s="425"/>
      <c r="AC26" s="425"/>
    </row>
    <row r="27" spans="1:29" ht="15" customHeight="1">
      <c r="A27" s="1185" t="s">
        <v>2266</v>
      </c>
      <c r="B27" s="1185" t="s">
        <v>2267</v>
      </c>
      <c r="C27" s="1185" t="s">
        <v>2268</v>
      </c>
      <c r="D27" s="1185" t="s">
        <v>2269</v>
      </c>
      <c r="E27" s="1185"/>
      <c r="F27" s="5154"/>
      <c r="G27" s="5154"/>
      <c r="I27" s="5313"/>
      <c r="J27" s="5313"/>
      <c r="K27" s="280"/>
      <c r="L27" s="1197"/>
      <c r="M27" s="206" t="s">
        <v>530</v>
      </c>
      <c r="N27" s="294"/>
      <c r="O27" s="294"/>
      <c r="P27" s="294"/>
      <c r="Q27" s="294"/>
      <c r="R27" s="294"/>
      <c r="S27" s="294"/>
      <c r="T27" s="294"/>
      <c r="U27" s="294"/>
      <c r="V27" s="294"/>
      <c r="W27" s="249"/>
      <c r="X27" s="5311"/>
      <c r="Z27" s="425"/>
      <c r="AA27" s="425" t="str">
        <f t="shared" si="0"/>
        <v>Добавить вид теплоносителя (параметры теплоносителя)</v>
      </c>
      <c r="AB27" s="425"/>
      <c r="AC27" s="425"/>
    </row>
    <row r="28" spans="1:29" ht="15" customHeight="1">
      <c r="A28" s="1185" t="s">
        <v>2266</v>
      </c>
      <c r="B28" s="1185" t="s">
        <v>2267</v>
      </c>
      <c r="C28" s="1185" t="s">
        <v>2268</v>
      </c>
      <c r="D28" s="1185" t="s">
        <v>2269</v>
      </c>
      <c r="E28" s="1185"/>
      <c r="F28" s="5154"/>
      <c r="I28" s="5313"/>
      <c r="J28" s="1209"/>
      <c r="K28" s="280"/>
      <c r="L28" s="1197"/>
      <c r="M28" s="205" t="s">
        <v>531</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2266</v>
      </c>
      <c r="B29" s="1185" t="s">
        <v>2267</v>
      </c>
      <c r="C29" s="1185" t="s">
        <v>2268</v>
      </c>
      <c r="D29" s="1185" t="s">
        <v>2269</v>
      </c>
      <c r="E29" s="1185"/>
      <c r="F29" s="607"/>
      <c r="G29" s="607"/>
      <c r="H29" s="434"/>
      <c r="I29" s="284"/>
      <c r="J29" s="303"/>
      <c r="K29" s="279"/>
      <c r="L29" s="1197"/>
      <c r="M29" s="291" t="s">
        <v>532</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2266</v>
      </c>
      <c r="B30" s="1185" t="s">
        <v>2267</v>
      </c>
      <c r="C30" s="1185" t="s">
        <v>2268</v>
      </c>
      <c r="D30" s="1185"/>
      <c r="E30" s="1185" t="s">
        <v>700</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2266</v>
      </c>
      <c r="B31" s="1185" t="s">
        <v>2267</v>
      </c>
      <c r="C31" s="1185"/>
      <c r="D31" s="1185"/>
      <c r="E31" s="1185" t="s">
        <v>2262</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2270</v>
      </c>
      <c r="B32" s="1185"/>
      <c r="C32" s="1185"/>
      <c r="D32" s="1185"/>
      <c r="E32" s="1185" t="s">
        <v>109</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5101" customFormat="1" ht="11.25" customHeight="1">
      <c r="A33" s="1185"/>
      <c r="B33" s="1185"/>
      <c r="C33" s="1185"/>
      <c r="D33" s="1185"/>
      <c r="E33" s="1185" t="s">
        <v>215</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832</v>
      </c>
      <c r="M35" s="5334" t="s">
        <v>2264</v>
      </c>
      <c r="N35" s="5334"/>
      <c r="O35" s="5334"/>
      <c r="P35" s="5334"/>
      <c r="Q35" s="5334"/>
      <c r="R35" s="5334"/>
      <c r="S35" s="5334"/>
      <c r="T35" s="5334"/>
      <c r="U35" s="5334"/>
      <c r="V35" s="5334"/>
      <c r="W35" s="5334"/>
      <c r="X35" s="5334"/>
    </row>
    <row r="36" spans="1:29" ht="104.25" customHeight="1">
      <c r="F36" s="1221"/>
      <c r="G36" s="1221"/>
      <c r="H36" s="434"/>
      <c r="I36" s="1221"/>
      <c r="M36" s="5334" t="s">
        <v>2265</v>
      </c>
      <c r="N36" s="5334"/>
      <c r="O36" s="5334"/>
      <c r="P36" s="5334"/>
      <c r="Q36" s="5334"/>
      <c r="R36" s="5334"/>
      <c r="S36" s="5334"/>
      <c r="T36" s="5334"/>
      <c r="U36" s="5334"/>
      <c r="V36" s="5334"/>
      <c r="W36" s="5334"/>
      <c r="X36" s="5334"/>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2112"/>
    <col min="2" max="2" width="11" style="2112" customWidth="1"/>
    <col min="3" max="3" width="10.5703125" style="2112"/>
    <col min="4" max="4" width="11.85546875" style="2112" customWidth="1"/>
    <col min="5" max="5" width="12.28515625" style="2112" customWidth="1"/>
    <col min="6" max="8" width="12.28515625" style="5122" customWidth="1"/>
    <col min="9" max="9" width="3.7109375" style="5122" customWidth="1"/>
    <col min="10" max="11" width="3.7109375" style="3147" customWidth="1"/>
    <col min="12" max="12" width="12.7109375" style="3148" customWidth="1"/>
    <col min="13" max="13" width="32" style="2112" customWidth="1"/>
    <col min="14" max="14" width="1.7109375" style="2112" customWidth="1"/>
    <col min="15" max="18" width="24.7109375" style="2112" customWidth="1"/>
    <col min="19" max="19" width="11.7109375" style="2112" customWidth="1"/>
    <col min="20" max="20" width="3.7109375" style="2112" customWidth="1"/>
    <col min="21" max="21" width="11.7109375" style="2112" customWidth="1"/>
    <col min="22" max="22" width="8.5703125" style="2112" customWidth="1"/>
    <col min="23" max="23" width="4.7109375" style="2112" customWidth="1"/>
    <col min="24" max="24" width="115.7109375" style="2112" customWidth="1"/>
    <col min="25" max="26" width="10.5703125" style="1819"/>
    <col min="27" max="27" width="11.140625" style="1819" customWidth="1"/>
    <col min="28" max="29" width="10.5703125" style="1819"/>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5565" t="s">
        <v>2260</v>
      </c>
      <c r="M5" s="5565"/>
      <c r="N5" s="5565"/>
      <c r="O5" s="5565"/>
      <c r="P5" s="5565"/>
      <c r="Q5" s="5565"/>
      <c r="R5" s="5565"/>
      <c r="S5" s="5565"/>
      <c r="T5" s="5565"/>
      <c r="U5" s="5565"/>
      <c r="V5" s="1151"/>
    </row>
    <row r="6" spans="6:29" ht="14.25" customHeight="1">
      <c r="J6" s="304"/>
      <c r="K6" s="304"/>
      <c r="L6" s="5566" t="str">
        <f>IF(org=0,"Не определено",org)</f>
        <v>ПАО "ТГК-1" (филиал "Кольский")</v>
      </c>
      <c r="M6" s="5566"/>
      <c r="N6" s="5566"/>
      <c r="O6" s="5566"/>
      <c r="P6" s="5566"/>
      <c r="Q6" s="5566"/>
      <c r="R6" s="5566"/>
      <c r="S6" s="5566"/>
      <c r="T6" s="5566"/>
      <c r="U6" s="5566"/>
      <c r="V6" s="1151"/>
    </row>
    <row r="7" spans="6:29" ht="14.25" customHeight="1">
      <c r="J7" s="304"/>
      <c r="K7" s="304"/>
      <c r="L7" s="1194"/>
      <c r="M7" s="289"/>
      <c r="N7" s="289"/>
      <c r="O7" s="246"/>
      <c r="P7" s="246"/>
      <c r="Q7" s="246"/>
      <c r="R7" s="246"/>
      <c r="S7" s="246"/>
      <c r="T7" s="246"/>
      <c r="U7" s="246"/>
      <c r="V7" s="246"/>
      <c r="W7" s="434"/>
    </row>
    <row r="8" spans="6:29" s="2180" customFormat="1" ht="45" customHeight="1">
      <c r="F8" s="1157"/>
      <c r="G8" s="1157"/>
      <c r="H8" s="1157"/>
      <c r="L8" s="1195"/>
      <c r="M8" s="213" t="s">
        <v>38</v>
      </c>
      <c r="N8" s="222"/>
      <c r="O8" s="5307" t="str">
        <f>IF(TITLE_NAME_OR_PR_CHANGE="",IF(TITLE_NAME_OR_PR="","",TITLE_NAME_OR_PR),TITLE_NAME_OR_PR_CHANGE)</f>
        <v>Комитет по тарифному регулированию Мурманской области</v>
      </c>
      <c r="P8" s="5307"/>
      <c r="Q8" s="5307"/>
      <c r="R8" s="5307"/>
      <c r="S8" s="5307"/>
      <c r="T8" s="5307"/>
      <c r="U8" s="5307"/>
      <c r="V8" s="252"/>
      <c r="W8" s="252"/>
      <c r="X8" s="199"/>
      <c r="Y8" s="295"/>
      <c r="Z8" s="295"/>
      <c r="AA8" s="295"/>
      <c r="AB8" s="295"/>
      <c r="AC8" s="295"/>
    </row>
    <row r="9" spans="6:29" s="2180" customFormat="1" ht="22.5" customHeight="1">
      <c r="F9" s="1157"/>
      <c r="G9" s="1157"/>
      <c r="H9" s="1157"/>
      <c r="L9" s="1195"/>
      <c r="M9" s="213" t="s">
        <v>539</v>
      </c>
      <c r="N9" s="222"/>
      <c r="O9" s="5307">
        <f>IF(TITLE_DATE_CHANGE_PERIOD="",IF(TITLE_DATE_PR="","",TITLE_DATE_PR),TITLE_DATE_CHANGE_PERIOD)</f>
        <v>45292.338773148149</v>
      </c>
      <c r="P9" s="5307"/>
      <c r="Q9" s="5307"/>
      <c r="R9" s="5307"/>
      <c r="S9" s="5307"/>
      <c r="T9" s="5307"/>
      <c r="U9" s="5307"/>
      <c r="V9" s="252"/>
      <c r="W9" s="252"/>
      <c r="X9" s="199"/>
      <c r="Y9" s="295"/>
      <c r="Z9" s="295"/>
      <c r="AA9" s="295"/>
      <c r="AB9" s="295"/>
      <c r="AC9" s="295"/>
    </row>
    <row r="10" spans="6:29" s="2180" customFormat="1" ht="22.5" customHeight="1">
      <c r="F10" s="1157"/>
      <c r="G10" s="1157"/>
      <c r="H10" s="1157"/>
      <c r="L10" s="1159"/>
      <c r="M10" s="213" t="s">
        <v>540</v>
      </c>
      <c r="N10" s="222"/>
      <c r="O10" s="5307" t="str">
        <f>IF(TITLE_NUMBER_PR_CHANGE="",IF(TITLE_NUMBER_PR="","",TITLE_NUMBER_PR),TITLE_NUMBER_PR_CHANGE)</f>
        <v>51/6; 51/7</v>
      </c>
      <c r="P10" s="5307"/>
      <c r="Q10" s="5307"/>
      <c r="R10" s="5307"/>
      <c r="S10" s="5307"/>
      <c r="T10" s="5307"/>
      <c r="U10" s="5307"/>
      <c r="V10" s="252"/>
      <c r="W10" s="252"/>
      <c r="X10" s="199"/>
      <c r="Y10" s="295"/>
      <c r="Z10" s="295"/>
      <c r="AA10" s="295"/>
      <c r="AB10" s="295"/>
      <c r="AC10" s="295"/>
    </row>
    <row r="11" spans="6:29" s="2180" customFormat="1" ht="22.5" customHeight="1">
      <c r="F11" s="1157"/>
      <c r="G11" s="1157"/>
      <c r="H11" s="1157"/>
      <c r="L11" s="1159"/>
      <c r="M11" s="213" t="s">
        <v>40</v>
      </c>
      <c r="N11" s="222"/>
      <c r="O11" s="5307" t="str">
        <f>IF(TITLE_IST_PUB_CHANGE="",IF(TITLE_IST_PUB="","",TITLE_IST_PUB),TITLE_IST_PUB_CHANGE)</f>
        <v>Официальный электронный бюллетень Правительства Мурманской области</v>
      </c>
      <c r="P11" s="5307"/>
      <c r="Q11" s="5307"/>
      <c r="R11" s="5307"/>
      <c r="S11" s="5307"/>
      <c r="T11" s="5307"/>
      <c r="U11" s="5307"/>
      <c r="V11" s="252"/>
      <c r="W11" s="252"/>
      <c r="X11" s="199"/>
      <c r="Y11" s="295"/>
      <c r="Z11" s="295"/>
      <c r="AA11" s="295"/>
      <c r="AB11" s="295"/>
      <c r="AC11" s="295"/>
    </row>
    <row r="12" spans="6:29" s="2180" customFormat="1" ht="11.25" hidden="1" customHeight="1">
      <c r="F12" s="1157"/>
      <c r="G12" s="1157"/>
      <c r="H12" s="1157"/>
      <c r="L12" s="5567"/>
      <c r="M12" s="5567"/>
      <c r="N12" s="1205"/>
      <c r="O12" s="252"/>
      <c r="P12" s="252"/>
      <c r="Q12" s="252"/>
      <c r="R12" s="252"/>
      <c r="S12" s="252"/>
      <c r="T12" s="252"/>
      <c r="U12" s="252"/>
      <c r="V12" s="197" t="s">
        <v>543</v>
      </c>
      <c r="Y12" s="295"/>
      <c r="Z12" s="295"/>
      <c r="AA12" s="295"/>
      <c r="AB12" s="295"/>
      <c r="AC12" s="295"/>
    </row>
    <row r="13" spans="6:29" ht="14.25" customHeight="1">
      <c r="J13" s="304"/>
      <c r="K13" s="304"/>
      <c r="L13" s="1194"/>
      <c r="M13" s="289"/>
      <c r="N13" s="1152"/>
      <c r="O13" s="5308"/>
      <c r="P13" s="5308"/>
      <c r="Q13" s="5308"/>
      <c r="R13" s="5308"/>
      <c r="S13" s="5308"/>
      <c r="T13" s="5308"/>
      <c r="U13" s="5308"/>
      <c r="V13" s="5308"/>
    </row>
    <row r="14" spans="6:29" ht="14.25" customHeight="1">
      <c r="J14" s="304"/>
      <c r="K14" s="304"/>
      <c r="L14" s="5180" t="s">
        <v>417</v>
      </c>
      <c r="M14" s="5180"/>
      <c r="N14" s="5180"/>
      <c r="O14" s="5180"/>
      <c r="P14" s="5180"/>
      <c r="Q14" s="5180"/>
      <c r="R14" s="5180"/>
      <c r="S14" s="5180"/>
      <c r="T14" s="5180"/>
      <c r="U14" s="5180"/>
      <c r="V14" s="5180"/>
      <c r="W14" s="5180"/>
      <c r="X14" s="5180" t="s">
        <v>418</v>
      </c>
    </row>
    <row r="15" spans="6:29" ht="14.25" customHeight="1">
      <c r="J15" s="304"/>
      <c r="K15" s="304"/>
      <c r="L15" s="5322" t="s">
        <v>83</v>
      </c>
      <c r="M15" s="5274" t="s">
        <v>544</v>
      </c>
      <c r="N15" s="219"/>
      <c r="O15" s="5323" t="s">
        <v>2261</v>
      </c>
      <c r="P15" s="5324"/>
      <c r="Q15" s="5324"/>
      <c r="R15" s="5324"/>
      <c r="S15" s="5324"/>
      <c r="T15" s="5324"/>
      <c r="U15" s="5325"/>
      <c r="V15" s="5326" t="s">
        <v>546</v>
      </c>
      <c r="W15" s="5329" t="s">
        <v>1183</v>
      </c>
      <c r="X15" s="5180"/>
    </row>
    <row r="16" spans="6:29" ht="33.75" customHeight="1">
      <c r="J16" s="304"/>
      <c r="K16" s="304"/>
      <c r="L16" s="5322"/>
      <c r="M16" s="5274"/>
      <c r="N16" s="937"/>
      <c r="O16" s="5244" t="s">
        <v>549</v>
      </c>
      <c r="P16" s="5244" t="s">
        <v>550</v>
      </c>
      <c r="Q16" s="5151" t="s">
        <v>551</v>
      </c>
      <c r="R16" s="5150"/>
      <c r="S16" s="5151" t="s">
        <v>568</v>
      </c>
      <c r="T16" s="5156"/>
      <c r="U16" s="5150"/>
      <c r="V16" s="5327"/>
      <c r="W16" s="5330"/>
      <c r="X16" s="5180"/>
    </row>
    <row r="17" spans="1:29" ht="33.75" customHeight="1">
      <c r="A17" s="1178" t="s">
        <v>138</v>
      </c>
      <c r="B17" s="1178" t="s">
        <v>139</v>
      </c>
      <c r="C17" s="1178" t="s">
        <v>140</v>
      </c>
      <c r="D17" s="1178" t="s">
        <v>141</v>
      </c>
      <c r="E17" s="1178"/>
      <c r="J17" s="304"/>
      <c r="K17" s="304"/>
      <c r="L17" s="5322"/>
      <c r="M17" s="5274"/>
      <c r="N17" s="220"/>
      <c r="O17" s="5293"/>
      <c r="P17" s="5293"/>
      <c r="Q17" s="1127" t="s">
        <v>560</v>
      </c>
      <c r="R17" s="1127" t="s">
        <v>561</v>
      </c>
      <c r="S17" s="1210" t="s">
        <v>562</v>
      </c>
      <c r="T17" s="5282" t="s">
        <v>563</v>
      </c>
      <c r="U17" s="5284"/>
      <c r="V17" s="5328"/>
      <c r="W17" s="5331"/>
      <c r="X17" s="5180"/>
    </row>
    <row r="18" spans="1:29" s="1818" customFormat="1" ht="11.25" customHeight="1">
      <c r="A18" s="1178"/>
      <c r="B18" s="1178"/>
      <c r="C18" s="1178"/>
      <c r="D18" s="1178"/>
      <c r="E18" s="1178"/>
      <c r="F18" s="1204"/>
      <c r="G18" s="1204"/>
      <c r="H18" s="1204"/>
      <c r="I18" s="1154"/>
      <c r="J18" s="1155"/>
      <c r="K18" s="1170">
        <v>1</v>
      </c>
      <c r="L18" s="1196" t="s">
        <v>114</v>
      </c>
      <c r="M18" s="1171" t="s">
        <v>98</v>
      </c>
      <c r="N18" s="1153" t="str">
        <f ca="1">OFFSET(N18,0,-1)</f>
        <v>2</v>
      </c>
      <c r="O18" s="1207">
        <f ca="1">OFFSET(O18,0,-1)+1</f>
        <v>3</v>
      </c>
      <c r="P18" s="1207"/>
      <c r="Q18" s="1207">
        <f ca="1">OFFSET(Q18,0,-1)+1</f>
        <v>1</v>
      </c>
      <c r="R18" s="1207">
        <f ca="1">OFFSET(R18,0,-1)+1</f>
        <v>2</v>
      </c>
      <c r="S18" s="1207">
        <f ca="1">OFFSET(S18,0,-1)+1</f>
        <v>3</v>
      </c>
      <c r="T18" s="5321">
        <f ca="1">OFFSET(T18,0,-1)+1</f>
        <v>4</v>
      </c>
      <c r="U18" s="5321"/>
      <c r="V18" s="1207">
        <f ca="1">OFFSET(V18,0,-2)+1</f>
        <v>5</v>
      </c>
      <c r="W18" s="1153">
        <f ca="1">OFFSET(W18,0,-1)</f>
        <v>5</v>
      </c>
      <c r="X18" s="1207">
        <f ca="1">OFFSET(X18,0,-1)+1</f>
        <v>6</v>
      </c>
      <c r="Y18" s="436"/>
      <c r="Z18" s="436"/>
      <c r="AA18" s="436"/>
      <c r="AB18" s="436"/>
      <c r="AC18" s="436"/>
    </row>
    <row r="19" spans="1:29" ht="21" customHeight="1">
      <c r="A19" s="1185" t="s">
        <v>2271</v>
      </c>
      <c r="B19" s="1185" t="s">
        <v>2272</v>
      </c>
      <c r="C19" s="1185" t="s">
        <v>2273</v>
      </c>
      <c r="D19" s="1185" t="s">
        <v>2274</v>
      </c>
      <c r="E19" s="1185"/>
      <c r="F19" s="607"/>
      <c r="G19" s="607"/>
      <c r="H19" s="607"/>
      <c r="I19" s="285"/>
      <c r="J19" s="284"/>
      <c r="K19" s="279"/>
      <c r="L19" s="1211" t="e">
        <f>INDEX(PT_DIFFERENTIATION_NUM_NTAR,MATCH(A19,PT_DIFFERENTIATION_NTAR_ID,0))</f>
        <v>#N/A</v>
      </c>
      <c r="M19" s="216" t="s">
        <v>127</v>
      </c>
      <c r="N19" s="218"/>
      <c r="O19" s="5568" t="e">
        <f>INDEX(PT_DIFFERENTIATION_NTAR,MATCH(A19,PT_DIFFERENTIATION_NTAR_ID,0))</f>
        <v>#N/A</v>
      </c>
      <c r="P19" s="5568"/>
      <c r="Q19" s="5568"/>
      <c r="R19" s="5568"/>
      <c r="S19" s="5568"/>
      <c r="T19" s="5568"/>
      <c r="U19" s="5568"/>
      <c r="V19" s="5568"/>
      <c r="W19" s="5568"/>
      <c r="X19" s="1176" t="s">
        <v>515</v>
      </c>
      <c r="Z19" s="425"/>
      <c r="AA19" s="425" t="str">
        <f t="shared" ref="AA19:AA32" si="0">IF(M19="","",M19)</f>
        <v>Наименование тарифа</v>
      </c>
      <c r="AB19" s="425"/>
      <c r="AC19" s="425"/>
    </row>
    <row r="20" spans="1:29" ht="21" customHeight="1">
      <c r="A20" s="1185" t="s">
        <v>2271</v>
      </c>
      <c r="B20" s="1185" t="s">
        <v>2272</v>
      </c>
      <c r="C20" s="1185" t="s">
        <v>2273</v>
      </c>
      <c r="D20" s="1185" t="s">
        <v>2274</v>
      </c>
      <c r="E20" s="1185"/>
      <c r="F20" s="607"/>
      <c r="G20" s="607"/>
      <c r="H20" s="607"/>
      <c r="I20" s="1208"/>
      <c r="J20" s="276"/>
      <c r="K20" s="277"/>
      <c r="L20" s="1211" t="e">
        <f>INDEX(PT_DIFFERENTIATION_NUM_TER,MATCH(B19,PT_DIFFERENTIATION_TER_ID,0))</f>
        <v>#N/A</v>
      </c>
      <c r="M20" s="228" t="s">
        <v>516</v>
      </c>
      <c r="N20" s="218"/>
      <c r="O20" s="5568" t="e">
        <f>INDEX(PT_DIFFERENTIATION_TER,MATCH(B19,PT_DIFFERENTIATION_TER_ID,0))</f>
        <v>#N/A</v>
      </c>
      <c r="P20" s="5568"/>
      <c r="Q20" s="5568"/>
      <c r="R20" s="5568"/>
      <c r="S20" s="5568"/>
      <c r="T20" s="5568"/>
      <c r="U20" s="5568"/>
      <c r="V20" s="5568"/>
      <c r="W20" s="5568"/>
      <c r="X20" s="1176" t="s">
        <v>517</v>
      </c>
      <c r="Z20" s="425"/>
      <c r="AA20" s="425" t="str">
        <f t="shared" si="0"/>
        <v>Территория действия тарифа</v>
      </c>
      <c r="AB20" s="425"/>
      <c r="AC20" s="425"/>
    </row>
    <row r="21" spans="1:29" ht="22.5" customHeight="1">
      <c r="A21" s="1185" t="s">
        <v>2271</v>
      </c>
      <c r="B21" s="1185" t="s">
        <v>2272</v>
      </c>
      <c r="C21" s="1185" t="s">
        <v>2273</v>
      </c>
      <c r="D21" s="1185" t="s">
        <v>2274</v>
      </c>
      <c r="E21" s="1185"/>
      <c r="F21" s="607"/>
      <c r="G21" s="607"/>
      <c r="H21" s="607"/>
      <c r="I21" s="278"/>
      <c r="J21" s="276"/>
      <c r="K21" s="277"/>
      <c r="L21" s="1211" t="e">
        <f>INDEX(PT_DIFFERENTIATION_NUM_CS,MATCH(C19,PT_DIFFERENTIATION_CS_ID,0))</f>
        <v>#N/A</v>
      </c>
      <c r="M21" s="229" t="s">
        <v>518</v>
      </c>
      <c r="N21" s="218"/>
      <c r="O21" s="5568" t="e">
        <f>INDEX(PT_DIFFERENTIATION_CS,MATCH(C19,PT_DIFFERENTIATION_CS_ID,0))</f>
        <v>#N/A</v>
      </c>
      <c r="P21" s="5568"/>
      <c r="Q21" s="5568"/>
      <c r="R21" s="5568"/>
      <c r="S21" s="5568"/>
      <c r="T21" s="5568"/>
      <c r="U21" s="5568"/>
      <c r="V21" s="5568"/>
      <c r="W21" s="5568"/>
      <c r="X21" s="1176" t="s">
        <v>519</v>
      </c>
      <c r="Z21" s="425"/>
      <c r="AA21" s="425" t="str">
        <f t="shared" si="0"/>
        <v xml:space="preserve">Наименование системы теплоснабжения </v>
      </c>
      <c r="AB21" s="425"/>
      <c r="AC21" s="425"/>
    </row>
    <row r="22" spans="1:29" ht="21" customHeight="1">
      <c r="A22" s="1185" t="s">
        <v>2271</v>
      </c>
      <c r="B22" s="1185" t="s">
        <v>2272</v>
      </c>
      <c r="C22" s="1185" t="s">
        <v>2273</v>
      </c>
      <c r="D22" s="1185" t="s">
        <v>2274</v>
      </c>
      <c r="E22" s="1185"/>
      <c r="F22" s="607"/>
      <c r="G22" s="607"/>
      <c r="H22" s="607"/>
      <c r="I22" s="278"/>
      <c r="J22" s="276"/>
      <c r="K22" s="277"/>
      <c r="L22" s="1211" t="e">
        <f>INDEX(PT_DIFFERENTIATION_NUM_IST_TE,MATCH(D19,PT_DIFFERENTIATION_IST_TE_ID,0))</f>
        <v>#N/A</v>
      </c>
      <c r="M22" s="230" t="s">
        <v>520</v>
      </c>
      <c r="N22" s="218"/>
      <c r="O22" s="5568" t="e">
        <f>INDEX(PT_DIFFERENTIATION_IST_TE,MATCH(D19,PT_DIFFERENTIATION_IST_TE_ID,0))</f>
        <v>#N/A</v>
      </c>
      <c r="P22" s="5568"/>
      <c r="Q22" s="5568"/>
      <c r="R22" s="5568"/>
      <c r="S22" s="5568"/>
      <c r="T22" s="5568"/>
      <c r="U22" s="5568"/>
      <c r="V22" s="5568"/>
      <c r="W22" s="5568"/>
      <c r="X22" s="1176" t="s">
        <v>521</v>
      </c>
      <c r="Z22" s="425"/>
      <c r="AA22" s="425" t="str">
        <f t="shared" si="0"/>
        <v xml:space="preserve">Источник тепловой энергии  </v>
      </c>
      <c r="AB22" s="425"/>
      <c r="AC22" s="425"/>
    </row>
    <row r="23" spans="1:29" ht="94.5" customHeight="1">
      <c r="A23" s="1185" t="s">
        <v>2271</v>
      </c>
      <c r="B23" s="1185" t="s">
        <v>2272</v>
      </c>
      <c r="C23" s="1185" t="s">
        <v>2273</v>
      </c>
      <c r="D23" s="1185" t="s">
        <v>2274</v>
      </c>
      <c r="E23" s="1185"/>
      <c r="F23" s="5154" t="e">
        <f>L22&amp;".1"</f>
        <v>#N/A</v>
      </c>
      <c r="I23" s="5313">
        <v>1</v>
      </c>
      <c r="J23" s="1209"/>
      <c r="K23" s="280"/>
      <c r="L23" s="1211" t="e">
        <f>$F$23</f>
        <v>#N/A</v>
      </c>
      <c r="M23" s="203" t="s">
        <v>523</v>
      </c>
      <c r="N23" s="218"/>
      <c r="O23" s="5569"/>
      <c r="P23" s="5569"/>
      <c r="Q23" s="5569"/>
      <c r="R23" s="5569"/>
      <c r="S23" s="5569"/>
      <c r="T23" s="5569"/>
      <c r="U23" s="5569"/>
      <c r="V23" s="5569"/>
      <c r="W23" s="5569"/>
      <c r="X23" s="1176" t="s">
        <v>524</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2271</v>
      </c>
      <c r="B24" s="1185" t="s">
        <v>2272</v>
      </c>
      <c r="C24" s="1185" t="s">
        <v>2273</v>
      </c>
      <c r="D24" s="1185" t="s">
        <v>2274</v>
      </c>
      <c r="E24" s="1185"/>
      <c r="F24" s="5154"/>
      <c r="G24" s="5154" t="e">
        <f>F23&amp;".1"</f>
        <v>#N/A</v>
      </c>
      <c r="I24" s="5313"/>
      <c r="J24" s="5313">
        <v>1</v>
      </c>
      <c r="K24" s="281"/>
      <c r="L24" s="1211" t="e">
        <f>$G$24</f>
        <v>#N/A</v>
      </c>
      <c r="M24" s="204" t="s">
        <v>526</v>
      </c>
      <c r="N24" s="218"/>
      <c r="O24" s="5570"/>
      <c r="P24" s="5571"/>
      <c r="Q24" s="5571"/>
      <c r="R24" s="5571"/>
      <c r="S24" s="5571"/>
      <c r="T24" s="5571"/>
      <c r="U24" s="5571"/>
      <c r="V24" s="5571"/>
      <c r="W24" s="5572"/>
      <c r="X24" s="1176" t="s">
        <v>527</v>
      </c>
      <c r="Z24" s="425"/>
      <c r="AA24" s="425" t="str">
        <f t="shared" si="0"/>
        <v>Группа потребителей</v>
      </c>
      <c r="AB24" s="425"/>
      <c r="AC24" s="425"/>
    </row>
    <row r="25" spans="1:29" ht="11.25" customHeight="1">
      <c r="A25" s="1185" t="s">
        <v>2271</v>
      </c>
      <c r="B25" s="1185" t="s">
        <v>2272</v>
      </c>
      <c r="C25" s="1185" t="s">
        <v>2273</v>
      </c>
      <c r="D25" s="1185" t="s">
        <v>2274</v>
      </c>
      <c r="E25" s="1185"/>
      <c r="F25" s="5154"/>
      <c r="G25" s="5154"/>
      <c r="H25" s="5154" t="e">
        <f>G24&amp;".1"</f>
        <v>#N/A</v>
      </c>
      <c r="I25" s="5313"/>
      <c r="J25" s="5313"/>
      <c r="K25" s="281">
        <v>1</v>
      </c>
      <c r="L25" s="1211" t="e">
        <f>$H$25</f>
        <v>#N/A</v>
      </c>
      <c r="M25" s="1177"/>
      <c r="N25" s="218"/>
      <c r="O25" s="667"/>
      <c r="P25" s="250"/>
      <c r="Q25" s="667"/>
      <c r="R25" s="1175"/>
      <c r="S25" s="5317"/>
      <c r="T25" s="5161" t="s">
        <v>62</v>
      </c>
      <c r="U25" s="5317"/>
      <c r="V25" s="5161" t="s">
        <v>57</v>
      </c>
      <c r="W25" s="250"/>
      <c r="X25" s="5309" t="s">
        <v>529</v>
      </c>
      <c r="Y25" s="436" t="e">
        <f ca="1">STRCHECKDATE(O26:W26)</f>
        <v>#NAME?</v>
      </c>
      <c r="Z25" s="425"/>
      <c r="AA25" s="425" t="str">
        <f t="shared" si="0"/>
        <v/>
      </c>
      <c r="AB25" s="425"/>
      <c r="AC25" s="425"/>
    </row>
    <row r="26" spans="1:29" ht="11.25" customHeight="1">
      <c r="A26" s="1185" t="s">
        <v>2271</v>
      </c>
      <c r="B26" s="1185" t="s">
        <v>2272</v>
      </c>
      <c r="C26" s="1185" t="s">
        <v>2273</v>
      </c>
      <c r="D26" s="1185" t="s">
        <v>2274</v>
      </c>
      <c r="E26" s="1185"/>
      <c r="F26" s="5154"/>
      <c r="G26" s="5154"/>
      <c r="H26" s="5154"/>
      <c r="I26" s="5313"/>
      <c r="J26" s="5313"/>
      <c r="K26" s="281"/>
      <c r="L26" s="1212"/>
      <c r="M26" s="218"/>
      <c r="N26" s="218"/>
      <c r="O26" s="250"/>
      <c r="P26" s="250"/>
      <c r="Q26" s="250"/>
      <c r="R26" s="254" t="str">
        <f>S25&amp;"-"&amp;U25</f>
        <v>-</v>
      </c>
      <c r="S26" s="5318"/>
      <c r="T26" s="5161"/>
      <c r="U26" s="5318"/>
      <c r="V26" s="5161"/>
      <c r="W26" s="250"/>
      <c r="X26" s="5310"/>
      <c r="Z26" s="425"/>
      <c r="AA26" s="425" t="str">
        <f t="shared" si="0"/>
        <v/>
      </c>
      <c r="AB26" s="425"/>
      <c r="AC26" s="425"/>
    </row>
    <row r="27" spans="1:29" ht="15" customHeight="1">
      <c r="A27" s="1185" t="s">
        <v>2271</v>
      </c>
      <c r="B27" s="1185" t="s">
        <v>2272</v>
      </c>
      <c r="C27" s="1185" t="s">
        <v>2273</v>
      </c>
      <c r="D27" s="1185" t="s">
        <v>2274</v>
      </c>
      <c r="E27" s="1185"/>
      <c r="F27" s="5154"/>
      <c r="G27" s="5154"/>
      <c r="I27" s="5313"/>
      <c r="J27" s="5313"/>
      <c r="K27" s="280"/>
      <c r="L27" s="1197"/>
      <c r="M27" s="206" t="s">
        <v>530</v>
      </c>
      <c r="N27" s="294"/>
      <c r="O27" s="294"/>
      <c r="P27" s="294"/>
      <c r="Q27" s="294"/>
      <c r="R27" s="294"/>
      <c r="S27" s="294"/>
      <c r="T27" s="294"/>
      <c r="U27" s="294"/>
      <c r="V27" s="294"/>
      <c r="W27" s="249"/>
      <c r="X27" s="5311"/>
      <c r="Z27" s="425"/>
      <c r="AA27" s="425" t="str">
        <f t="shared" si="0"/>
        <v>Добавить вид теплоносителя (параметры теплоносителя)</v>
      </c>
      <c r="AB27" s="425"/>
      <c r="AC27" s="425"/>
    </row>
    <row r="28" spans="1:29" ht="15" customHeight="1">
      <c r="A28" s="1185" t="s">
        <v>2271</v>
      </c>
      <c r="B28" s="1185" t="s">
        <v>2272</v>
      </c>
      <c r="C28" s="1185" t="s">
        <v>2273</v>
      </c>
      <c r="D28" s="1185" t="s">
        <v>2274</v>
      </c>
      <c r="E28" s="1185"/>
      <c r="F28" s="5154"/>
      <c r="I28" s="5313"/>
      <c r="J28" s="1209"/>
      <c r="K28" s="280"/>
      <c r="L28" s="1197"/>
      <c r="M28" s="205" t="s">
        <v>531</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2271</v>
      </c>
      <c r="B29" s="1185" t="s">
        <v>2272</v>
      </c>
      <c r="C29" s="1185" t="s">
        <v>2273</v>
      </c>
      <c r="D29" s="1185" t="s">
        <v>2274</v>
      </c>
      <c r="E29" s="1185"/>
      <c r="F29" s="607"/>
      <c r="G29" s="607"/>
      <c r="H29" s="434"/>
      <c r="I29" s="284"/>
      <c r="J29" s="303"/>
      <c r="K29" s="279"/>
      <c r="L29" s="1197"/>
      <c r="M29" s="291" t="s">
        <v>532</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2271</v>
      </c>
      <c r="B30" s="1185" t="s">
        <v>2272</v>
      </c>
      <c r="C30" s="1185" t="s">
        <v>2273</v>
      </c>
      <c r="D30" s="1185"/>
      <c r="E30" s="1185" t="s">
        <v>700</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2271</v>
      </c>
      <c r="B31" s="1185" t="s">
        <v>2272</v>
      </c>
      <c r="C31" s="1185"/>
      <c r="D31" s="1185"/>
      <c r="E31" s="1185" t="s">
        <v>2262</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2275</v>
      </c>
      <c r="B32" s="1185"/>
      <c r="C32" s="1185"/>
      <c r="D32" s="1185"/>
      <c r="E32" s="1185" t="s">
        <v>109</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5101" customFormat="1" ht="11.25" customHeight="1">
      <c r="A33" s="1185"/>
      <c r="B33" s="1185"/>
      <c r="C33" s="1185"/>
      <c r="D33" s="1185"/>
      <c r="E33" s="1185" t="s">
        <v>215</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832</v>
      </c>
      <c r="M35" s="5334" t="s">
        <v>2264</v>
      </c>
      <c r="N35" s="5334"/>
      <c r="O35" s="5334"/>
      <c r="P35" s="5334"/>
      <c r="Q35" s="5334"/>
      <c r="R35" s="5334"/>
      <c r="S35" s="5334"/>
      <c r="T35" s="5334"/>
      <c r="U35" s="5334"/>
      <c r="V35" s="5334"/>
      <c r="W35" s="5334"/>
      <c r="X35" s="5334"/>
    </row>
    <row r="36" spans="1:29" ht="104.25" customHeight="1">
      <c r="F36" s="1221"/>
      <c r="G36" s="1221"/>
      <c r="H36" s="434"/>
      <c r="I36" s="1221"/>
      <c r="M36" s="5334" t="s">
        <v>2265</v>
      </c>
      <c r="N36" s="5334"/>
      <c r="O36" s="5334"/>
      <c r="P36" s="5334"/>
      <c r="Q36" s="5334"/>
      <c r="R36" s="5334"/>
      <c r="S36" s="5334"/>
      <c r="T36" s="5334"/>
      <c r="U36" s="5334"/>
      <c r="V36" s="5334"/>
      <c r="W36" s="5334"/>
      <c r="X36" s="5334"/>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3764" customWidth="1"/>
    <col min="9" max="9" width="3.7109375" style="3146" customWidth="1"/>
    <col min="10" max="11" width="3.7109375" style="3147" customWidth="1"/>
    <col min="12" max="12" width="12.7109375" style="2112" customWidth="1"/>
    <col min="13" max="13" width="47.42578125" style="2112" customWidth="1"/>
    <col min="14" max="14" width="2.7109375" style="2112" hidden="1" customWidth="1"/>
    <col min="15" max="18" width="23.7109375" style="2112" customWidth="1"/>
    <col min="19" max="19" width="11.7109375" style="2112" customWidth="1"/>
    <col min="20" max="20" width="3.7109375" style="2112" customWidth="1"/>
    <col min="21" max="21" width="11.7109375" style="2112" customWidth="1"/>
    <col min="22" max="22" width="8.5703125" style="2112" hidden="1" customWidth="1"/>
    <col min="23" max="23" width="4.7109375" style="2112" customWidth="1"/>
    <col min="24" max="24" width="115.7109375" style="2112" customWidth="1"/>
    <col min="25" max="29" width="10.5703125" style="1819"/>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5573" t="s">
        <v>2276</v>
      </c>
      <c r="M5" s="5573"/>
      <c r="N5" s="5573"/>
      <c r="O5" s="5573"/>
      <c r="P5" s="5573"/>
      <c r="Q5" s="5573"/>
      <c r="R5" s="5573"/>
      <c r="S5" s="5573"/>
      <c r="T5" s="5573"/>
      <c r="U5" s="195"/>
      <c r="V5" s="195"/>
    </row>
    <row r="6" spans="1:29" ht="14.25" customHeight="1">
      <c r="J6" s="304"/>
      <c r="K6" s="304"/>
      <c r="L6" s="289"/>
      <c r="M6" s="289"/>
      <c r="N6" s="289"/>
      <c r="O6" s="246"/>
      <c r="P6" s="246"/>
      <c r="Q6" s="246"/>
      <c r="R6" s="246"/>
      <c r="S6" s="246"/>
      <c r="T6" s="246"/>
      <c r="U6" s="289"/>
    </row>
    <row r="7" spans="1:29" s="2180" customFormat="1" ht="22.5" customHeight="1">
      <c r="A7" s="295"/>
      <c r="B7" s="295"/>
      <c r="C7" s="295"/>
      <c r="D7" s="295"/>
      <c r="E7" s="295"/>
      <c r="F7" s="295"/>
      <c r="G7" s="295"/>
      <c r="H7" s="295"/>
      <c r="L7" s="196"/>
      <c r="M7" s="213" t="s">
        <v>38</v>
      </c>
      <c r="N7" s="222"/>
      <c r="O7" s="5574" t="e">
        <f>IF(NameOrPr_ch="",IF(NameOrPr="","",NameOrPr),NameOrPr_ch)</f>
        <v>#NAME?</v>
      </c>
      <c r="P7" s="5575"/>
      <c r="Q7" s="5575"/>
      <c r="R7" s="5575"/>
      <c r="S7" s="5575"/>
      <c r="T7" s="5576"/>
      <c r="U7" s="1156"/>
      <c r="Y7" s="295"/>
      <c r="Z7" s="295"/>
      <c r="AA7" s="295"/>
      <c r="AB7" s="295"/>
      <c r="AC7" s="295"/>
    </row>
    <row r="8" spans="1:29" s="2180" customFormat="1" ht="18.75" customHeight="1">
      <c r="A8" s="295"/>
      <c r="B8" s="295"/>
      <c r="C8" s="295"/>
      <c r="D8" s="295"/>
      <c r="E8" s="295"/>
      <c r="F8" s="295"/>
      <c r="G8" s="295"/>
      <c r="H8" s="295"/>
      <c r="L8" s="196"/>
      <c r="M8" s="213" t="s">
        <v>539</v>
      </c>
      <c r="N8" s="222"/>
      <c r="O8" s="5574" t="e">
        <f>IF(datePr_ch="",IF(datePr="","",datePr),datePr_ch)</f>
        <v>#NAME?</v>
      </c>
      <c r="P8" s="5575"/>
      <c r="Q8" s="5575"/>
      <c r="R8" s="5575"/>
      <c r="S8" s="5575"/>
      <c r="T8" s="5576"/>
      <c r="U8" s="1156"/>
      <c r="Y8" s="295"/>
      <c r="Z8" s="295"/>
      <c r="AA8" s="295"/>
      <c r="AB8" s="295"/>
      <c r="AC8" s="295"/>
    </row>
    <row r="9" spans="1:29" s="2180" customFormat="1" ht="18.75" customHeight="1">
      <c r="A9" s="295"/>
      <c r="B9" s="295"/>
      <c r="C9" s="295"/>
      <c r="D9" s="295"/>
      <c r="E9" s="295"/>
      <c r="F9" s="295"/>
      <c r="G9" s="295"/>
      <c r="H9" s="295"/>
      <c r="L9" s="248"/>
      <c r="M9" s="213" t="s">
        <v>540</v>
      </c>
      <c r="N9" s="222"/>
      <c r="O9" s="5574" t="e">
        <f>IF(numberPr_ch="",IF(numberPr="","",numberPr),numberPr_ch)</f>
        <v>#NAME?</v>
      </c>
      <c r="P9" s="5575"/>
      <c r="Q9" s="5575"/>
      <c r="R9" s="5575"/>
      <c r="S9" s="5575"/>
      <c r="T9" s="5576"/>
      <c r="U9" s="1156"/>
      <c r="Y9" s="295"/>
      <c r="Z9" s="295"/>
      <c r="AA9" s="295"/>
      <c r="AB9" s="295"/>
      <c r="AC9" s="295"/>
    </row>
    <row r="10" spans="1:29" s="2180" customFormat="1" ht="18.75" customHeight="1">
      <c r="A10" s="295"/>
      <c r="B10" s="295"/>
      <c r="C10" s="295"/>
      <c r="D10" s="295"/>
      <c r="E10" s="295"/>
      <c r="F10" s="295"/>
      <c r="G10" s="295"/>
      <c r="H10" s="295"/>
      <c r="L10" s="248"/>
      <c r="M10" s="213" t="s">
        <v>40</v>
      </c>
      <c r="N10" s="222"/>
      <c r="O10" s="5574" t="e">
        <f>IF(IstPub_ch="",IF(IstPub="","",IstPub),IstPub_ch)</f>
        <v>#NAME?</v>
      </c>
      <c r="P10" s="5575"/>
      <c r="Q10" s="5575"/>
      <c r="R10" s="5575"/>
      <c r="S10" s="5575"/>
      <c r="T10" s="5576"/>
      <c r="U10" s="1156"/>
      <c r="Y10" s="295"/>
      <c r="Z10" s="295"/>
      <c r="AA10" s="295"/>
      <c r="AB10" s="295"/>
      <c r="AC10" s="295"/>
    </row>
    <row r="11" spans="1:29" s="2059" customFormat="1" ht="18.75" hidden="1" customHeight="1">
      <c r="A11" s="1160"/>
      <c r="B11" s="1160"/>
      <c r="C11" s="1160"/>
      <c r="D11" s="1160"/>
      <c r="E11" s="1160"/>
      <c r="F11" s="1160"/>
      <c r="G11" s="1160"/>
      <c r="H11" s="1160"/>
      <c r="L11" s="248"/>
      <c r="M11" s="245"/>
      <c r="O11" s="1161"/>
      <c r="P11" s="1161"/>
      <c r="Q11" s="295" t="s">
        <v>2277</v>
      </c>
      <c r="R11" s="295" t="s">
        <v>2278</v>
      </c>
      <c r="S11" s="1161"/>
      <c r="T11" s="1161"/>
      <c r="U11" s="1156"/>
      <c r="Y11" s="1160"/>
      <c r="Z11" s="1160"/>
      <c r="AA11" s="1160"/>
      <c r="AB11" s="1160"/>
      <c r="AC11" s="1160"/>
    </row>
    <row r="12" spans="1:29" s="2180" customFormat="1" ht="11.25" hidden="1" customHeight="1">
      <c r="A12" s="295"/>
      <c r="B12" s="295"/>
      <c r="C12" s="295"/>
      <c r="D12" s="295"/>
      <c r="E12" s="295"/>
      <c r="F12" s="295"/>
      <c r="G12" s="295"/>
      <c r="H12" s="295"/>
      <c r="L12" s="5567"/>
      <c r="M12" s="5567"/>
      <c r="N12" s="1123"/>
      <c r="O12" s="252"/>
      <c r="P12" s="252"/>
      <c r="Q12" s="252"/>
      <c r="R12" s="252"/>
      <c r="S12" s="252"/>
      <c r="T12" s="252"/>
      <c r="U12" s="1159"/>
      <c r="V12" s="197" t="s">
        <v>543</v>
      </c>
      <c r="Y12" s="295"/>
      <c r="Z12" s="295"/>
      <c r="AA12" s="295"/>
      <c r="AB12" s="295"/>
      <c r="AC12" s="295"/>
    </row>
    <row r="13" spans="1:29" ht="14.25" customHeight="1">
      <c r="J13" s="304"/>
      <c r="K13" s="304"/>
      <c r="L13" s="289"/>
      <c r="M13" s="289"/>
      <c r="N13" s="289"/>
      <c r="O13" s="1162"/>
      <c r="P13" s="1162"/>
      <c r="Q13" s="5577"/>
      <c r="R13" s="5577"/>
      <c r="S13" s="5577"/>
      <c r="T13" s="5577"/>
      <c r="U13" s="5577"/>
      <c r="V13" s="5577"/>
    </row>
    <row r="14" spans="1:29" ht="14.25" customHeight="1">
      <c r="J14" s="304"/>
      <c r="K14" s="304"/>
      <c r="L14" s="5180" t="s">
        <v>417</v>
      </c>
      <c r="M14" s="5180"/>
      <c r="N14" s="5180"/>
      <c r="O14" s="5180"/>
      <c r="P14" s="5180"/>
      <c r="Q14" s="5180"/>
      <c r="R14" s="5180"/>
      <c r="S14" s="5180"/>
      <c r="T14" s="5180"/>
      <c r="U14" s="5180"/>
      <c r="V14" s="5180"/>
      <c r="W14" s="5180"/>
      <c r="X14" s="5180" t="s">
        <v>418</v>
      </c>
    </row>
    <row r="15" spans="1:29" ht="14.25" customHeight="1">
      <c r="J15" s="304"/>
      <c r="K15" s="304"/>
      <c r="L15" s="5274" t="s">
        <v>83</v>
      </c>
      <c r="M15" s="5274" t="s">
        <v>2279</v>
      </c>
      <c r="N15" s="1122"/>
      <c r="O15" s="5274" t="s">
        <v>2280</v>
      </c>
      <c r="P15" s="5273" t="s">
        <v>2281</v>
      </c>
      <c r="Q15" s="5273" t="s">
        <v>2261</v>
      </c>
      <c r="R15" s="5273"/>
      <c r="S15" s="5273"/>
      <c r="T15" s="5273"/>
      <c r="U15" s="5273"/>
      <c r="V15" s="5274" t="s">
        <v>546</v>
      </c>
      <c r="W15" s="5578" t="s">
        <v>1183</v>
      </c>
      <c r="X15" s="5180"/>
    </row>
    <row r="16" spans="1:29" ht="25.5" customHeight="1">
      <c r="J16" s="304"/>
      <c r="K16" s="304"/>
      <c r="L16" s="5274"/>
      <c r="M16" s="5274"/>
      <c r="N16" s="1122"/>
      <c r="O16" s="5274"/>
      <c r="P16" s="5273"/>
      <c r="Q16" s="5273" t="s">
        <v>2282</v>
      </c>
      <c r="R16" s="5273"/>
      <c r="S16" s="5180" t="s">
        <v>568</v>
      </c>
      <c r="T16" s="5180"/>
      <c r="U16" s="5180"/>
      <c r="V16" s="5274"/>
      <c r="W16" s="5578"/>
      <c r="X16" s="5180"/>
    </row>
    <row r="17" spans="1:29" ht="14.25" customHeight="1">
      <c r="J17" s="304"/>
      <c r="K17" s="304"/>
      <c r="L17" s="5274"/>
      <c r="M17" s="5274"/>
      <c r="N17" s="1122"/>
      <c r="O17" s="5274"/>
      <c r="P17" s="5273"/>
      <c r="Q17" s="1122" t="s">
        <v>600</v>
      </c>
      <c r="R17" s="1122" t="s">
        <v>601</v>
      </c>
      <c r="S17" s="1126" t="s">
        <v>562</v>
      </c>
      <c r="T17" s="5208" t="s">
        <v>563</v>
      </c>
      <c r="U17" s="5208"/>
      <c r="V17" s="5274"/>
      <c r="W17" s="5578"/>
      <c r="X17" s="5180"/>
    </row>
    <row r="18" spans="1:29" ht="14.25" customHeight="1">
      <c r="J18" s="304"/>
      <c r="K18" s="209">
        <v>1</v>
      </c>
      <c r="L18" s="379" t="s">
        <v>114</v>
      </c>
      <c r="M18" s="379" t="s">
        <v>98</v>
      </c>
      <c r="N18" s="1158" t="s">
        <v>98</v>
      </c>
      <c r="O18" s="1124">
        <f t="shared" ref="O18:T18" ca="1" si="0">OFFSET(O18,0,-1)+1</f>
        <v>3</v>
      </c>
      <c r="P18" s="1124">
        <f t="shared" ca="1" si="0"/>
        <v>4</v>
      </c>
      <c r="Q18" s="1124">
        <f t="shared" ca="1" si="0"/>
        <v>5</v>
      </c>
      <c r="R18" s="1124">
        <f t="shared" ca="1" si="0"/>
        <v>6</v>
      </c>
      <c r="S18" s="1124">
        <f t="shared" ca="1" si="0"/>
        <v>7</v>
      </c>
      <c r="T18" s="5579">
        <f t="shared" ca="1" si="0"/>
        <v>8</v>
      </c>
      <c r="U18" s="5579"/>
      <c r="V18" s="1124">
        <f ca="1">OFFSET(V18,0,-2)+1</f>
        <v>9</v>
      </c>
      <c r="X18" s="1124">
        <f ca="1">OFFSET(X18,0,-2)+1</f>
        <v>10</v>
      </c>
    </row>
    <row r="19" spans="1:29" ht="22.5" customHeight="1">
      <c r="A19" s="5313">
        <v>1</v>
      </c>
      <c r="B19" s="443"/>
      <c r="C19" s="443"/>
      <c r="D19" s="443"/>
      <c r="E19" s="443"/>
      <c r="F19" s="443"/>
      <c r="G19" s="311"/>
      <c r="H19" s="311"/>
      <c r="I19" s="285"/>
      <c r="J19" s="304"/>
      <c r="K19" s="304"/>
      <c r="L19" s="1131" t="e">
        <f ca="1">MERGEVALUE(A19)</f>
        <v>#NAME?</v>
      </c>
      <c r="M19" s="216" t="s">
        <v>127</v>
      </c>
      <c r="N19" s="235"/>
      <c r="O19" s="5494"/>
      <c r="P19" s="5494"/>
      <c r="Q19" s="5494"/>
      <c r="R19" s="5494"/>
      <c r="S19" s="5494"/>
      <c r="T19" s="5494"/>
      <c r="U19" s="5494"/>
      <c r="V19" s="5494"/>
      <c r="W19" s="5494"/>
      <c r="X19" s="270" t="s">
        <v>515</v>
      </c>
    </row>
    <row r="20" spans="1:29" ht="22.5" customHeight="1">
      <c r="A20" s="5313"/>
      <c r="B20" s="5313">
        <v>1</v>
      </c>
      <c r="C20" s="443"/>
      <c r="D20" s="443"/>
      <c r="E20" s="443"/>
      <c r="F20" s="443"/>
      <c r="G20" s="313"/>
      <c r="H20" s="1125"/>
      <c r="I20" s="287"/>
      <c r="J20" s="1132"/>
      <c r="K20" s="1054"/>
      <c r="L20" s="1131" t="e">
        <f ca="1">MERGEVALUE(A20)&amp;"."&amp;MERGEVALUE(B20)</f>
        <v>#NAME?</v>
      </c>
      <c r="M20" s="228" t="s">
        <v>516</v>
      </c>
      <c r="N20" s="235"/>
      <c r="O20" s="5494"/>
      <c r="P20" s="5494"/>
      <c r="Q20" s="5494"/>
      <c r="R20" s="5494"/>
      <c r="S20" s="5494"/>
      <c r="T20" s="5494"/>
      <c r="U20" s="5494"/>
      <c r="V20" s="5494"/>
      <c r="W20" s="5494"/>
      <c r="X20" s="270" t="s">
        <v>517</v>
      </c>
    </row>
    <row r="21" spans="1:29" ht="22.5" customHeight="1">
      <c r="A21" s="5313"/>
      <c r="B21" s="5313"/>
      <c r="C21" s="5313">
        <v>1</v>
      </c>
      <c r="D21" s="443"/>
      <c r="E21" s="443"/>
      <c r="F21" s="443"/>
      <c r="G21" s="313"/>
      <c r="H21" s="1125"/>
      <c r="I21" s="288"/>
      <c r="J21" s="1132"/>
      <c r="K21" s="1054"/>
      <c r="L21" s="1131" t="e">
        <f ca="1">MERGEVALUE(A21)&amp;"."&amp;MERGEVALUE(B21)&amp;"."&amp;MERGEVALUE(C21)</f>
        <v>#NAME?</v>
      </c>
      <c r="M21" s="229" t="s">
        <v>518</v>
      </c>
      <c r="N21" s="235"/>
      <c r="O21" s="5494"/>
      <c r="P21" s="5494"/>
      <c r="Q21" s="5494"/>
      <c r="R21" s="5494"/>
      <c r="S21" s="5494"/>
      <c r="T21" s="5494"/>
      <c r="U21" s="5494"/>
      <c r="V21" s="5494"/>
      <c r="W21" s="5494"/>
      <c r="X21" s="270" t="s">
        <v>519</v>
      </c>
    </row>
    <row r="22" spans="1:29" ht="14.25" customHeight="1">
      <c r="A22" s="5313"/>
      <c r="B22" s="5313"/>
      <c r="C22" s="5313"/>
      <c r="D22" s="5313">
        <v>1</v>
      </c>
      <c r="E22" s="443"/>
      <c r="F22" s="443"/>
      <c r="G22" s="313"/>
      <c r="H22" s="1125"/>
      <c r="I22" s="288"/>
      <c r="J22" s="286"/>
      <c r="K22" s="1054"/>
      <c r="L22" s="1131" t="e">
        <f ca="1">MERGEVALUE(A22)&amp;"."&amp;MERGEVALUE(B22)&amp;"."&amp;MERGEVALUE(C22)&amp;"."&amp;MERGEVALUE(D22)</f>
        <v>#NAME?</v>
      </c>
      <c r="M22" s="230" t="s">
        <v>520</v>
      </c>
      <c r="N22" s="235"/>
      <c r="O22" s="5494"/>
      <c r="P22" s="5494"/>
      <c r="Q22" s="5494"/>
      <c r="R22" s="5494"/>
      <c r="S22" s="5494"/>
      <c r="T22" s="5494"/>
      <c r="U22" s="5494"/>
      <c r="V22" s="5494"/>
      <c r="W22" s="5494"/>
      <c r="X22" s="263" t="s">
        <v>2283</v>
      </c>
    </row>
    <row r="23" spans="1:29" ht="22.5" customHeight="1">
      <c r="A23" s="5313"/>
      <c r="B23" s="5313"/>
      <c r="C23" s="5313"/>
      <c r="D23" s="5313"/>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2"/>
      <c r="T23" s="1121" t="s">
        <v>57</v>
      </c>
      <c r="U23" s="1164"/>
      <c r="V23" s="1121" t="s">
        <v>57</v>
      </c>
      <c r="W23" s="1165"/>
      <c r="X23" s="5225" t="s">
        <v>2284</v>
      </c>
      <c r="Y23" s="436" t="e">
        <f ca="1">STRCHECKDATETWO(N23:W23)</f>
        <v>#NAME?</v>
      </c>
    </row>
    <row r="24" spans="1:29" ht="14.25" hidden="1" customHeight="1">
      <c r="A24" s="5313"/>
      <c r="B24" s="5313"/>
      <c r="C24" s="5313"/>
      <c r="D24" s="5313"/>
      <c r="E24" s="443"/>
      <c r="F24" s="443"/>
      <c r="G24" s="313"/>
      <c r="H24" s="1125"/>
      <c r="I24" s="288"/>
      <c r="J24" s="286"/>
      <c r="K24" s="381"/>
      <c r="L24" s="1130"/>
      <c r="M24" s="231"/>
      <c r="N24" s="218"/>
      <c r="O24" s="218"/>
      <c r="P24" s="218"/>
      <c r="Q24" s="218"/>
      <c r="R24" s="254" t="str">
        <f>S23&amp;"-"&amp;U23</f>
        <v>-</v>
      </c>
      <c r="S24" s="239"/>
      <c r="T24" s="236"/>
      <c r="U24" s="239"/>
      <c r="V24" s="218"/>
      <c r="W24" s="1166"/>
      <c r="X24" s="5226"/>
    </row>
    <row r="25" spans="1:29" ht="14.25" customHeight="1">
      <c r="A25" s="5313"/>
      <c r="B25" s="5313"/>
      <c r="C25" s="5313"/>
      <c r="D25" s="5313"/>
      <c r="E25" s="443"/>
      <c r="F25" s="443"/>
      <c r="G25" s="313"/>
      <c r="H25" s="1125"/>
      <c r="I25" s="288"/>
      <c r="J25" s="286"/>
      <c r="K25" s="381"/>
      <c r="L25" s="227"/>
      <c r="M25" s="291" t="s">
        <v>589</v>
      </c>
      <c r="N25" s="290"/>
      <c r="O25" s="247"/>
      <c r="P25" s="247"/>
      <c r="Q25" s="247"/>
      <c r="R25" s="247"/>
      <c r="S25" s="251"/>
      <c r="T25" s="294"/>
      <c r="U25" s="293"/>
      <c r="V25" s="290"/>
      <c r="W25" s="290"/>
      <c r="X25" s="5227"/>
    </row>
    <row r="26" spans="1:29" s="5101" customFormat="1" ht="14.25" customHeight="1">
      <c r="A26" s="5313"/>
      <c r="B26" s="5313"/>
      <c r="C26" s="5313"/>
      <c r="D26" s="312"/>
      <c r="E26" s="312"/>
      <c r="F26" s="312"/>
      <c r="G26" s="313"/>
      <c r="H26" s="312"/>
      <c r="I26" s="288"/>
      <c r="J26" s="303"/>
      <c r="K26" s="305"/>
      <c r="L26" s="227"/>
      <c r="M26" s="299" t="s">
        <v>700</v>
      </c>
      <c r="N26" s="290"/>
      <c r="O26" s="247"/>
      <c r="P26" s="247"/>
      <c r="Q26" s="247"/>
      <c r="R26" s="247"/>
      <c r="S26" s="251"/>
      <c r="T26" s="294"/>
      <c r="U26" s="293"/>
      <c r="V26" s="290"/>
      <c r="W26" s="294"/>
      <c r="X26" s="1167"/>
      <c r="Y26" s="310"/>
      <c r="Z26" s="310"/>
      <c r="AA26" s="310"/>
      <c r="AB26" s="310"/>
      <c r="AC26" s="310"/>
    </row>
    <row r="27" spans="1:29" s="5101" customFormat="1" ht="14.25" customHeight="1">
      <c r="A27" s="5313"/>
      <c r="B27" s="5313"/>
      <c r="C27" s="312"/>
      <c r="D27" s="312"/>
      <c r="E27" s="312"/>
      <c r="F27" s="312"/>
      <c r="G27" s="313"/>
      <c r="H27" s="312"/>
      <c r="I27" s="284"/>
      <c r="J27" s="303"/>
      <c r="K27" s="305"/>
      <c r="L27" s="227"/>
      <c r="M27" s="290" t="s">
        <v>2262</v>
      </c>
      <c r="N27" s="290"/>
      <c r="O27" s="247"/>
      <c r="P27" s="247"/>
      <c r="Q27" s="247"/>
      <c r="R27" s="247"/>
      <c r="S27" s="251"/>
      <c r="T27" s="294"/>
      <c r="U27" s="293"/>
      <c r="V27" s="290"/>
      <c r="W27" s="294"/>
      <c r="X27" s="249"/>
      <c r="Y27" s="310"/>
      <c r="Z27" s="310"/>
      <c r="AA27" s="310"/>
      <c r="AB27" s="310"/>
      <c r="AC27" s="310"/>
    </row>
    <row r="28" spans="1:29" s="5101" customFormat="1" ht="14.25" customHeight="1">
      <c r="A28" s="5313"/>
      <c r="B28" s="312"/>
      <c r="C28" s="312"/>
      <c r="D28" s="312"/>
      <c r="E28" s="312"/>
      <c r="F28" s="312"/>
      <c r="G28" s="313"/>
      <c r="H28" s="312"/>
      <c r="I28" s="284"/>
      <c r="J28" s="303"/>
      <c r="K28" s="305"/>
      <c r="L28" s="227"/>
      <c r="M28" s="348" t="s">
        <v>109</v>
      </c>
      <c r="N28" s="290"/>
      <c r="O28" s="247"/>
      <c r="P28" s="247"/>
      <c r="Q28" s="247"/>
      <c r="R28" s="247"/>
      <c r="S28" s="251"/>
      <c r="T28" s="294"/>
      <c r="U28" s="293"/>
      <c r="V28" s="290"/>
      <c r="W28" s="294"/>
      <c r="X28" s="249"/>
      <c r="Y28" s="310"/>
      <c r="Z28" s="310"/>
      <c r="AA28" s="310"/>
      <c r="AB28" s="310"/>
      <c r="AC28" s="310"/>
    </row>
    <row r="29" spans="1:29" s="5101" customFormat="1" ht="14.25" customHeight="1">
      <c r="G29" s="292"/>
      <c r="H29" s="305"/>
      <c r="I29" s="302"/>
      <c r="J29" s="303"/>
      <c r="L29" s="227"/>
      <c r="M29" s="349" t="s">
        <v>215</v>
      </c>
      <c r="N29" s="290"/>
      <c r="O29" s="247"/>
      <c r="P29" s="247"/>
      <c r="Q29" s="247"/>
      <c r="R29" s="247"/>
      <c r="S29" s="251"/>
      <c r="T29" s="294"/>
      <c r="U29" s="293"/>
      <c r="V29" s="290"/>
      <c r="W29" s="294"/>
      <c r="X29" s="249"/>
      <c r="Y29" s="310"/>
      <c r="Z29" s="310"/>
      <c r="AA29" s="310"/>
      <c r="AB29" s="310"/>
      <c r="AC29" s="310"/>
    </row>
    <row r="31" spans="1:29" ht="14.25" customHeight="1">
      <c r="L31" s="2">
        <v>1</v>
      </c>
      <c r="M31" s="5334" t="s">
        <v>2285</v>
      </c>
      <c r="N31" s="5334"/>
      <c r="O31" s="5334"/>
      <c r="P31" s="5334"/>
      <c r="Q31" s="5334"/>
      <c r="R31" s="5334"/>
      <c r="S31" s="5334"/>
      <c r="T31" s="5334"/>
      <c r="U31" s="5334"/>
      <c r="V31" s="5334"/>
      <c r="W31" s="5334"/>
      <c r="X31" s="5334"/>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2286</v>
      </c>
      <c r="B1" s="680" t="s">
        <v>2287</v>
      </c>
      <c r="C1" s="5580" t="s">
        <v>2288</v>
      </c>
      <c r="D1" s="5581"/>
      <c r="E1" s="752" t="s">
        <v>2289</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1782</v>
      </c>
      <c r="C4" s="669"/>
      <c r="D4" s="680"/>
      <c r="E4" s="752"/>
    </row>
    <row r="5" spans="1:5" ht="11.25" customHeight="1">
      <c r="A5" s="697"/>
      <c r="B5" s="682" t="s">
        <v>1776</v>
      </c>
      <c r="C5" s="672" t="s">
        <v>2025</v>
      </c>
      <c r="D5" s="792" t="s">
        <v>2290</v>
      </c>
      <c r="E5" s="752"/>
    </row>
    <row r="6" spans="1:5" s="5101" customFormat="1" ht="11.25" customHeight="1">
      <c r="A6" s="683"/>
      <c r="B6" s="682" t="s">
        <v>1786</v>
      </c>
      <c r="C6" s="669"/>
      <c r="D6" s="680"/>
      <c r="E6" s="752"/>
    </row>
    <row r="7" spans="1:5" ht="11.25" customHeight="1">
      <c r="A7" s="671"/>
      <c r="B7" s="682" t="s">
        <v>1794</v>
      </c>
      <c r="C7" s="669"/>
      <c r="D7" s="680"/>
      <c r="E7" s="752"/>
    </row>
    <row r="8" spans="1:5" ht="11.25" customHeight="1">
      <c r="A8" s="672"/>
      <c r="B8" s="682" t="s">
        <v>1789</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
  <sheetViews>
    <sheetView showGridLines="0" workbookViewId="0"/>
  </sheetViews>
  <sheetFormatPr defaultColWidth="9.140625" defaultRowHeight="11.25" customHeight="1"/>
  <cols>
    <col min="1" max="2" width="9.140625" style="5124"/>
    <col min="3" max="3" width="20.7109375" style="5124" customWidth="1"/>
    <col min="4" max="4" width="25.140625" style="5124" customWidth="1"/>
    <col min="5" max="9" width="9.140625" style="5124"/>
  </cols>
  <sheetData>
    <row r="1" spans="1:9" ht="11.25" customHeight="1">
      <c r="A1" s="5" t="s">
        <v>2291</v>
      </c>
      <c r="B1" s="5" t="s">
        <v>2292</v>
      </c>
      <c r="C1" s="5" t="s">
        <v>2293</v>
      </c>
      <c r="D1" s="5" t="s">
        <v>2294</v>
      </c>
      <c r="E1" s="5" t="s">
        <v>2295</v>
      </c>
      <c r="F1" s="5" t="s">
        <v>2296</v>
      </c>
      <c r="G1" s="5" t="s">
        <v>2297</v>
      </c>
      <c r="H1" s="5" t="s">
        <v>2298</v>
      </c>
      <c r="I1" s="5" t="s">
        <v>2299</v>
      </c>
    </row>
    <row r="2" spans="1:9" ht="11.25" customHeight="1">
      <c r="A2" s="5125" t="s">
        <v>2300</v>
      </c>
      <c r="B2" s="5125" t="s">
        <v>14</v>
      </c>
      <c r="C2" s="5125" t="s">
        <v>2301</v>
      </c>
      <c r="D2" s="5125" t="s">
        <v>2302</v>
      </c>
      <c r="E2" s="5125" t="s">
        <v>2303</v>
      </c>
      <c r="F2" s="5125" t="s">
        <v>2304</v>
      </c>
      <c r="G2" s="5125" t="s">
        <v>2305</v>
      </c>
      <c r="H2" s="5125" t="s">
        <v>24</v>
      </c>
      <c r="I2" s="5125" t="s">
        <v>836</v>
      </c>
    </row>
    <row r="3" spans="1:9" ht="11.25" customHeight="1">
      <c r="A3" s="5125" t="s">
        <v>2300</v>
      </c>
      <c r="B3" s="5125" t="s">
        <v>14</v>
      </c>
      <c r="C3" s="5125" t="s">
        <v>2306</v>
      </c>
      <c r="D3" s="5125" t="s">
        <v>2302</v>
      </c>
      <c r="E3" s="5125" t="s">
        <v>2303</v>
      </c>
      <c r="F3" s="5125" t="s">
        <v>2307</v>
      </c>
      <c r="G3" s="5125" t="s">
        <v>2308</v>
      </c>
      <c r="H3" s="5125" t="s">
        <v>24</v>
      </c>
      <c r="I3" s="5125" t="s">
        <v>836</v>
      </c>
    </row>
    <row r="4" spans="1:9" ht="11.25" customHeight="1">
      <c r="A4" s="5125" t="s">
        <v>2300</v>
      </c>
      <c r="B4" s="5125" t="s">
        <v>14</v>
      </c>
      <c r="C4" s="5125" t="s">
        <v>2309</v>
      </c>
      <c r="D4" s="5125" t="s">
        <v>2310</v>
      </c>
      <c r="E4" s="5125" t="s">
        <v>2311</v>
      </c>
      <c r="F4" s="5125" t="s">
        <v>2312</v>
      </c>
      <c r="G4" s="5125" t="s">
        <v>24</v>
      </c>
      <c r="H4" s="5125" t="s">
        <v>24</v>
      </c>
      <c r="I4" s="5125" t="s">
        <v>836</v>
      </c>
    </row>
    <row r="5" spans="1:9" ht="11.25" customHeight="1">
      <c r="A5" s="5125" t="s">
        <v>2300</v>
      </c>
      <c r="B5" s="5125" t="s">
        <v>14</v>
      </c>
      <c r="C5" s="5125" t="s">
        <v>2313</v>
      </c>
      <c r="D5" s="5125" t="s">
        <v>2314</v>
      </c>
      <c r="E5" s="5125" t="s">
        <v>2315</v>
      </c>
      <c r="F5" s="5125" t="s">
        <v>51</v>
      </c>
      <c r="G5" s="5125" t="s">
        <v>2316</v>
      </c>
      <c r="H5" s="5125" t="s">
        <v>24</v>
      </c>
      <c r="I5" s="5125" t="s">
        <v>836</v>
      </c>
    </row>
    <row r="6" spans="1:9" ht="11.25" customHeight="1">
      <c r="A6" s="5125" t="s">
        <v>2300</v>
      </c>
      <c r="B6" s="5125" t="s">
        <v>14</v>
      </c>
      <c r="C6" s="5125" t="s">
        <v>2317</v>
      </c>
      <c r="D6" s="5125" t="s">
        <v>2318</v>
      </c>
      <c r="E6" s="5125" t="s">
        <v>2319</v>
      </c>
      <c r="F6" s="5125" t="s">
        <v>2320</v>
      </c>
      <c r="G6" s="5125" t="s">
        <v>24</v>
      </c>
      <c r="H6" s="5125" t="s">
        <v>24</v>
      </c>
      <c r="I6" s="5125" t="s">
        <v>836</v>
      </c>
    </row>
    <row r="7" spans="1:9" ht="11.25" customHeight="1">
      <c r="A7" s="5125" t="s">
        <v>2300</v>
      </c>
      <c r="B7" s="5125" t="s">
        <v>14</v>
      </c>
      <c r="C7" s="5125" t="s">
        <v>2321</v>
      </c>
      <c r="D7" s="5125" t="s">
        <v>2322</v>
      </c>
      <c r="E7" s="5125" t="s">
        <v>2323</v>
      </c>
      <c r="F7" s="5125" t="s">
        <v>2320</v>
      </c>
      <c r="G7" s="5125" t="s">
        <v>2324</v>
      </c>
      <c r="H7" s="5125" t="s">
        <v>24</v>
      </c>
      <c r="I7" s="5125" t="s">
        <v>836</v>
      </c>
    </row>
    <row r="8" spans="1:9" ht="11.25" customHeight="1">
      <c r="A8" s="5125" t="s">
        <v>2300</v>
      </c>
      <c r="B8" s="5125" t="s">
        <v>14</v>
      </c>
      <c r="C8" s="5125" t="s">
        <v>2325</v>
      </c>
      <c r="D8" s="5125" t="s">
        <v>2326</v>
      </c>
      <c r="E8" s="5125" t="s">
        <v>2327</v>
      </c>
      <c r="F8" s="5125" t="s">
        <v>2328</v>
      </c>
      <c r="G8" s="5125" t="s">
        <v>24</v>
      </c>
      <c r="H8" s="5125" t="s">
        <v>24</v>
      </c>
      <c r="I8" s="5125" t="s">
        <v>836</v>
      </c>
    </row>
    <row r="9" spans="1:9" ht="11.25" customHeight="1">
      <c r="A9" s="5125" t="s">
        <v>2300</v>
      </c>
      <c r="B9" s="5125" t="s">
        <v>14</v>
      </c>
      <c r="C9" s="5125" t="s">
        <v>2329</v>
      </c>
      <c r="D9" s="5125" t="s">
        <v>2330</v>
      </c>
      <c r="E9" s="5125" t="s">
        <v>2331</v>
      </c>
      <c r="F9" s="5125" t="s">
        <v>51</v>
      </c>
      <c r="G9" s="5125" t="s">
        <v>24</v>
      </c>
      <c r="H9" s="5125" t="s">
        <v>24</v>
      </c>
      <c r="I9" s="5125" t="s">
        <v>836</v>
      </c>
    </row>
    <row r="10" spans="1:9" ht="11.25" customHeight="1">
      <c r="A10" s="5125" t="s">
        <v>2300</v>
      </c>
      <c r="B10" s="5125" t="s">
        <v>14</v>
      </c>
      <c r="C10" s="5125" t="s">
        <v>2332</v>
      </c>
      <c r="D10" s="5125" t="s">
        <v>2333</v>
      </c>
      <c r="E10" s="5125" t="s">
        <v>2334</v>
      </c>
      <c r="F10" s="5125" t="s">
        <v>51</v>
      </c>
      <c r="G10" s="5125" t="s">
        <v>2335</v>
      </c>
      <c r="H10" s="5125" t="s">
        <v>24</v>
      </c>
      <c r="I10" s="5125" t="s">
        <v>836</v>
      </c>
    </row>
    <row r="11" spans="1:9" ht="11.25" customHeight="1">
      <c r="A11" s="5125" t="s">
        <v>2300</v>
      </c>
      <c r="B11" s="5125" t="s">
        <v>14</v>
      </c>
      <c r="C11" s="5125" t="s">
        <v>2336</v>
      </c>
      <c r="D11" s="5125" t="s">
        <v>2337</v>
      </c>
      <c r="E11" s="5125" t="s">
        <v>2338</v>
      </c>
      <c r="F11" s="5125" t="s">
        <v>51</v>
      </c>
      <c r="G11" s="5125" t="s">
        <v>24</v>
      </c>
      <c r="H11" s="5125" t="s">
        <v>24</v>
      </c>
      <c r="I11" s="5125" t="s">
        <v>836</v>
      </c>
    </row>
    <row r="12" spans="1:9" ht="11.25" customHeight="1">
      <c r="A12" s="5125" t="s">
        <v>2300</v>
      </c>
      <c r="B12" s="5125" t="s">
        <v>14</v>
      </c>
      <c r="C12" s="5125" t="s">
        <v>2339</v>
      </c>
      <c r="D12" s="5125" t="s">
        <v>2340</v>
      </c>
      <c r="E12" s="5125" t="s">
        <v>2341</v>
      </c>
      <c r="F12" s="5125" t="s">
        <v>2342</v>
      </c>
      <c r="G12" s="5125" t="s">
        <v>24</v>
      </c>
      <c r="H12" s="5125" t="s">
        <v>24</v>
      </c>
      <c r="I12" s="5125" t="s">
        <v>836</v>
      </c>
    </row>
    <row r="13" spans="1:9" ht="11.25" customHeight="1">
      <c r="A13" s="5125" t="s">
        <v>2300</v>
      </c>
      <c r="B13" s="5125" t="s">
        <v>14</v>
      </c>
      <c r="C13" s="5125" t="s">
        <v>2343</v>
      </c>
      <c r="D13" s="5125" t="s">
        <v>2344</v>
      </c>
      <c r="E13" s="5125" t="s">
        <v>2345</v>
      </c>
      <c r="F13" s="5125" t="s">
        <v>2346</v>
      </c>
      <c r="G13" s="5125" t="s">
        <v>2347</v>
      </c>
      <c r="H13" s="5125" t="s">
        <v>24</v>
      </c>
      <c r="I13" s="5125" t="s">
        <v>836</v>
      </c>
    </row>
    <row r="14" spans="1:9" ht="11.25" customHeight="1">
      <c r="A14" s="5125" t="s">
        <v>2300</v>
      </c>
      <c r="B14" s="5125" t="s">
        <v>14</v>
      </c>
      <c r="C14" s="5125" t="s">
        <v>2348</v>
      </c>
      <c r="D14" s="5125" t="s">
        <v>2349</v>
      </c>
      <c r="E14" s="5125" t="s">
        <v>2350</v>
      </c>
      <c r="F14" s="5125" t="s">
        <v>2351</v>
      </c>
      <c r="G14" s="5125" t="s">
        <v>24</v>
      </c>
      <c r="H14" s="5125" t="s">
        <v>24</v>
      </c>
      <c r="I14" s="5125" t="s">
        <v>836</v>
      </c>
    </row>
    <row r="15" spans="1:9" ht="11.25" customHeight="1">
      <c r="A15" s="5125" t="s">
        <v>2300</v>
      </c>
      <c r="B15" s="5125" t="s">
        <v>14</v>
      </c>
      <c r="C15" s="5125" t="s">
        <v>2352</v>
      </c>
      <c r="D15" s="5125" t="s">
        <v>2353</v>
      </c>
      <c r="E15" s="5125" t="s">
        <v>2354</v>
      </c>
      <c r="F15" s="5125" t="s">
        <v>2355</v>
      </c>
      <c r="G15" s="5125" t="s">
        <v>2356</v>
      </c>
      <c r="H15" s="5125" t="s">
        <v>24</v>
      </c>
      <c r="I15" s="5125" t="s">
        <v>836</v>
      </c>
    </row>
    <row r="16" spans="1:9" ht="11.25" customHeight="1">
      <c r="A16" s="5125" t="s">
        <v>2300</v>
      </c>
      <c r="B16" s="5125" t="s">
        <v>14</v>
      </c>
      <c r="C16" s="5125" t="s">
        <v>2357</v>
      </c>
      <c r="D16" s="5125" t="s">
        <v>2358</v>
      </c>
      <c r="E16" s="5125" t="s">
        <v>2359</v>
      </c>
      <c r="F16" s="5125" t="s">
        <v>2360</v>
      </c>
      <c r="G16" s="5125" t="s">
        <v>24</v>
      </c>
      <c r="H16" s="5125" t="s">
        <v>24</v>
      </c>
      <c r="I16" s="5125" t="s">
        <v>836</v>
      </c>
    </row>
    <row r="17" spans="1:9" ht="11.25" customHeight="1">
      <c r="A17" s="5125" t="s">
        <v>2300</v>
      </c>
      <c r="B17" s="5125" t="s">
        <v>14</v>
      </c>
      <c r="C17" s="5125" t="s">
        <v>2361</v>
      </c>
      <c r="D17" s="5125" t="s">
        <v>2362</v>
      </c>
      <c r="E17" s="5125" t="s">
        <v>2363</v>
      </c>
      <c r="F17" s="5125" t="s">
        <v>51</v>
      </c>
      <c r="G17" s="5125" t="s">
        <v>2364</v>
      </c>
      <c r="H17" s="5125" t="s">
        <v>24</v>
      </c>
      <c r="I17" s="5125" t="s">
        <v>836</v>
      </c>
    </row>
    <row r="18" spans="1:9" ht="11.25" customHeight="1">
      <c r="A18" s="5125" t="s">
        <v>2300</v>
      </c>
      <c r="B18" s="5125" t="s">
        <v>14</v>
      </c>
      <c r="C18" s="5125" t="s">
        <v>2365</v>
      </c>
      <c r="D18" s="5125" t="s">
        <v>2366</v>
      </c>
      <c r="E18" s="5125" t="s">
        <v>2367</v>
      </c>
      <c r="F18" s="5125" t="s">
        <v>2368</v>
      </c>
      <c r="G18" s="5125" t="s">
        <v>24</v>
      </c>
      <c r="H18" s="5125" t="s">
        <v>24</v>
      </c>
      <c r="I18" s="5125" t="s">
        <v>836</v>
      </c>
    </row>
    <row r="19" spans="1:9" ht="11.25" customHeight="1">
      <c r="A19" s="5125" t="s">
        <v>2300</v>
      </c>
      <c r="B19" s="5125" t="s">
        <v>14</v>
      </c>
      <c r="C19" s="5125" t="s">
        <v>2369</v>
      </c>
      <c r="D19" s="5125" t="s">
        <v>2370</v>
      </c>
      <c r="E19" s="5125" t="s">
        <v>2371</v>
      </c>
      <c r="F19" s="5125" t="s">
        <v>51</v>
      </c>
      <c r="G19" s="5125" t="s">
        <v>24</v>
      </c>
      <c r="H19" s="5125" t="s">
        <v>24</v>
      </c>
      <c r="I19" s="5125" t="s">
        <v>836</v>
      </c>
    </row>
    <row r="20" spans="1:9" ht="11.25" customHeight="1">
      <c r="A20" s="5125" t="s">
        <v>2300</v>
      </c>
      <c r="B20" s="5125" t="s">
        <v>14</v>
      </c>
      <c r="C20" s="5125" t="s">
        <v>2372</v>
      </c>
      <c r="D20" s="5125" t="s">
        <v>2373</v>
      </c>
      <c r="E20" s="5125" t="s">
        <v>2374</v>
      </c>
      <c r="F20" s="5125" t="s">
        <v>51</v>
      </c>
      <c r="G20" s="5125" t="s">
        <v>2375</v>
      </c>
      <c r="H20" s="5125" t="s">
        <v>24</v>
      </c>
      <c r="I20" s="5125" t="s">
        <v>836</v>
      </c>
    </row>
    <row r="21" spans="1:9" ht="11.25" customHeight="1">
      <c r="A21" s="5125" t="s">
        <v>2300</v>
      </c>
      <c r="B21" s="5125" t="s">
        <v>14</v>
      </c>
      <c r="C21" s="5125" t="s">
        <v>2376</v>
      </c>
      <c r="D21" s="5125" t="s">
        <v>2377</v>
      </c>
      <c r="E21" s="5125" t="s">
        <v>2378</v>
      </c>
      <c r="F21" s="5125" t="s">
        <v>2379</v>
      </c>
      <c r="G21" s="5125" t="s">
        <v>24</v>
      </c>
      <c r="H21" s="5125" t="s">
        <v>24</v>
      </c>
      <c r="I21" s="5125" t="s">
        <v>836</v>
      </c>
    </row>
    <row r="22" spans="1:9" ht="11.25" customHeight="1">
      <c r="A22" s="5125" t="s">
        <v>2300</v>
      </c>
      <c r="B22" s="5125" t="s">
        <v>14</v>
      </c>
      <c r="C22" s="5125" t="s">
        <v>24</v>
      </c>
      <c r="D22" s="5125" t="s">
        <v>2380</v>
      </c>
      <c r="E22" s="5125" t="s">
        <v>2381</v>
      </c>
      <c r="F22" s="5125" t="s">
        <v>51</v>
      </c>
      <c r="G22" s="5125" t="s">
        <v>24</v>
      </c>
      <c r="H22" s="5125" t="s">
        <v>24</v>
      </c>
      <c r="I22" s="5125" t="s">
        <v>836</v>
      </c>
    </row>
    <row r="23" spans="1:9" ht="11.25" customHeight="1">
      <c r="A23" s="5125" t="s">
        <v>2300</v>
      </c>
      <c r="B23" s="5125" t="s">
        <v>14</v>
      </c>
      <c r="C23" s="5125" t="s">
        <v>2382</v>
      </c>
      <c r="D23" s="5125" t="s">
        <v>2383</v>
      </c>
      <c r="E23" s="5125" t="s">
        <v>2384</v>
      </c>
      <c r="F23" s="5125" t="s">
        <v>2385</v>
      </c>
      <c r="G23" s="5125" t="s">
        <v>24</v>
      </c>
      <c r="H23" s="5125" t="s">
        <v>24</v>
      </c>
      <c r="I23" s="5125" t="s">
        <v>836</v>
      </c>
    </row>
    <row r="24" spans="1:9" ht="11.25" customHeight="1">
      <c r="A24" s="5125" t="s">
        <v>2300</v>
      </c>
      <c r="B24" s="5125" t="s">
        <v>14</v>
      </c>
      <c r="C24" s="5125" t="s">
        <v>2386</v>
      </c>
      <c r="D24" s="5125" t="s">
        <v>2387</v>
      </c>
      <c r="E24" s="5125" t="s">
        <v>2388</v>
      </c>
      <c r="F24" s="5125" t="s">
        <v>2312</v>
      </c>
      <c r="G24" s="5125" t="s">
        <v>24</v>
      </c>
      <c r="H24" s="5125" t="s">
        <v>24</v>
      </c>
      <c r="I24" s="5125" t="s">
        <v>836</v>
      </c>
    </row>
    <row r="25" spans="1:9" ht="11.25" customHeight="1">
      <c r="A25" s="5125" t="s">
        <v>2300</v>
      </c>
      <c r="B25" s="5125" t="s">
        <v>14</v>
      </c>
      <c r="C25" s="5125" t="s">
        <v>2389</v>
      </c>
      <c r="D25" s="5125" t="s">
        <v>2390</v>
      </c>
      <c r="E25" s="5125" t="s">
        <v>2391</v>
      </c>
      <c r="F25" s="5125" t="s">
        <v>2385</v>
      </c>
      <c r="G25" s="5125" t="s">
        <v>2392</v>
      </c>
      <c r="H25" s="5125" t="s">
        <v>24</v>
      </c>
      <c r="I25" s="5125" t="s">
        <v>836</v>
      </c>
    </row>
    <row r="26" spans="1:9" ht="11.25" customHeight="1">
      <c r="A26" s="5125" t="s">
        <v>2300</v>
      </c>
      <c r="B26" s="5125" t="s">
        <v>14</v>
      </c>
      <c r="C26" s="5125" t="s">
        <v>2393</v>
      </c>
      <c r="D26" s="5125" t="s">
        <v>2394</v>
      </c>
      <c r="E26" s="5125" t="s">
        <v>2395</v>
      </c>
      <c r="F26" s="5125" t="s">
        <v>2385</v>
      </c>
      <c r="G26" s="5125" t="s">
        <v>2396</v>
      </c>
      <c r="H26" s="5125" t="s">
        <v>24</v>
      </c>
      <c r="I26" s="5125" t="s">
        <v>836</v>
      </c>
    </row>
    <row r="27" spans="1:9" ht="11.25" customHeight="1">
      <c r="A27" s="5125" t="s">
        <v>2300</v>
      </c>
      <c r="B27" s="5125" t="s">
        <v>14</v>
      </c>
      <c r="C27" s="5125" t="s">
        <v>2397</v>
      </c>
      <c r="D27" s="5125" t="s">
        <v>2398</v>
      </c>
      <c r="E27" s="5125" t="s">
        <v>2399</v>
      </c>
      <c r="F27" s="5125" t="s">
        <v>2400</v>
      </c>
      <c r="G27" s="5125" t="s">
        <v>2401</v>
      </c>
      <c r="H27" s="5125" t="s">
        <v>24</v>
      </c>
      <c r="I27" s="5125" t="s">
        <v>836</v>
      </c>
    </row>
    <row r="28" spans="1:9" ht="11.25" customHeight="1">
      <c r="A28" s="5125" t="s">
        <v>2300</v>
      </c>
      <c r="B28" s="5125" t="s">
        <v>14</v>
      </c>
      <c r="C28" s="5125" t="s">
        <v>2402</v>
      </c>
      <c r="D28" s="5125" t="s">
        <v>2403</v>
      </c>
      <c r="E28" s="5125" t="s">
        <v>2404</v>
      </c>
      <c r="F28" s="5125" t="s">
        <v>2405</v>
      </c>
      <c r="G28" s="5125" t="s">
        <v>24</v>
      </c>
      <c r="H28" s="5125" t="s">
        <v>24</v>
      </c>
      <c r="I28" s="5125" t="s">
        <v>836</v>
      </c>
    </row>
    <row r="29" spans="1:9" ht="11.25" customHeight="1">
      <c r="A29" s="5125" t="s">
        <v>2300</v>
      </c>
      <c r="B29" s="5125" t="s">
        <v>14</v>
      </c>
      <c r="C29" s="5125" t="s">
        <v>2406</v>
      </c>
      <c r="D29" s="5125" t="s">
        <v>2407</v>
      </c>
      <c r="E29" s="5125" t="s">
        <v>2408</v>
      </c>
      <c r="F29" s="5125" t="s">
        <v>2346</v>
      </c>
      <c r="G29" s="5125" t="s">
        <v>24</v>
      </c>
      <c r="H29" s="5125" t="s">
        <v>24</v>
      </c>
      <c r="I29" s="5125" t="s">
        <v>836</v>
      </c>
    </row>
    <row r="30" spans="1:9" ht="11.25" customHeight="1">
      <c r="A30" s="5125" t="s">
        <v>2300</v>
      </c>
      <c r="B30" s="5125" t="s">
        <v>14</v>
      </c>
      <c r="C30" s="5125" t="s">
        <v>2409</v>
      </c>
      <c r="D30" s="5125" t="s">
        <v>2410</v>
      </c>
      <c r="E30" s="5125" t="s">
        <v>2411</v>
      </c>
      <c r="F30" s="5125" t="s">
        <v>2412</v>
      </c>
      <c r="G30" s="5125" t="s">
        <v>24</v>
      </c>
      <c r="H30" s="5125" t="s">
        <v>24</v>
      </c>
      <c r="I30" s="5125" t="s">
        <v>836</v>
      </c>
    </row>
    <row r="31" spans="1:9" ht="11.25" customHeight="1">
      <c r="A31" s="5125" t="s">
        <v>2300</v>
      </c>
      <c r="B31" s="5125" t="s">
        <v>14</v>
      </c>
      <c r="C31" s="5125" t="s">
        <v>2413</v>
      </c>
      <c r="D31" s="5125" t="s">
        <v>2414</v>
      </c>
      <c r="E31" s="5125" t="s">
        <v>2415</v>
      </c>
      <c r="F31" s="5125" t="s">
        <v>2416</v>
      </c>
      <c r="G31" s="5125" t="s">
        <v>24</v>
      </c>
      <c r="H31" s="5125" t="s">
        <v>24</v>
      </c>
      <c r="I31" s="5125" t="s">
        <v>836</v>
      </c>
    </row>
    <row r="32" spans="1:9" ht="11.25" customHeight="1">
      <c r="A32" s="5125" t="s">
        <v>2300</v>
      </c>
      <c r="B32" s="5125" t="s">
        <v>14</v>
      </c>
      <c r="C32" s="5125" t="s">
        <v>2417</v>
      </c>
      <c r="D32" s="5125" t="s">
        <v>2418</v>
      </c>
      <c r="E32" s="5125" t="s">
        <v>2419</v>
      </c>
      <c r="F32" s="5125" t="s">
        <v>2312</v>
      </c>
      <c r="G32" s="5125" t="s">
        <v>24</v>
      </c>
      <c r="H32" s="5125" t="s">
        <v>24</v>
      </c>
      <c r="I32" s="5125" t="s">
        <v>836</v>
      </c>
    </row>
    <row r="33" spans="1:9" ht="11.25" customHeight="1">
      <c r="A33" s="5125" t="s">
        <v>2300</v>
      </c>
      <c r="B33" s="5125" t="s">
        <v>14</v>
      </c>
      <c r="C33" s="5125" t="s">
        <v>2420</v>
      </c>
      <c r="D33" s="5125" t="s">
        <v>2421</v>
      </c>
      <c r="E33" s="5125" t="s">
        <v>2422</v>
      </c>
      <c r="F33" s="5125" t="s">
        <v>2355</v>
      </c>
      <c r="G33" s="5125" t="s">
        <v>24</v>
      </c>
      <c r="H33" s="5125" t="s">
        <v>2423</v>
      </c>
      <c r="I33" s="5125" t="s">
        <v>836</v>
      </c>
    </row>
    <row r="34" spans="1:9" ht="11.25" customHeight="1">
      <c r="A34" s="5125" t="s">
        <v>2300</v>
      </c>
      <c r="B34" s="5125" t="s">
        <v>14</v>
      </c>
      <c r="C34" s="5125" t="s">
        <v>2424</v>
      </c>
      <c r="D34" s="5125" t="s">
        <v>2425</v>
      </c>
      <c r="E34" s="5125" t="s">
        <v>2426</v>
      </c>
      <c r="F34" s="5125" t="s">
        <v>2312</v>
      </c>
      <c r="G34" s="5125" t="s">
        <v>24</v>
      </c>
      <c r="H34" s="5125" t="s">
        <v>2427</v>
      </c>
      <c r="I34" s="5125" t="s">
        <v>836</v>
      </c>
    </row>
    <row r="35" spans="1:9" ht="11.25" customHeight="1">
      <c r="A35" s="5125" t="s">
        <v>2300</v>
      </c>
      <c r="B35" s="5125" t="s">
        <v>14</v>
      </c>
      <c r="C35" s="5125" t="s">
        <v>2428</v>
      </c>
      <c r="D35" s="5125" t="s">
        <v>2429</v>
      </c>
      <c r="E35" s="5125" t="s">
        <v>2430</v>
      </c>
      <c r="F35" s="5125" t="s">
        <v>51</v>
      </c>
      <c r="G35" s="5125" t="s">
        <v>24</v>
      </c>
      <c r="H35" s="5125" t="s">
        <v>24</v>
      </c>
      <c r="I35" s="5125" t="s">
        <v>836</v>
      </c>
    </row>
    <row r="36" spans="1:9" ht="11.25" customHeight="1">
      <c r="A36" s="5125" t="s">
        <v>2300</v>
      </c>
      <c r="B36" s="5125" t="s">
        <v>14</v>
      </c>
      <c r="C36" s="5125" t="s">
        <v>2431</v>
      </c>
      <c r="D36" s="5125" t="s">
        <v>2432</v>
      </c>
      <c r="E36" s="5125" t="s">
        <v>2433</v>
      </c>
      <c r="F36" s="5125" t="s">
        <v>2400</v>
      </c>
      <c r="G36" s="5125" t="s">
        <v>24</v>
      </c>
      <c r="H36" s="5125" t="s">
        <v>24</v>
      </c>
      <c r="I36" s="5125" t="s">
        <v>836</v>
      </c>
    </row>
    <row r="37" spans="1:9" ht="11.25" customHeight="1">
      <c r="A37" s="5125" t="s">
        <v>2300</v>
      </c>
      <c r="B37" s="5125" t="s">
        <v>14</v>
      </c>
      <c r="C37" s="5125" t="s">
        <v>2434</v>
      </c>
      <c r="D37" s="5125" t="s">
        <v>2435</v>
      </c>
      <c r="E37" s="5125" t="s">
        <v>2436</v>
      </c>
      <c r="F37" s="5125" t="s">
        <v>2400</v>
      </c>
      <c r="G37" s="5125" t="s">
        <v>2437</v>
      </c>
      <c r="H37" s="5125" t="s">
        <v>24</v>
      </c>
      <c r="I37" s="5125" t="s">
        <v>836</v>
      </c>
    </row>
    <row r="38" spans="1:9" ht="11.25" customHeight="1">
      <c r="A38" s="5125" t="s">
        <v>2300</v>
      </c>
      <c r="B38" s="5125" t="s">
        <v>14</v>
      </c>
      <c r="C38" s="5125" t="s">
        <v>2438</v>
      </c>
      <c r="D38" s="5125" t="s">
        <v>2439</v>
      </c>
      <c r="E38" s="5125" t="s">
        <v>2440</v>
      </c>
      <c r="F38" s="5125" t="s">
        <v>2441</v>
      </c>
      <c r="G38" s="5125" t="s">
        <v>24</v>
      </c>
      <c r="H38" s="5125" t="s">
        <v>24</v>
      </c>
      <c r="I38" s="5125" t="s">
        <v>836</v>
      </c>
    </row>
    <row r="39" spans="1:9" ht="11.25" customHeight="1">
      <c r="A39" s="5125" t="s">
        <v>2300</v>
      </c>
      <c r="B39" s="5125" t="s">
        <v>14</v>
      </c>
      <c r="C39" s="5125" t="s">
        <v>2442</v>
      </c>
      <c r="D39" s="5125" t="s">
        <v>2443</v>
      </c>
      <c r="E39" s="5125" t="s">
        <v>2444</v>
      </c>
      <c r="F39" s="5125" t="s">
        <v>2385</v>
      </c>
      <c r="G39" s="5125" t="s">
        <v>24</v>
      </c>
      <c r="H39" s="5125" t="s">
        <v>24</v>
      </c>
      <c r="I39" s="5125" t="s">
        <v>836</v>
      </c>
    </row>
    <row r="40" spans="1:9" ht="11.25" customHeight="1">
      <c r="A40" s="5125" t="s">
        <v>2300</v>
      </c>
      <c r="B40" s="5125" t="s">
        <v>14</v>
      </c>
      <c r="C40" s="5125" t="s">
        <v>2445</v>
      </c>
      <c r="D40" s="5125" t="s">
        <v>2446</v>
      </c>
      <c r="E40" s="5125" t="s">
        <v>2447</v>
      </c>
      <c r="F40" s="5125" t="s">
        <v>2312</v>
      </c>
      <c r="G40" s="5125" t="s">
        <v>24</v>
      </c>
      <c r="H40" s="5125" t="s">
        <v>24</v>
      </c>
      <c r="I40" s="5125" t="s">
        <v>836</v>
      </c>
    </row>
    <row r="41" spans="1:9" ht="11.25" customHeight="1">
      <c r="A41" s="5125" t="s">
        <v>2300</v>
      </c>
      <c r="B41" s="5125" t="s">
        <v>14</v>
      </c>
      <c r="C41" s="5125" t="s">
        <v>2448</v>
      </c>
      <c r="D41" s="5125" t="s">
        <v>2449</v>
      </c>
      <c r="E41" s="5125" t="s">
        <v>2450</v>
      </c>
      <c r="F41" s="5125" t="s">
        <v>2355</v>
      </c>
      <c r="G41" s="5125" t="s">
        <v>24</v>
      </c>
      <c r="H41" s="5125" t="s">
        <v>24</v>
      </c>
      <c r="I41" s="5125" t="s">
        <v>836</v>
      </c>
    </row>
    <row r="42" spans="1:9" ht="11.25" customHeight="1">
      <c r="A42" s="5125" t="s">
        <v>2300</v>
      </c>
      <c r="B42" s="5125" t="s">
        <v>14</v>
      </c>
      <c r="C42" s="5125" t="s">
        <v>2451</v>
      </c>
      <c r="D42" s="5125" t="s">
        <v>2452</v>
      </c>
      <c r="E42" s="5125" t="s">
        <v>2453</v>
      </c>
      <c r="F42" s="5125" t="s">
        <v>2454</v>
      </c>
      <c r="G42" s="5125" t="s">
        <v>24</v>
      </c>
      <c r="H42" s="5125" t="s">
        <v>24</v>
      </c>
      <c r="I42" s="5125" t="s">
        <v>836</v>
      </c>
    </row>
    <row r="43" spans="1:9" ht="11.25" customHeight="1">
      <c r="A43" s="5125" t="s">
        <v>2300</v>
      </c>
      <c r="B43" s="5125" t="s">
        <v>14</v>
      </c>
      <c r="C43" s="5125" t="s">
        <v>2455</v>
      </c>
      <c r="D43" s="5125" t="s">
        <v>2456</v>
      </c>
      <c r="E43" s="5125" t="s">
        <v>2457</v>
      </c>
      <c r="F43" s="5125" t="s">
        <v>2312</v>
      </c>
      <c r="G43" s="5125" t="s">
        <v>2458</v>
      </c>
      <c r="H43" s="5125" t="s">
        <v>24</v>
      </c>
      <c r="I43" s="5125" t="s">
        <v>836</v>
      </c>
    </row>
    <row r="44" spans="1:9" ht="11.25" customHeight="1">
      <c r="A44" s="5125" t="s">
        <v>2300</v>
      </c>
      <c r="B44" s="5125" t="s">
        <v>14</v>
      </c>
      <c r="C44" s="5125" t="s">
        <v>2459</v>
      </c>
      <c r="D44" s="5125" t="s">
        <v>2460</v>
      </c>
      <c r="E44" s="5125" t="s">
        <v>2461</v>
      </c>
      <c r="F44" s="5125" t="s">
        <v>2400</v>
      </c>
      <c r="G44" s="5125" t="s">
        <v>2462</v>
      </c>
      <c r="H44" s="5125" t="s">
        <v>24</v>
      </c>
      <c r="I44" s="5125" t="s">
        <v>836</v>
      </c>
    </row>
    <row r="45" spans="1:9" ht="11.25" customHeight="1">
      <c r="A45" s="5125" t="s">
        <v>2300</v>
      </c>
      <c r="B45" s="5125" t="s">
        <v>14</v>
      </c>
      <c r="C45" s="5125" t="s">
        <v>2463</v>
      </c>
      <c r="D45" s="5125" t="s">
        <v>2464</v>
      </c>
      <c r="E45" s="5125" t="s">
        <v>2465</v>
      </c>
      <c r="F45" s="5125" t="s">
        <v>2312</v>
      </c>
      <c r="G45" s="5125" t="s">
        <v>24</v>
      </c>
      <c r="H45" s="5125" t="s">
        <v>24</v>
      </c>
      <c r="I45" s="5125" t="s">
        <v>836</v>
      </c>
    </row>
    <row r="46" spans="1:9" ht="11.25" customHeight="1">
      <c r="A46" s="5125" t="s">
        <v>2300</v>
      </c>
      <c r="B46" s="5125" t="s">
        <v>14</v>
      </c>
      <c r="C46" s="5125" t="s">
        <v>2466</v>
      </c>
      <c r="D46" s="5125" t="s">
        <v>2467</v>
      </c>
      <c r="E46" s="5125" t="s">
        <v>2468</v>
      </c>
      <c r="F46" s="5125" t="s">
        <v>2469</v>
      </c>
      <c r="G46" s="5125" t="s">
        <v>2470</v>
      </c>
      <c r="H46" s="5125" t="s">
        <v>24</v>
      </c>
      <c r="I46" s="5125" t="s">
        <v>836</v>
      </c>
    </row>
    <row r="47" spans="1:9" ht="11.25" customHeight="1">
      <c r="A47" s="5125" t="s">
        <v>2300</v>
      </c>
      <c r="B47" s="5125" t="s">
        <v>14</v>
      </c>
      <c r="C47" s="5125" t="s">
        <v>2471</v>
      </c>
      <c r="D47" s="5125" t="s">
        <v>2472</v>
      </c>
      <c r="E47" s="5125" t="s">
        <v>2473</v>
      </c>
      <c r="F47" s="5125" t="s">
        <v>2474</v>
      </c>
      <c r="G47" s="5125" t="s">
        <v>2475</v>
      </c>
      <c r="H47" s="5125" t="s">
        <v>24</v>
      </c>
      <c r="I47" s="5125" t="s">
        <v>836</v>
      </c>
    </row>
    <row r="48" spans="1:9" ht="11.25" customHeight="1">
      <c r="A48" s="5125" t="s">
        <v>2300</v>
      </c>
      <c r="B48" s="5125" t="s">
        <v>14</v>
      </c>
      <c r="C48" s="5125" t="s">
        <v>2476</v>
      </c>
      <c r="D48" s="5125" t="s">
        <v>2477</v>
      </c>
      <c r="E48" s="5125" t="s">
        <v>2478</v>
      </c>
      <c r="F48" s="5125" t="s">
        <v>2479</v>
      </c>
      <c r="G48" s="5125" t="s">
        <v>24</v>
      </c>
      <c r="H48" s="5125" t="s">
        <v>24</v>
      </c>
      <c r="I48" s="5125" t="s">
        <v>836</v>
      </c>
    </row>
    <row r="49" spans="1:9" ht="11.25" customHeight="1">
      <c r="A49" s="5125" t="s">
        <v>2300</v>
      </c>
      <c r="B49" s="5125" t="s">
        <v>14</v>
      </c>
      <c r="C49" s="5125" t="s">
        <v>2480</v>
      </c>
      <c r="D49" s="5125" t="s">
        <v>2481</v>
      </c>
      <c r="E49" s="5125" t="s">
        <v>2482</v>
      </c>
      <c r="F49" s="5125" t="s">
        <v>2312</v>
      </c>
      <c r="G49" s="5125" t="s">
        <v>24</v>
      </c>
      <c r="H49" s="5125" t="s">
        <v>24</v>
      </c>
      <c r="I49" s="5125" t="s">
        <v>836</v>
      </c>
    </row>
    <row r="50" spans="1:9" ht="11.25" customHeight="1">
      <c r="A50" s="5125" t="s">
        <v>2300</v>
      </c>
      <c r="B50" s="5125" t="s">
        <v>14</v>
      </c>
      <c r="C50" s="5125" t="s">
        <v>2483</v>
      </c>
      <c r="D50" s="5125" t="s">
        <v>2484</v>
      </c>
      <c r="E50" s="5125" t="s">
        <v>2485</v>
      </c>
      <c r="F50" s="5125" t="s">
        <v>2312</v>
      </c>
      <c r="G50" s="5125" t="s">
        <v>24</v>
      </c>
      <c r="H50" s="5125" t="s">
        <v>24</v>
      </c>
      <c r="I50" s="5125" t="s">
        <v>836</v>
      </c>
    </row>
    <row r="51" spans="1:9" ht="11.25" customHeight="1">
      <c r="A51" s="5125" t="s">
        <v>2300</v>
      </c>
      <c r="B51" s="5125" t="s">
        <v>14</v>
      </c>
      <c r="C51" s="5125" t="s">
        <v>2486</v>
      </c>
      <c r="D51" s="5125" t="s">
        <v>2487</v>
      </c>
      <c r="E51" s="5125" t="s">
        <v>2488</v>
      </c>
      <c r="F51" s="5125" t="s">
        <v>2489</v>
      </c>
      <c r="G51" s="5125" t="s">
        <v>2490</v>
      </c>
      <c r="H51" s="5125" t="s">
        <v>24</v>
      </c>
      <c r="I51" s="5125" t="s">
        <v>836</v>
      </c>
    </row>
    <row r="52" spans="1:9" ht="11.25" customHeight="1">
      <c r="A52" s="5125" t="s">
        <v>2300</v>
      </c>
      <c r="B52" s="5125" t="s">
        <v>14</v>
      </c>
      <c r="C52" s="5125" t="s">
        <v>2491</v>
      </c>
      <c r="D52" s="5125" t="s">
        <v>2492</v>
      </c>
      <c r="E52" s="5125" t="s">
        <v>2493</v>
      </c>
      <c r="F52" s="5125" t="s">
        <v>2400</v>
      </c>
      <c r="G52" s="5125" t="s">
        <v>24</v>
      </c>
      <c r="H52" s="5125" t="s">
        <v>24</v>
      </c>
      <c r="I52" s="5125" t="s">
        <v>836</v>
      </c>
    </row>
    <row r="53" spans="1:9" ht="11.25" customHeight="1">
      <c r="A53" s="5125" t="s">
        <v>2300</v>
      </c>
      <c r="B53" s="5125" t="s">
        <v>14</v>
      </c>
      <c r="C53" s="5125" t="s">
        <v>2494</v>
      </c>
      <c r="D53" s="5125" t="s">
        <v>2495</v>
      </c>
      <c r="E53" s="5125" t="s">
        <v>2496</v>
      </c>
      <c r="F53" s="5125" t="s">
        <v>2405</v>
      </c>
      <c r="G53" s="5125" t="s">
        <v>24</v>
      </c>
      <c r="H53" s="5125" t="s">
        <v>24</v>
      </c>
      <c r="I53" s="5125" t="s">
        <v>836</v>
      </c>
    </row>
    <row r="54" spans="1:9" ht="11.25" customHeight="1">
      <c r="A54" s="5125" t="s">
        <v>2300</v>
      </c>
      <c r="B54" s="5125" t="s">
        <v>14</v>
      </c>
      <c r="C54" s="5125" t="s">
        <v>2497</v>
      </c>
      <c r="D54" s="5125" t="s">
        <v>2498</v>
      </c>
      <c r="E54" s="5125" t="s">
        <v>2499</v>
      </c>
      <c r="F54" s="5125" t="s">
        <v>2400</v>
      </c>
      <c r="G54" s="5125" t="s">
        <v>2500</v>
      </c>
      <c r="H54" s="5125" t="s">
        <v>24</v>
      </c>
      <c r="I54" s="5125" t="s">
        <v>836</v>
      </c>
    </row>
    <row r="55" spans="1:9" ht="11.25" customHeight="1">
      <c r="A55" s="5125" t="s">
        <v>2300</v>
      </c>
      <c r="B55" s="5125" t="s">
        <v>14</v>
      </c>
      <c r="C55" s="5125" t="s">
        <v>2501</v>
      </c>
      <c r="D55" s="5125" t="s">
        <v>2502</v>
      </c>
      <c r="E55" s="5125" t="s">
        <v>2503</v>
      </c>
      <c r="F55" s="5125" t="s">
        <v>2416</v>
      </c>
      <c r="G55" s="5125" t="s">
        <v>2504</v>
      </c>
      <c r="H55" s="5125" t="s">
        <v>24</v>
      </c>
      <c r="I55" s="5125" t="s">
        <v>836</v>
      </c>
    </row>
    <row r="56" spans="1:9" ht="11.25" customHeight="1">
      <c r="A56" s="5125" t="s">
        <v>2300</v>
      </c>
      <c r="B56" s="5125" t="s">
        <v>14</v>
      </c>
      <c r="C56" s="5125" t="s">
        <v>2505</v>
      </c>
      <c r="D56" s="5125" t="s">
        <v>2506</v>
      </c>
      <c r="E56" s="5125" t="s">
        <v>2507</v>
      </c>
      <c r="F56" s="5125" t="s">
        <v>2489</v>
      </c>
      <c r="G56" s="5125" t="s">
        <v>24</v>
      </c>
      <c r="H56" s="5125" t="s">
        <v>24</v>
      </c>
      <c r="I56" s="5125" t="s">
        <v>836</v>
      </c>
    </row>
    <row r="57" spans="1:9" ht="11.25" customHeight="1">
      <c r="A57" s="5125" t="s">
        <v>2300</v>
      </c>
      <c r="B57" s="5125" t="s">
        <v>14</v>
      </c>
      <c r="C57" s="5125" t="s">
        <v>2508</v>
      </c>
      <c r="D57" s="5125" t="s">
        <v>2509</v>
      </c>
      <c r="E57" s="5125" t="s">
        <v>2510</v>
      </c>
      <c r="F57" s="5125" t="s">
        <v>2511</v>
      </c>
      <c r="G57" s="5125" t="s">
        <v>2512</v>
      </c>
      <c r="H57" s="5125" t="s">
        <v>24</v>
      </c>
      <c r="I57" s="5125" t="s">
        <v>836</v>
      </c>
    </row>
    <row r="58" spans="1:9" ht="11.25" customHeight="1">
      <c r="A58" s="5125" t="s">
        <v>2300</v>
      </c>
      <c r="B58" s="5125" t="s">
        <v>14</v>
      </c>
      <c r="C58" s="5125" t="s">
        <v>2513</v>
      </c>
      <c r="D58" s="5125" t="s">
        <v>2514</v>
      </c>
      <c r="E58" s="5125" t="s">
        <v>2515</v>
      </c>
      <c r="F58" s="5125" t="s">
        <v>2516</v>
      </c>
      <c r="G58" s="5125" t="s">
        <v>24</v>
      </c>
      <c r="H58" s="5125" t="s">
        <v>24</v>
      </c>
      <c r="I58" s="5125" t="s">
        <v>836</v>
      </c>
    </row>
    <row r="59" spans="1:9" ht="11.25" customHeight="1">
      <c r="A59" s="5125" t="s">
        <v>2300</v>
      </c>
      <c r="B59" s="5125" t="s">
        <v>14</v>
      </c>
      <c r="C59" s="5125" t="s">
        <v>2517</v>
      </c>
      <c r="D59" s="5125" t="s">
        <v>2518</v>
      </c>
      <c r="E59" s="5125" t="s">
        <v>2519</v>
      </c>
      <c r="F59" s="5125" t="s">
        <v>2346</v>
      </c>
      <c r="G59" s="5125" t="s">
        <v>24</v>
      </c>
      <c r="H59" s="5125" t="s">
        <v>24</v>
      </c>
      <c r="I59" s="5125" t="s">
        <v>836</v>
      </c>
    </row>
    <row r="60" spans="1:9" ht="11.25" customHeight="1">
      <c r="A60" s="5125" t="s">
        <v>2300</v>
      </c>
      <c r="B60" s="5125" t="s">
        <v>14</v>
      </c>
      <c r="C60" s="5125" t="s">
        <v>2520</v>
      </c>
      <c r="D60" s="5125" t="s">
        <v>2521</v>
      </c>
      <c r="E60" s="5125" t="s">
        <v>2522</v>
      </c>
      <c r="F60" s="5125" t="s">
        <v>51</v>
      </c>
      <c r="G60" s="5125" t="s">
        <v>24</v>
      </c>
      <c r="H60" s="5125" t="s">
        <v>24</v>
      </c>
      <c r="I60" s="5125" t="s">
        <v>836</v>
      </c>
    </row>
    <row r="61" spans="1:9" ht="11.25" customHeight="1">
      <c r="A61" s="5125" t="s">
        <v>2300</v>
      </c>
      <c r="B61" s="5125" t="s">
        <v>14</v>
      </c>
      <c r="C61" s="5125" t="s">
        <v>2523</v>
      </c>
      <c r="D61" s="5125" t="s">
        <v>2524</v>
      </c>
      <c r="E61" s="5125" t="s">
        <v>2525</v>
      </c>
      <c r="F61" s="5125" t="s">
        <v>2526</v>
      </c>
      <c r="G61" s="5125" t="s">
        <v>2527</v>
      </c>
      <c r="H61" s="5125" t="s">
        <v>24</v>
      </c>
      <c r="I61" s="5125" t="s">
        <v>836</v>
      </c>
    </row>
    <row r="62" spans="1:9" ht="11.25" customHeight="1">
      <c r="A62" s="5125" t="s">
        <v>2300</v>
      </c>
      <c r="B62" s="5125" t="s">
        <v>14</v>
      </c>
      <c r="C62" s="5125" t="s">
        <v>2528</v>
      </c>
      <c r="D62" s="5125" t="s">
        <v>2529</v>
      </c>
      <c r="E62" s="5125" t="s">
        <v>2473</v>
      </c>
      <c r="F62" s="5125" t="s">
        <v>2530</v>
      </c>
      <c r="G62" s="5125" t="s">
        <v>24</v>
      </c>
      <c r="H62" s="5125" t="s">
        <v>24</v>
      </c>
      <c r="I62" s="5125" t="s">
        <v>836</v>
      </c>
    </row>
    <row r="63" spans="1:9" ht="11.25" customHeight="1">
      <c r="A63" s="5125" t="s">
        <v>2300</v>
      </c>
      <c r="B63" s="5125" t="s">
        <v>14</v>
      </c>
      <c r="C63" s="5125" t="s">
        <v>2531</v>
      </c>
      <c r="D63" s="5125" t="s">
        <v>46</v>
      </c>
      <c r="E63" s="5125" t="s">
        <v>49</v>
      </c>
      <c r="F63" s="5125" t="s">
        <v>51</v>
      </c>
      <c r="G63" s="5125" t="s">
        <v>24</v>
      </c>
      <c r="H63" s="5125" t="s">
        <v>24</v>
      </c>
      <c r="I63" s="5125" t="s">
        <v>836</v>
      </c>
    </row>
    <row r="64" spans="1:9" ht="11.25" customHeight="1">
      <c r="A64" s="5125" t="s">
        <v>2300</v>
      </c>
      <c r="B64" s="5125" t="s">
        <v>14</v>
      </c>
      <c r="C64" s="5125" t="s">
        <v>2532</v>
      </c>
      <c r="D64" s="5125" t="s">
        <v>2533</v>
      </c>
      <c r="E64" s="5125" t="s">
        <v>2525</v>
      </c>
      <c r="F64" s="5125" t="s">
        <v>2534</v>
      </c>
      <c r="G64" s="5125" t="s">
        <v>2535</v>
      </c>
      <c r="H64" s="5125" t="s">
        <v>24</v>
      </c>
      <c r="I64" s="5125" t="s">
        <v>836</v>
      </c>
    </row>
    <row r="65" spans="1:9" ht="11.25" customHeight="1">
      <c r="A65" s="5125" t="s">
        <v>2300</v>
      </c>
      <c r="B65" s="5125" t="s">
        <v>14</v>
      </c>
      <c r="C65" s="5125" t="s">
        <v>2536</v>
      </c>
      <c r="D65" s="5125" t="s">
        <v>2537</v>
      </c>
      <c r="E65" s="5125" t="s">
        <v>2538</v>
      </c>
      <c r="F65" s="5125" t="s">
        <v>2539</v>
      </c>
      <c r="G65" s="5125" t="s">
        <v>24</v>
      </c>
      <c r="H65" s="5125" t="s">
        <v>24</v>
      </c>
      <c r="I65" s="5125" t="s">
        <v>836</v>
      </c>
    </row>
    <row r="66" spans="1:9" ht="11.25" customHeight="1">
      <c r="A66" s="5125" t="s">
        <v>2300</v>
      </c>
      <c r="B66" s="5125" t="s">
        <v>14</v>
      </c>
      <c r="C66" s="5125" t="s">
        <v>2540</v>
      </c>
      <c r="D66" s="5125" t="s">
        <v>2541</v>
      </c>
      <c r="E66" s="5125" t="s">
        <v>2542</v>
      </c>
      <c r="F66" s="5125" t="s">
        <v>2543</v>
      </c>
      <c r="G66" s="5125" t="s">
        <v>2544</v>
      </c>
      <c r="H66" s="5125" t="s">
        <v>24</v>
      </c>
      <c r="I66" s="5125" t="s">
        <v>836</v>
      </c>
    </row>
    <row r="67" spans="1:9" ht="11.25" customHeight="1">
      <c r="A67" s="5125" t="s">
        <v>2300</v>
      </c>
      <c r="B67" s="5125" t="s">
        <v>14</v>
      </c>
      <c r="C67" s="5125" t="s">
        <v>2545</v>
      </c>
      <c r="D67" s="5125" t="s">
        <v>2546</v>
      </c>
      <c r="E67" s="5125" t="s">
        <v>2547</v>
      </c>
      <c r="F67" s="5125" t="s">
        <v>2312</v>
      </c>
      <c r="G67" s="5125" t="s">
        <v>24</v>
      </c>
      <c r="H67" s="5125" t="s">
        <v>24</v>
      </c>
      <c r="I67" s="5125" t="s">
        <v>836</v>
      </c>
    </row>
    <row r="68" spans="1:9" ht="11.25" customHeight="1">
      <c r="A68" s="5125" t="s">
        <v>2300</v>
      </c>
      <c r="B68" s="5125" t="s">
        <v>14</v>
      </c>
      <c r="C68" s="5125" t="s">
        <v>2548</v>
      </c>
      <c r="D68" s="5125" t="s">
        <v>2549</v>
      </c>
      <c r="E68" s="5125" t="s">
        <v>2550</v>
      </c>
      <c r="F68" s="5125" t="s">
        <v>2479</v>
      </c>
      <c r="G68" s="5125" t="s">
        <v>24</v>
      </c>
      <c r="H68" s="5125" t="s">
        <v>24</v>
      </c>
      <c r="I68" s="5125" t="s">
        <v>836</v>
      </c>
    </row>
    <row r="69" spans="1:9" ht="11.25" customHeight="1">
      <c r="A69" s="5125" t="s">
        <v>2300</v>
      </c>
      <c r="B69" s="5125" t="s">
        <v>14</v>
      </c>
      <c r="C69" s="5125" t="s">
        <v>2301</v>
      </c>
      <c r="D69" s="5125" t="s">
        <v>2302</v>
      </c>
      <c r="E69" s="5125" t="s">
        <v>2303</v>
      </c>
      <c r="F69" s="5125" t="s">
        <v>2304</v>
      </c>
      <c r="G69" s="5125" t="s">
        <v>2305</v>
      </c>
      <c r="H69" s="5125" t="s">
        <v>24</v>
      </c>
      <c r="I69" s="5125" t="s">
        <v>920</v>
      </c>
    </row>
    <row r="70" spans="1:9" ht="11.25" customHeight="1">
      <c r="A70" s="5125" t="s">
        <v>2300</v>
      </c>
      <c r="B70" s="5125" t="s">
        <v>14</v>
      </c>
      <c r="C70" s="5125" t="s">
        <v>2306</v>
      </c>
      <c r="D70" s="5125" t="s">
        <v>2302</v>
      </c>
      <c r="E70" s="5125" t="s">
        <v>2303</v>
      </c>
      <c r="F70" s="5125" t="s">
        <v>2307</v>
      </c>
      <c r="G70" s="5125" t="s">
        <v>2308</v>
      </c>
      <c r="H70" s="5125" t="s">
        <v>24</v>
      </c>
      <c r="I70" s="5125" t="s">
        <v>920</v>
      </c>
    </row>
    <row r="71" spans="1:9" ht="11.25" customHeight="1">
      <c r="A71" s="5125" t="s">
        <v>2300</v>
      </c>
      <c r="B71" s="5125" t="s">
        <v>14</v>
      </c>
      <c r="C71" s="5125" t="s">
        <v>2317</v>
      </c>
      <c r="D71" s="5125" t="s">
        <v>2318</v>
      </c>
      <c r="E71" s="5125" t="s">
        <v>2319</v>
      </c>
      <c r="F71" s="5125" t="s">
        <v>2320</v>
      </c>
      <c r="G71" s="5125" t="s">
        <v>24</v>
      </c>
      <c r="H71" s="5125" t="s">
        <v>24</v>
      </c>
      <c r="I71" s="5125" t="s">
        <v>920</v>
      </c>
    </row>
    <row r="72" spans="1:9" ht="11.25" customHeight="1">
      <c r="A72" s="5125" t="s">
        <v>2300</v>
      </c>
      <c r="B72" s="5125" t="s">
        <v>14</v>
      </c>
      <c r="C72" s="5125" t="s">
        <v>2321</v>
      </c>
      <c r="D72" s="5125" t="s">
        <v>2322</v>
      </c>
      <c r="E72" s="5125" t="s">
        <v>2323</v>
      </c>
      <c r="F72" s="5125" t="s">
        <v>2320</v>
      </c>
      <c r="G72" s="5125" t="s">
        <v>2324</v>
      </c>
      <c r="H72" s="5125" t="s">
        <v>24</v>
      </c>
      <c r="I72" s="5125" t="s">
        <v>920</v>
      </c>
    </row>
    <row r="73" spans="1:9" ht="11.25" customHeight="1">
      <c r="A73" s="5125" t="s">
        <v>2300</v>
      </c>
      <c r="B73" s="5125" t="s">
        <v>14</v>
      </c>
      <c r="C73" s="5125" t="s">
        <v>2325</v>
      </c>
      <c r="D73" s="5125" t="s">
        <v>2326</v>
      </c>
      <c r="E73" s="5125" t="s">
        <v>2327</v>
      </c>
      <c r="F73" s="5125" t="s">
        <v>2328</v>
      </c>
      <c r="G73" s="5125" t="s">
        <v>24</v>
      </c>
      <c r="H73" s="5125" t="s">
        <v>24</v>
      </c>
      <c r="I73" s="5125" t="s">
        <v>920</v>
      </c>
    </row>
    <row r="74" spans="1:9" ht="11.25" customHeight="1">
      <c r="A74" s="5125" t="s">
        <v>2300</v>
      </c>
      <c r="B74" s="5125" t="s">
        <v>14</v>
      </c>
      <c r="C74" s="5125" t="s">
        <v>2329</v>
      </c>
      <c r="D74" s="5125" t="s">
        <v>2330</v>
      </c>
      <c r="E74" s="5125" t="s">
        <v>2331</v>
      </c>
      <c r="F74" s="5125" t="s">
        <v>51</v>
      </c>
      <c r="G74" s="5125" t="s">
        <v>24</v>
      </c>
      <c r="H74" s="5125" t="s">
        <v>24</v>
      </c>
      <c r="I74" s="5125" t="s">
        <v>920</v>
      </c>
    </row>
    <row r="75" spans="1:9" ht="11.25" customHeight="1">
      <c r="A75" s="5125" t="s">
        <v>2300</v>
      </c>
      <c r="B75" s="5125" t="s">
        <v>14</v>
      </c>
      <c r="C75" s="5125" t="s">
        <v>2336</v>
      </c>
      <c r="D75" s="5125" t="s">
        <v>2337</v>
      </c>
      <c r="E75" s="5125" t="s">
        <v>2338</v>
      </c>
      <c r="F75" s="5125" t="s">
        <v>51</v>
      </c>
      <c r="G75" s="5125" t="s">
        <v>24</v>
      </c>
      <c r="H75" s="5125" t="s">
        <v>24</v>
      </c>
      <c r="I75" s="5125" t="s">
        <v>920</v>
      </c>
    </row>
    <row r="76" spans="1:9" ht="11.25" customHeight="1">
      <c r="A76" s="5125" t="s">
        <v>2300</v>
      </c>
      <c r="B76" s="5125" t="s">
        <v>14</v>
      </c>
      <c r="C76" s="5125" t="s">
        <v>2343</v>
      </c>
      <c r="D76" s="5125" t="s">
        <v>2344</v>
      </c>
      <c r="E76" s="5125" t="s">
        <v>2345</v>
      </c>
      <c r="F76" s="5125" t="s">
        <v>2346</v>
      </c>
      <c r="G76" s="5125" t="s">
        <v>2347</v>
      </c>
      <c r="H76" s="5125" t="s">
        <v>24</v>
      </c>
      <c r="I76" s="5125" t="s">
        <v>920</v>
      </c>
    </row>
    <row r="77" spans="1:9" ht="11.25" customHeight="1">
      <c r="A77" s="5125" t="s">
        <v>2300</v>
      </c>
      <c r="B77" s="5125" t="s">
        <v>14</v>
      </c>
      <c r="C77" s="5125" t="s">
        <v>2348</v>
      </c>
      <c r="D77" s="5125" t="s">
        <v>2349</v>
      </c>
      <c r="E77" s="5125" t="s">
        <v>2350</v>
      </c>
      <c r="F77" s="5125" t="s">
        <v>2351</v>
      </c>
      <c r="G77" s="5125" t="s">
        <v>24</v>
      </c>
      <c r="H77" s="5125" t="s">
        <v>24</v>
      </c>
      <c r="I77" s="5125" t="s">
        <v>920</v>
      </c>
    </row>
    <row r="78" spans="1:9" ht="11.25" customHeight="1">
      <c r="A78" s="5125" t="s">
        <v>2300</v>
      </c>
      <c r="B78" s="5125" t="s">
        <v>14</v>
      </c>
      <c r="C78" s="5125" t="s">
        <v>2361</v>
      </c>
      <c r="D78" s="5125" t="s">
        <v>2362</v>
      </c>
      <c r="E78" s="5125" t="s">
        <v>2363</v>
      </c>
      <c r="F78" s="5125" t="s">
        <v>51</v>
      </c>
      <c r="G78" s="5125" t="s">
        <v>2364</v>
      </c>
      <c r="H78" s="5125" t="s">
        <v>24</v>
      </c>
      <c r="I78" s="5125" t="s">
        <v>920</v>
      </c>
    </row>
    <row r="79" spans="1:9" ht="11.25" customHeight="1">
      <c r="A79" s="5125" t="s">
        <v>2300</v>
      </c>
      <c r="B79" s="5125" t="s">
        <v>14</v>
      </c>
      <c r="C79" s="5125" t="s">
        <v>2372</v>
      </c>
      <c r="D79" s="5125" t="s">
        <v>2373</v>
      </c>
      <c r="E79" s="5125" t="s">
        <v>2374</v>
      </c>
      <c r="F79" s="5125" t="s">
        <v>51</v>
      </c>
      <c r="G79" s="5125" t="s">
        <v>2375</v>
      </c>
      <c r="H79" s="5125" t="s">
        <v>24</v>
      </c>
      <c r="I79" s="5125" t="s">
        <v>920</v>
      </c>
    </row>
    <row r="80" spans="1:9" ht="11.25" customHeight="1">
      <c r="A80" s="5125" t="s">
        <v>2300</v>
      </c>
      <c r="B80" s="5125" t="s">
        <v>14</v>
      </c>
      <c r="C80" s="5125" t="s">
        <v>2376</v>
      </c>
      <c r="D80" s="5125" t="s">
        <v>2377</v>
      </c>
      <c r="E80" s="5125" t="s">
        <v>2378</v>
      </c>
      <c r="F80" s="5125" t="s">
        <v>2379</v>
      </c>
      <c r="G80" s="5125" t="s">
        <v>24</v>
      </c>
      <c r="H80" s="5125" t="s">
        <v>24</v>
      </c>
      <c r="I80" s="5125" t="s">
        <v>920</v>
      </c>
    </row>
    <row r="81" spans="1:9" ht="11.25" customHeight="1">
      <c r="A81" s="5125" t="s">
        <v>2300</v>
      </c>
      <c r="B81" s="5125" t="s">
        <v>14</v>
      </c>
      <c r="C81" s="5125" t="s">
        <v>24</v>
      </c>
      <c r="D81" s="5125" t="s">
        <v>2380</v>
      </c>
      <c r="E81" s="5125" t="s">
        <v>2381</v>
      </c>
      <c r="F81" s="5125" t="s">
        <v>51</v>
      </c>
      <c r="G81" s="5125" t="s">
        <v>24</v>
      </c>
      <c r="H81" s="5125" t="s">
        <v>24</v>
      </c>
      <c r="I81" s="5125" t="s">
        <v>920</v>
      </c>
    </row>
    <row r="82" spans="1:9" ht="11.25" customHeight="1">
      <c r="A82" s="5125" t="s">
        <v>2300</v>
      </c>
      <c r="B82" s="5125" t="s">
        <v>14</v>
      </c>
      <c r="C82" s="5125" t="s">
        <v>2382</v>
      </c>
      <c r="D82" s="5125" t="s">
        <v>2383</v>
      </c>
      <c r="E82" s="5125" t="s">
        <v>2384</v>
      </c>
      <c r="F82" s="5125" t="s">
        <v>2385</v>
      </c>
      <c r="G82" s="5125" t="s">
        <v>24</v>
      </c>
      <c r="H82" s="5125" t="s">
        <v>24</v>
      </c>
      <c r="I82" s="5125" t="s">
        <v>920</v>
      </c>
    </row>
    <row r="83" spans="1:9" ht="11.25" customHeight="1">
      <c r="A83" s="5125" t="s">
        <v>2300</v>
      </c>
      <c r="B83" s="5125" t="s">
        <v>14</v>
      </c>
      <c r="C83" s="5125" t="s">
        <v>2402</v>
      </c>
      <c r="D83" s="5125" t="s">
        <v>2403</v>
      </c>
      <c r="E83" s="5125" t="s">
        <v>2404</v>
      </c>
      <c r="F83" s="5125" t="s">
        <v>2405</v>
      </c>
      <c r="G83" s="5125" t="s">
        <v>24</v>
      </c>
      <c r="H83" s="5125" t="s">
        <v>24</v>
      </c>
      <c r="I83" s="5125" t="s">
        <v>920</v>
      </c>
    </row>
    <row r="84" spans="1:9" ht="11.25" customHeight="1">
      <c r="A84" s="5125" t="s">
        <v>2300</v>
      </c>
      <c r="B84" s="5125" t="s">
        <v>14</v>
      </c>
      <c r="C84" s="5125" t="s">
        <v>2409</v>
      </c>
      <c r="D84" s="5125" t="s">
        <v>2410</v>
      </c>
      <c r="E84" s="5125" t="s">
        <v>2411</v>
      </c>
      <c r="F84" s="5125" t="s">
        <v>2412</v>
      </c>
      <c r="G84" s="5125" t="s">
        <v>24</v>
      </c>
      <c r="H84" s="5125" t="s">
        <v>24</v>
      </c>
      <c r="I84" s="5125" t="s">
        <v>920</v>
      </c>
    </row>
    <row r="85" spans="1:9" ht="11.25" customHeight="1">
      <c r="A85" s="5125" t="s">
        <v>2300</v>
      </c>
      <c r="B85" s="5125" t="s">
        <v>14</v>
      </c>
      <c r="C85" s="5125" t="s">
        <v>2413</v>
      </c>
      <c r="D85" s="5125" t="s">
        <v>2414</v>
      </c>
      <c r="E85" s="5125" t="s">
        <v>2415</v>
      </c>
      <c r="F85" s="5125" t="s">
        <v>2416</v>
      </c>
      <c r="G85" s="5125" t="s">
        <v>24</v>
      </c>
      <c r="H85" s="5125" t="s">
        <v>24</v>
      </c>
      <c r="I85" s="5125" t="s">
        <v>920</v>
      </c>
    </row>
    <row r="86" spans="1:9" ht="11.25" customHeight="1">
      <c r="A86" s="5125" t="s">
        <v>2300</v>
      </c>
      <c r="B86" s="5125" t="s">
        <v>14</v>
      </c>
      <c r="C86" s="5125" t="s">
        <v>2417</v>
      </c>
      <c r="D86" s="5125" t="s">
        <v>2418</v>
      </c>
      <c r="E86" s="5125" t="s">
        <v>2419</v>
      </c>
      <c r="F86" s="5125" t="s">
        <v>2312</v>
      </c>
      <c r="G86" s="5125" t="s">
        <v>24</v>
      </c>
      <c r="H86" s="5125" t="s">
        <v>24</v>
      </c>
      <c r="I86" s="5125" t="s">
        <v>920</v>
      </c>
    </row>
    <row r="87" spans="1:9" ht="11.25" customHeight="1">
      <c r="A87" s="5125" t="s">
        <v>2300</v>
      </c>
      <c r="B87" s="5125" t="s">
        <v>14</v>
      </c>
      <c r="C87" s="5125" t="s">
        <v>2420</v>
      </c>
      <c r="D87" s="5125" t="s">
        <v>2421</v>
      </c>
      <c r="E87" s="5125" t="s">
        <v>2422</v>
      </c>
      <c r="F87" s="5125" t="s">
        <v>2355</v>
      </c>
      <c r="G87" s="5125" t="s">
        <v>24</v>
      </c>
      <c r="H87" s="5125" t="s">
        <v>2423</v>
      </c>
      <c r="I87" s="5125" t="s">
        <v>920</v>
      </c>
    </row>
    <row r="88" spans="1:9" ht="11.25" customHeight="1">
      <c r="A88" s="5125" t="s">
        <v>2300</v>
      </c>
      <c r="B88" s="5125" t="s">
        <v>14</v>
      </c>
      <c r="C88" s="5125" t="s">
        <v>2424</v>
      </c>
      <c r="D88" s="5125" t="s">
        <v>2425</v>
      </c>
      <c r="E88" s="5125" t="s">
        <v>2426</v>
      </c>
      <c r="F88" s="5125" t="s">
        <v>2312</v>
      </c>
      <c r="G88" s="5125" t="s">
        <v>24</v>
      </c>
      <c r="H88" s="5125" t="s">
        <v>2427</v>
      </c>
      <c r="I88" s="5125" t="s">
        <v>920</v>
      </c>
    </row>
    <row r="89" spans="1:9" ht="11.25" customHeight="1">
      <c r="A89" s="5125" t="s">
        <v>2300</v>
      </c>
      <c r="B89" s="5125" t="s">
        <v>14</v>
      </c>
      <c r="C89" s="5125" t="s">
        <v>2428</v>
      </c>
      <c r="D89" s="5125" t="s">
        <v>2429</v>
      </c>
      <c r="E89" s="5125" t="s">
        <v>2430</v>
      </c>
      <c r="F89" s="5125" t="s">
        <v>51</v>
      </c>
      <c r="G89" s="5125" t="s">
        <v>24</v>
      </c>
      <c r="H89" s="5125" t="s">
        <v>24</v>
      </c>
      <c r="I89" s="5125" t="s">
        <v>920</v>
      </c>
    </row>
    <row r="90" spans="1:9" ht="11.25" customHeight="1">
      <c r="A90" s="5125" t="s">
        <v>2300</v>
      </c>
      <c r="B90" s="5125" t="s">
        <v>14</v>
      </c>
      <c r="C90" s="5125" t="s">
        <v>2442</v>
      </c>
      <c r="D90" s="5125" t="s">
        <v>2443</v>
      </c>
      <c r="E90" s="5125" t="s">
        <v>2444</v>
      </c>
      <c r="F90" s="5125" t="s">
        <v>2385</v>
      </c>
      <c r="G90" s="5125" t="s">
        <v>24</v>
      </c>
      <c r="H90" s="5125" t="s">
        <v>24</v>
      </c>
      <c r="I90" s="5125" t="s">
        <v>920</v>
      </c>
    </row>
    <row r="91" spans="1:9" ht="11.25" customHeight="1">
      <c r="A91" s="5125" t="s">
        <v>2300</v>
      </c>
      <c r="B91" s="5125" t="s">
        <v>14</v>
      </c>
      <c r="C91" s="5125" t="s">
        <v>2445</v>
      </c>
      <c r="D91" s="5125" t="s">
        <v>2446</v>
      </c>
      <c r="E91" s="5125" t="s">
        <v>2447</v>
      </c>
      <c r="F91" s="5125" t="s">
        <v>2312</v>
      </c>
      <c r="G91" s="5125" t="s">
        <v>24</v>
      </c>
      <c r="H91" s="5125" t="s">
        <v>24</v>
      </c>
      <c r="I91" s="5125" t="s">
        <v>920</v>
      </c>
    </row>
    <row r="92" spans="1:9" ht="11.25" customHeight="1">
      <c r="A92" s="5125" t="s">
        <v>2300</v>
      </c>
      <c r="B92" s="5125" t="s">
        <v>14</v>
      </c>
      <c r="C92" s="5125" t="s">
        <v>2448</v>
      </c>
      <c r="D92" s="5125" t="s">
        <v>2449</v>
      </c>
      <c r="E92" s="5125" t="s">
        <v>2450</v>
      </c>
      <c r="F92" s="5125" t="s">
        <v>2355</v>
      </c>
      <c r="G92" s="5125" t="s">
        <v>24</v>
      </c>
      <c r="H92" s="5125" t="s">
        <v>24</v>
      </c>
      <c r="I92" s="5125" t="s">
        <v>920</v>
      </c>
    </row>
    <row r="93" spans="1:9" ht="11.25" customHeight="1">
      <c r="A93" s="5125" t="s">
        <v>2300</v>
      </c>
      <c r="B93" s="5125" t="s">
        <v>14</v>
      </c>
      <c r="C93" s="5125" t="s">
        <v>2451</v>
      </c>
      <c r="D93" s="5125" t="s">
        <v>2452</v>
      </c>
      <c r="E93" s="5125" t="s">
        <v>2453</v>
      </c>
      <c r="F93" s="5125" t="s">
        <v>2454</v>
      </c>
      <c r="G93" s="5125" t="s">
        <v>24</v>
      </c>
      <c r="H93" s="5125" t="s">
        <v>24</v>
      </c>
      <c r="I93" s="5125" t="s">
        <v>920</v>
      </c>
    </row>
    <row r="94" spans="1:9" ht="11.25" customHeight="1">
      <c r="A94" s="5125" t="s">
        <v>2300</v>
      </c>
      <c r="B94" s="5125" t="s">
        <v>14</v>
      </c>
      <c r="C94" s="5125" t="s">
        <v>2463</v>
      </c>
      <c r="D94" s="5125" t="s">
        <v>2464</v>
      </c>
      <c r="E94" s="5125" t="s">
        <v>2465</v>
      </c>
      <c r="F94" s="5125" t="s">
        <v>2312</v>
      </c>
      <c r="G94" s="5125" t="s">
        <v>24</v>
      </c>
      <c r="H94" s="5125" t="s">
        <v>24</v>
      </c>
      <c r="I94" s="5125" t="s">
        <v>920</v>
      </c>
    </row>
    <row r="95" spans="1:9" ht="11.25" customHeight="1">
      <c r="A95" s="5125" t="s">
        <v>2300</v>
      </c>
      <c r="B95" s="5125" t="s">
        <v>14</v>
      </c>
      <c r="C95" s="5125" t="s">
        <v>2466</v>
      </c>
      <c r="D95" s="5125" t="s">
        <v>2467</v>
      </c>
      <c r="E95" s="5125" t="s">
        <v>2468</v>
      </c>
      <c r="F95" s="5125" t="s">
        <v>2469</v>
      </c>
      <c r="G95" s="5125" t="s">
        <v>2470</v>
      </c>
      <c r="H95" s="5125" t="s">
        <v>24</v>
      </c>
      <c r="I95" s="5125" t="s">
        <v>920</v>
      </c>
    </row>
    <row r="96" spans="1:9" ht="11.25" customHeight="1">
      <c r="A96" s="5125" t="s">
        <v>2300</v>
      </c>
      <c r="B96" s="5125" t="s">
        <v>14</v>
      </c>
      <c r="C96" s="5125" t="s">
        <v>2476</v>
      </c>
      <c r="D96" s="5125" t="s">
        <v>2477</v>
      </c>
      <c r="E96" s="5125" t="s">
        <v>2478</v>
      </c>
      <c r="F96" s="5125" t="s">
        <v>2479</v>
      </c>
      <c r="G96" s="5125" t="s">
        <v>24</v>
      </c>
      <c r="H96" s="5125" t="s">
        <v>24</v>
      </c>
      <c r="I96" s="5125" t="s">
        <v>920</v>
      </c>
    </row>
    <row r="97" spans="1:9" ht="11.25" customHeight="1">
      <c r="A97" s="5125" t="s">
        <v>2300</v>
      </c>
      <c r="B97" s="5125" t="s">
        <v>14</v>
      </c>
      <c r="C97" s="5125" t="s">
        <v>2480</v>
      </c>
      <c r="D97" s="5125" t="s">
        <v>2481</v>
      </c>
      <c r="E97" s="5125" t="s">
        <v>2482</v>
      </c>
      <c r="F97" s="5125" t="s">
        <v>2312</v>
      </c>
      <c r="G97" s="5125" t="s">
        <v>24</v>
      </c>
      <c r="H97" s="5125" t="s">
        <v>24</v>
      </c>
      <c r="I97" s="5125" t="s">
        <v>920</v>
      </c>
    </row>
    <row r="98" spans="1:9" ht="11.25" customHeight="1">
      <c r="A98" s="5125" t="s">
        <v>2300</v>
      </c>
      <c r="B98" s="5125" t="s">
        <v>14</v>
      </c>
      <c r="C98" s="5125" t="s">
        <v>2483</v>
      </c>
      <c r="D98" s="5125" t="s">
        <v>2484</v>
      </c>
      <c r="E98" s="5125" t="s">
        <v>2485</v>
      </c>
      <c r="F98" s="5125" t="s">
        <v>2312</v>
      </c>
      <c r="G98" s="5125" t="s">
        <v>24</v>
      </c>
      <c r="H98" s="5125" t="s">
        <v>24</v>
      </c>
      <c r="I98" s="5125" t="s">
        <v>920</v>
      </c>
    </row>
    <row r="99" spans="1:9" ht="11.25" customHeight="1">
      <c r="A99" s="5125" t="s">
        <v>2300</v>
      </c>
      <c r="B99" s="5125" t="s">
        <v>14</v>
      </c>
      <c r="C99" s="5125" t="s">
        <v>2486</v>
      </c>
      <c r="D99" s="5125" t="s">
        <v>2487</v>
      </c>
      <c r="E99" s="5125" t="s">
        <v>2488</v>
      </c>
      <c r="F99" s="5125" t="s">
        <v>2489</v>
      </c>
      <c r="G99" s="5125" t="s">
        <v>2490</v>
      </c>
      <c r="H99" s="5125" t="s">
        <v>24</v>
      </c>
      <c r="I99" s="5125" t="s">
        <v>920</v>
      </c>
    </row>
    <row r="100" spans="1:9" ht="11.25" customHeight="1">
      <c r="A100" s="5125" t="s">
        <v>2300</v>
      </c>
      <c r="B100" s="5125" t="s">
        <v>14</v>
      </c>
      <c r="C100" s="5125" t="s">
        <v>2491</v>
      </c>
      <c r="D100" s="5125" t="s">
        <v>2492</v>
      </c>
      <c r="E100" s="5125" t="s">
        <v>2493</v>
      </c>
      <c r="F100" s="5125" t="s">
        <v>2400</v>
      </c>
      <c r="G100" s="5125" t="s">
        <v>24</v>
      </c>
      <c r="H100" s="5125" t="s">
        <v>24</v>
      </c>
      <c r="I100" s="5125" t="s">
        <v>920</v>
      </c>
    </row>
    <row r="101" spans="1:9" ht="11.25" customHeight="1">
      <c r="A101" s="5125" t="s">
        <v>2300</v>
      </c>
      <c r="B101" s="5125" t="s">
        <v>14</v>
      </c>
      <c r="C101" s="5125" t="s">
        <v>2501</v>
      </c>
      <c r="D101" s="5125" t="s">
        <v>2502</v>
      </c>
      <c r="E101" s="5125" t="s">
        <v>2503</v>
      </c>
      <c r="F101" s="5125" t="s">
        <v>2416</v>
      </c>
      <c r="G101" s="5125" t="s">
        <v>2504</v>
      </c>
      <c r="H101" s="5125" t="s">
        <v>24</v>
      </c>
      <c r="I101" s="5125" t="s">
        <v>920</v>
      </c>
    </row>
    <row r="102" spans="1:9" ht="11.25" customHeight="1">
      <c r="A102" s="5125" t="s">
        <v>2300</v>
      </c>
      <c r="B102" s="5125" t="s">
        <v>14</v>
      </c>
      <c r="C102" s="5125" t="s">
        <v>2505</v>
      </c>
      <c r="D102" s="5125" t="s">
        <v>2506</v>
      </c>
      <c r="E102" s="5125" t="s">
        <v>2507</v>
      </c>
      <c r="F102" s="5125" t="s">
        <v>2489</v>
      </c>
      <c r="G102" s="5125" t="s">
        <v>24</v>
      </c>
      <c r="H102" s="5125" t="s">
        <v>24</v>
      </c>
      <c r="I102" s="5125" t="s">
        <v>920</v>
      </c>
    </row>
    <row r="103" spans="1:9" ht="11.25" customHeight="1">
      <c r="A103" s="5125" t="s">
        <v>2300</v>
      </c>
      <c r="B103" s="5125" t="s">
        <v>14</v>
      </c>
      <c r="C103" s="5125" t="s">
        <v>2513</v>
      </c>
      <c r="D103" s="5125" t="s">
        <v>2514</v>
      </c>
      <c r="E103" s="5125" t="s">
        <v>2515</v>
      </c>
      <c r="F103" s="5125" t="s">
        <v>2516</v>
      </c>
      <c r="G103" s="5125" t="s">
        <v>24</v>
      </c>
      <c r="H103" s="5125" t="s">
        <v>24</v>
      </c>
      <c r="I103" s="5125" t="s">
        <v>920</v>
      </c>
    </row>
    <row r="104" spans="1:9" ht="11.25" customHeight="1">
      <c r="A104" s="5125" t="s">
        <v>2300</v>
      </c>
      <c r="B104" s="5125" t="s">
        <v>14</v>
      </c>
      <c r="C104" s="5125" t="s">
        <v>2517</v>
      </c>
      <c r="D104" s="5125" t="s">
        <v>2518</v>
      </c>
      <c r="E104" s="5125" t="s">
        <v>2519</v>
      </c>
      <c r="F104" s="5125" t="s">
        <v>2346</v>
      </c>
      <c r="G104" s="5125" t="s">
        <v>24</v>
      </c>
      <c r="H104" s="5125" t="s">
        <v>24</v>
      </c>
      <c r="I104" s="5125" t="s">
        <v>920</v>
      </c>
    </row>
    <row r="105" spans="1:9" ht="11.25" customHeight="1">
      <c r="A105" s="5125" t="s">
        <v>2300</v>
      </c>
      <c r="B105" s="5125" t="s">
        <v>14</v>
      </c>
      <c r="C105" s="5125" t="s">
        <v>2520</v>
      </c>
      <c r="D105" s="5125" t="s">
        <v>2521</v>
      </c>
      <c r="E105" s="5125" t="s">
        <v>2522</v>
      </c>
      <c r="F105" s="5125" t="s">
        <v>51</v>
      </c>
      <c r="G105" s="5125" t="s">
        <v>24</v>
      </c>
      <c r="H105" s="5125" t="s">
        <v>24</v>
      </c>
      <c r="I105" s="5125" t="s">
        <v>920</v>
      </c>
    </row>
    <row r="106" spans="1:9" ht="11.25" customHeight="1">
      <c r="A106" s="5125" t="s">
        <v>2300</v>
      </c>
      <c r="B106" s="5125" t="s">
        <v>14</v>
      </c>
      <c r="C106" s="5125" t="s">
        <v>2523</v>
      </c>
      <c r="D106" s="5125" t="s">
        <v>2524</v>
      </c>
      <c r="E106" s="5125" t="s">
        <v>2525</v>
      </c>
      <c r="F106" s="5125" t="s">
        <v>2526</v>
      </c>
      <c r="G106" s="5125" t="s">
        <v>2527</v>
      </c>
      <c r="H106" s="5125" t="s">
        <v>24</v>
      </c>
      <c r="I106" s="5125" t="s">
        <v>920</v>
      </c>
    </row>
    <row r="107" spans="1:9" ht="11.25" customHeight="1">
      <c r="A107" s="5125" t="s">
        <v>2300</v>
      </c>
      <c r="B107" s="5125" t="s">
        <v>14</v>
      </c>
      <c r="C107" s="5125" t="s">
        <v>2531</v>
      </c>
      <c r="D107" s="5125" t="s">
        <v>46</v>
      </c>
      <c r="E107" s="5125" t="s">
        <v>49</v>
      </c>
      <c r="F107" s="5125" t="s">
        <v>51</v>
      </c>
      <c r="G107" s="5125" t="s">
        <v>24</v>
      </c>
      <c r="H107" s="5125" t="s">
        <v>24</v>
      </c>
      <c r="I107" s="5125" t="s">
        <v>920</v>
      </c>
    </row>
    <row r="108" spans="1:9" ht="11.25" customHeight="1">
      <c r="A108" s="5125" t="s">
        <v>2300</v>
      </c>
      <c r="B108" s="5125" t="s">
        <v>14</v>
      </c>
      <c r="C108" s="5125" t="s">
        <v>2532</v>
      </c>
      <c r="D108" s="5125" t="s">
        <v>2533</v>
      </c>
      <c r="E108" s="5125" t="s">
        <v>2525</v>
      </c>
      <c r="F108" s="5125" t="s">
        <v>2534</v>
      </c>
      <c r="G108" s="5125" t="s">
        <v>2535</v>
      </c>
      <c r="H108" s="5125" t="s">
        <v>24</v>
      </c>
      <c r="I108" s="5125" t="s">
        <v>920</v>
      </c>
    </row>
    <row r="109" spans="1:9" ht="11.25" customHeight="1">
      <c r="A109" s="5125" t="s">
        <v>2300</v>
      </c>
      <c r="B109" s="5125" t="s">
        <v>14</v>
      </c>
      <c r="C109" s="5125" t="s">
        <v>2536</v>
      </c>
      <c r="D109" s="5125" t="s">
        <v>2537</v>
      </c>
      <c r="E109" s="5125" t="s">
        <v>2538</v>
      </c>
      <c r="F109" s="5125" t="s">
        <v>2539</v>
      </c>
      <c r="G109" s="5125" t="s">
        <v>24</v>
      </c>
      <c r="H109" s="5125" t="s">
        <v>24</v>
      </c>
      <c r="I109" s="5125" t="s">
        <v>920</v>
      </c>
    </row>
    <row r="110" spans="1:9" ht="11.25" customHeight="1">
      <c r="A110" s="5125" t="s">
        <v>2300</v>
      </c>
      <c r="B110" s="5125" t="s">
        <v>14</v>
      </c>
      <c r="C110" s="5125" t="s">
        <v>2301</v>
      </c>
      <c r="D110" s="5125" t="s">
        <v>2302</v>
      </c>
      <c r="E110" s="5125" t="s">
        <v>2303</v>
      </c>
      <c r="F110" s="5125" t="s">
        <v>2304</v>
      </c>
      <c r="G110" s="5125" t="s">
        <v>2305</v>
      </c>
      <c r="H110" s="5125" t="s">
        <v>24</v>
      </c>
      <c r="I110" s="5125" t="s">
        <v>882</v>
      </c>
    </row>
    <row r="111" spans="1:9" ht="11.25" customHeight="1">
      <c r="A111" s="5125" t="s">
        <v>2300</v>
      </c>
      <c r="B111" s="5125" t="s">
        <v>14</v>
      </c>
      <c r="C111" s="5125" t="s">
        <v>2306</v>
      </c>
      <c r="D111" s="5125" t="s">
        <v>2302</v>
      </c>
      <c r="E111" s="5125" t="s">
        <v>2303</v>
      </c>
      <c r="F111" s="5125" t="s">
        <v>2307</v>
      </c>
      <c r="G111" s="5125" t="s">
        <v>2308</v>
      </c>
      <c r="H111" s="5125" t="s">
        <v>24</v>
      </c>
      <c r="I111" s="5125" t="s">
        <v>882</v>
      </c>
    </row>
    <row r="112" spans="1:9" ht="11.25" customHeight="1">
      <c r="A112" s="5125" t="s">
        <v>2300</v>
      </c>
      <c r="B112" s="5125" t="s">
        <v>14</v>
      </c>
      <c r="C112" s="5125" t="s">
        <v>2551</v>
      </c>
      <c r="D112" s="5125" t="s">
        <v>2552</v>
      </c>
      <c r="E112" s="5125" t="s">
        <v>2553</v>
      </c>
      <c r="F112" s="5125" t="s">
        <v>2368</v>
      </c>
      <c r="G112" s="5125" t="s">
        <v>2554</v>
      </c>
      <c r="H112" s="5125" t="s">
        <v>24</v>
      </c>
      <c r="I112" s="5125" t="s">
        <v>882</v>
      </c>
    </row>
    <row r="113" spans="1:9" ht="11.25" customHeight="1">
      <c r="A113" s="5125" t="s">
        <v>2300</v>
      </c>
      <c r="B113" s="5125" t="s">
        <v>14</v>
      </c>
      <c r="C113" s="5125" t="s">
        <v>2309</v>
      </c>
      <c r="D113" s="5125" t="s">
        <v>2310</v>
      </c>
      <c r="E113" s="5125" t="s">
        <v>2311</v>
      </c>
      <c r="F113" s="5125" t="s">
        <v>2312</v>
      </c>
      <c r="G113" s="5125" t="s">
        <v>24</v>
      </c>
      <c r="H113" s="5125" t="s">
        <v>24</v>
      </c>
      <c r="I113" s="5125" t="s">
        <v>882</v>
      </c>
    </row>
    <row r="114" spans="1:9" ht="11.25" customHeight="1">
      <c r="A114" s="5125" t="s">
        <v>2300</v>
      </c>
      <c r="B114" s="5125" t="s">
        <v>14</v>
      </c>
      <c r="C114" s="5125" t="s">
        <v>2555</v>
      </c>
      <c r="D114" s="5125" t="s">
        <v>2556</v>
      </c>
      <c r="E114" s="5125" t="s">
        <v>2557</v>
      </c>
      <c r="F114" s="5125" t="s">
        <v>2312</v>
      </c>
      <c r="G114" s="5125" t="s">
        <v>2558</v>
      </c>
      <c r="H114" s="5125" t="s">
        <v>24</v>
      </c>
      <c r="I114" s="5125" t="s">
        <v>882</v>
      </c>
    </row>
    <row r="115" spans="1:9" ht="11.25" customHeight="1">
      <c r="A115" s="5125" t="s">
        <v>2300</v>
      </c>
      <c r="B115" s="5125" t="s">
        <v>14</v>
      </c>
      <c r="C115" s="5125" t="s">
        <v>2321</v>
      </c>
      <c r="D115" s="5125" t="s">
        <v>2322</v>
      </c>
      <c r="E115" s="5125" t="s">
        <v>2323</v>
      </c>
      <c r="F115" s="5125" t="s">
        <v>2320</v>
      </c>
      <c r="G115" s="5125" t="s">
        <v>2324</v>
      </c>
      <c r="H115" s="5125" t="s">
        <v>24</v>
      </c>
      <c r="I115" s="5125" t="s">
        <v>882</v>
      </c>
    </row>
    <row r="116" spans="1:9" ht="11.25" customHeight="1">
      <c r="A116" s="5125" t="s">
        <v>2300</v>
      </c>
      <c r="B116" s="5125" t="s">
        <v>14</v>
      </c>
      <c r="C116" s="5125" t="s">
        <v>2559</v>
      </c>
      <c r="D116" s="5125" t="s">
        <v>2560</v>
      </c>
      <c r="E116" s="5125" t="s">
        <v>2561</v>
      </c>
      <c r="F116" s="5125" t="s">
        <v>2328</v>
      </c>
      <c r="G116" s="5125" t="s">
        <v>2562</v>
      </c>
      <c r="H116" s="5125" t="s">
        <v>24</v>
      </c>
      <c r="I116" s="5125" t="s">
        <v>882</v>
      </c>
    </row>
    <row r="117" spans="1:9" ht="11.25" customHeight="1">
      <c r="A117" s="5125" t="s">
        <v>2300</v>
      </c>
      <c r="B117" s="5125" t="s">
        <v>14</v>
      </c>
      <c r="C117" s="5125" t="s">
        <v>2332</v>
      </c>
      <c r="D117" s="5125" t="s">
        <v>2333</v>
      </c>
      <c r="E117" s="5125" t="s">
        <v>2334</v>
      </c>
      <c r="F117" s="5125" t="s">
        <v>51</v>
      </c>
      <c r="G117" s="5125" t="s">
        <v>2335</v>
      </c>
      <c r="H117" s="5125" t="s">
        <v>24</v>
      </c>
      <c r="I117" s="5125" t="s">
        <v>882</v>
      </c>
    </row>
    <row r="118" spans="1:9" ht="11.25" customHeight="1">
      <c r="A118" s="5125" t="s">
        <v>2300</v>
      </c>
      <c r="B118" s="5125" t="s">
        <v>14</v>
      </c>
      <c r="C118" s="5125" t="s">
        <v>2339</v>
      </c>
      <c r="D118" s="5125" t="s">
        <v>2340</v>
      </c>
      <c r="E118" s="5125" t="s">
        <v>2341</v>
      </c>
      <c r="F118" s="5125" t="s">
        <v>2342</v>
      </c>
      <c r="G118" s="5125" t="s">
        <v>24</v>
      </c>
      <c r="H118" s="5125" t="s">
        <v>24</v>
      </c>
      <c r="I118" s="5125" t="s">
        <v>882</v>
      </c>
    </row>
    <row r="119" spans="1:9" ht="11.25" customHeight="1">
      <c r="A119" s="5125" t="s">
        <v>2300</v>
      </c>
      <c r="B119" s="5125" t="s">
        <v>14</v>
      </c>
      <c r="C119" s="5125" t="s">
        <v>2343</v>
      </c>
      <c r="D119" s="5125" t="s">
        <v>2344</v>
      </c>
      <c r="E119" s="5125" t="s">
        <v>2345</v>
      </c>
      <c r="F119" s="5125" t="s">
        <v>2346</v>
      </c>
      <c r="G119" s="5125" t="s">
        <v>2347</v>
      </c>
      <c r="H119" s="5125" t="s">
        <v>24</v>
      </c>
      <c r="I119" s="5125" t="s">
        <v>882</v>
      </c>
    </row>
    <row r="120" spans="1:9" ht="11.25" customHeight="1">
      <c r="A120" s="5125" t="s">
        <v>2300</v>
      </c>
      <c r="B120" s="5125" t="s">
        <v>14</v>
      </c>
      <c r="C120" s="5125" t="s">
        <v>2563</v>
      </c>
      <c r="D120" s="5125" t="s">
        <v>2564</v>
      </c>
      <c r="E120" s="5125" t="s">
        <v>2359</v>
      </c>
      <c r="F120" s="5125" t="s">
        <v>2543</v>
      </c>
      <c r="G120" s="5125" t="s">
        <v>2565</v>
      </c>
      <c r="H120" s="5125" t="s">
        <v>24</v>
      </c>
      <c r="I120" s="5125" t="s">
        <v>882</v>
      </c>
    </row>
    <row r="121" spans="1:9" ht="11.25" customHeight="1">
      <c r="A121" s="5125" t="s">
        <v>2300</v>
      </c>
      <c r="B121" s="5125" t="s">
        <v>14</v>
      </c>
      <c r="C121" s="5125" t="s">
        <v>2361</v>
      </c>
      <c r="D121" s="5125" t="s">
        <v>2362</v>
      </c>
      <c r="E121" s="5125" t="s">
        <v>2363</v>
      </c>
      <c r="F121" s="5125" t="s">
        <v>51</v>
      </c>
      <c r="G121" s="5125" t="s">
        <v>2364</v>
      </c>
      <c r="H121" s="5125" t="s">
        <v>24</v>
      </c>
      <c r="I121" s="5125" t="s">
        <v>882</v>
      </c>
    </row>
    <row r="122" spans="1:9" ht="11.25" customHeight="1">
      <c r="A122" s="5125" t="s">
        <v>2300</v>
      </c>
      <c r="B122" s="5125" t="s">
        <v>14</v>
      </c>
      <c r="C122" s="5125" t="s">
        <v>2566</v>
      </c>
      <c r="D122" s="5125" t="s">
        <v>2567</v>
      </c>
      <c r="E122" s="5125" t="s">
        <v>2568</v>
      </c>
      <c r="F122" s="5125" t="s">
        <v>2400</v>
      </c>
      <c r="G122" s="5125" t="s">
        <v>2569</v>
      </c>
      <c r="H122" s="5125" t="s">
        <v>24</v>
      </c>
      <c r="I122" s="5125" t="s">
        <v>882</v>
      </c>
    </row>
    <row r="123" spans="1:9" ht="11.25" customHeight="1">
      <c r="A123" s="5125" t="s">
        <v>2300</v>
      </c>
      <c r="B123" s="5125" t="s">
        <v>14</v>
      </c>
      <c r="C123" s="5125" t="s">
        <v>2372</v>
      </c>
      <c r="D123" s="5125" t="s">
        <v>2373</v>
      </c>
      <c r="E123" s="5125" t="s">
        <v>2374</v>
      </c>
      <c r="F123" s="5125" t="s">
        <v>51</v>
      </c>
      <c r="G123" s="5125" t="s">
        <v>2375</v>
      </c>
      <c r="H123" s="5125" t="s">
        <v>24</v>
      </c>
      <c r="I123" s="5125" t="s">
        <v>882</v>
      </c>
    </row>
    <row r="124" spans="1:9" ht="11.25" customHeight="1">
      <c r="A124" s="5125" t="s">
        <v>2300</v>
      </c>
      <c r="B124" s="5125" t="s">
        <v>14</v>
      </c>
      <c r="C124" s="5125" t="s">
        <v>2376</v>
      </c>
      <c r="D124" s="5125" t="s">
        <v>2377</v>
      </c>
      <c r="E124" s="5125" t="s">
        <v>2378</v>
      </c>
      <c r="F124" s="5125" t="s">
        <v>2379</v>
      </c>
      <c r="G124" s="5125" t="s">
        <v>24</v>
      </c>
      <c r="H124" s="5125" t="s">
        <v>24</v>
      </c>
      <c r="I124" s="5125" t="s">
        <v>882</v>
      </c>
    </row>
    <row r="125" spans="1:9" ht="11.25" customHeight="1">
      <c r="A125" s="5125" t="s">
        <v>2300</v>
      </c>
      <c r="B125" s="5125" t="s">
        <v>14</v>
      </c>
      <c r="C125" s="5125" t="s">
        <v>24</v>
      </c>
      <c r="D125" s="5125" t="s">
        <v>2380</v>
      </c>
      <c r="E125" s="5125" t="s">
        <v>2381</v>
      </c>
      <c r="F125" s="5125" t="s">
        <v>51</v>
      </c>
      <c r="G125" s="5125" t="s">
        <v>24</v>
      </c>
      <c r="H125" s="5125" t="s">
        <v>24</v>
      </c>
      <c r="I125" s="5125" t="s">
        <v>882</v>
      </c>
    </row>
    <row r="126" spans="1:9" ht="11.25" customHeight="1">
      <c r="A126" s="5125" t="s">
        <v>2300</v>
      </c>
      <c r="B126" s="5125" t="s">
        <v>14</v>
      </c>
      <c r="C126" s="5125" t="s">
        <v>2382</v>
      </c>
      <c r="D126" s="5125" t="s">
        <v>2383</v>
      </c>
      <c r="E126" s="5125" t="s">
        <v>2384</v>
      </c>
      <c r="F126" s="5125" t="s">
        <v>2385</v>
      </c>
      <c r="G126" s="5125" t="s">
        <v>24</v>
      </c>
      <c r="H126" s="5125" t="s">
        <v>24</v>
      </c>
      <c r="I126" s="5125" t="s">
        <v>882</v>
      </c>
    </row>
    <row r="127" spans="1:9" ht="11.25" customHeight="1">
      <c r="A127" s="5125" t="s">
        <v>2300</v>
      </c>
      <c r="B127" s="5125" t="s">
        <v>14</v>
      </c>
      <c r="C127" s="5125" t="s">
        <v>2570</v>
      </c>
      <c r="D127" s="5125" t="s">
        <v>2571</v>
      </c>
      <c r="E127" s="5125" t="s">
        <v>2572</v>
      </c>
      <c r="F127" s="5125" t="s">
        <v>2312</v>
      </c>
      <c r="G127" s="5125" t="s">
        <v>24</v>
      </c>
      <c r="H127" s="5125" t="s">
        <v>24</v>
      </c>
      <c r="I127" s="5125" t="s">
        <v>882</v>
      </c>
    </row>
    <row r="128" spans="1:9" ht="11.25" customHeight="1">
      <c r="A128" s="5125" t="s">
        <v>2300</v>
      </c>
      <c r="B128" s="5125" t="s">
        <v>14</v>
      </c>
      <c r="C128" s="5125" t="s">
        <v>2386</v>
      </c>
      <c r="D128" s="5125" t="s">
        <v>2387</v>
      </c>
      <c r="E128" s="5125" t="s">
        <v>2388</v>
      </c>
      <c r="F128" s="5125" t="s">
        <v>2312</v>
      </c>
      <c r="G128" s="5125" t="s">
        <v>24</v>
      </c>
      <c r="H128" s="5125" t="s">
        <v>24</v>
      </c>
      <c r="I128" s="5125" t="s">
        <v>882</v>
      </c>
    </row>
    <row r="129" spans="1:9" ht="11.25" customHeight="1">
      <c r="A129" s="5125" t="s">
        <v>2300</v>
      </c>
      <c r="B129" s="5125" t="s">
        <v>14</v>
      </c>
      <c r="C129" s="5125" t="s">
        <v>2389</v>
      </c>
      <c r="D129" s="5125" t="s">
        <v>2390</v>
      </c>
      <c r="E129" s="5125" t="s">
        <v>2391</v>
      </c>
      <c r="F129" s="5125" t="s">
        <v>2385</v>
      </c>
      <c r="G129" s="5125" t="s">
        <v>2392</v>
      </c>
      <c r="H129" s="5125" t="s">
        <v>24</v>
      </c>
      <c r="I129" s="5125" t="s">
        <v>882</v>
      </c>
    </row>
    <row r="130" spans="1:9" ht="11.25" customHeight="1">
      <c r="A130" s="5125" t="s">
        <v>2300</v>
      </c>
      <c r="B130" s="5125" t="s">
        <v>14</v>
      </c>
      <c r="C130" s="5125" t="s">
        <v>2393</v>
      </c>
      <c r="D130" s="5125" t="s">
        <v>2394</v>
      </c>
      <c r="E130" s="5125" t="s">
        <v>2395</v>
      </c>
      <c r="F130" s="5125" t="s">
        <v>2385</v>
      </c>
      <c r="G130" s="5125" t="s">
        <v>2396</v>
      </c>
      <c r="H130" s="5125" t="s">
        <v>24</v>
      </c>
      <c r="I130" s="5125" t="s">
        <v>882</v>
      </c>
    </row>
    <row r="131" spans="1:9" ht="11.25" customHeight="1">
      <c r="A131" s="5125" t="s">
        <v>2300</v>
      </c>
      <c r="B131" s="5125" t="s">
        <v>14</v>
      </c>
      <c r="C131" s="5125" t="s">
        <v>2397</v>
      </c>
      <c r="D131" s="5125" t="s">
        <v>2398</v>
      </c>
      <c r="E131" s="5125" t="s">
        <v>2399</v>
      </c>
      <c r="F131" s="5125" t="s">
        <v>2400</v>
      </c>
      <c r="G131" s="5125" t="s">
        <v>2401</v>
      </c>
      <c r="H131" s="5125" t="s">
        <v>24</v>
      </c>
      <c r="I131" s="5125" t="s">
        <v>882</v>
      </c>
    </row>
    <row r="132" spans="1:9" ht="11.25" customHeight="1">
      <c r="A132" s="5125" t="s">
        <v>2300</v>
      </c>
      <c r="B132" s="5125" t="s">
        <v>14</v>
      </c>
      <c r="C132" s="5125" t="s">
        <v>2402</v>
      </c>
      <c r="D132" s="5125" t="s">
        <v>2403</v>
      </c>
      <c r="E132" s="5125" t="s">
        <v>2404</v>
      </c>
      <c r="F132" s="5125" t="s">
        <v>2405</v>
      </c>
      <c r="G132" s="5125" t="s">
        <v>24</v>
      </c>
      <c r="H132" s="5125" t="s">
        <v>24</v>
      </c>
      <c r="I132" s="5125" t="s">
        <v>882</v>
      </c>
    </row>
    <row r="133" spans="1:9" ht="11.25" customHeight="1">
      <c r="A133" s="5125" t="s">
        <v>2300</v>
      </c>
      <c r="B133" s="5125" t="s">
        <v>14</v>
      </c>
      <c r="C133" s="5125" t="s">
        <v>2573</v>
      </c>
      <c r="D133" s="5125" t="s">
        <v>2574</v>
      </c>
      <c r="E133" s="5125" t="s">
        <v>2575</v>
      </c>
      <c r="F133" s="5125" t="s">
        <v>2576</v>
      </c>
      <c r="G133" s="5125" t="s">
        <v>24</v>
      </c>
      <c r="H133" s="5125" t="s">
        <v>24</v>
      </c>
      <c r="I133" s="5125" t="s">
        <v>882</v>
      </c>
    </row>
    <row r="134" spans="1:9" ht="11.25" customHeight="1">
      <c r="A134" s="5125" t="s">
        <v>2300</v>
      </c>
      <c r="B134" s="5125" t="s">
        <v>14</v>
      </c>
      <c r="C134" s="5125" t="s">
        <v>2413</v>
      </c>
      <c r="D134" s="5125" t="s">
        <v>2414</v>
      </c>
      <c r="E134" s="5125" t="s">
        <v>2415</v>
      </c>
      <c r="F134" s="5125" t="s">
        <v>2416</v>
      </c>
      <c r="G134" s="5125" t="s">
        <v>24</v>
      </c>
      <c r="H134" s="5125" t="s">
        <v>24</v>
      </c>
      <c r="I134" s="5125" t="s">
        <v>882</v>
      </c>
    </row>
    <row r="135" spans="1:9" ht="11.25" customHeight="1">
      <c r="A135" s="5125" t="s">
        <v>2300</v>
      </c>
      <c r="B135" s="5125" t="s">
        <v>14</v>
      </c>
      <c r="C135" s="5125" t="s">
        <v>2417</v>
      </c>
      <c r="D135" s="5125" t="s">
        <v>2418</v>
      </c>
      <c r="E135" s="5125" t="s">
        <v>2419</v>
      </c>
      <c r="F135" s="5125" t="s">
        <v>2312</v>
      </c>
      <c r="G135" s="5125" t="s">
        <v>24</v>
      </c>
      <c r="H135" s="5125" t="s">
        <v>24</v>
      </c>
      <c r="I135" s="5125" t="s">
        <v>882</v>
      </c>
    </row>
    <row r="136" spans="1:9" ht="11.25" customHeight="1">
      <c r="A136" s="5125" t="s">
        <v>2300</v>
      </c>
      <c r="B136" s="5125" t="s">
        <v>14</v>
      </c>
      <c r="C136" s="5125" t="s">
        <v>2577</v>
      </c>
      <c r="D136" s="5125" t="s">
        <v>2578</v>
      </c>
      <c r="E136" s="5125" t="s">
        <v>2579</v>
      </c>
      <c r="F136" s="5125" t="s">
        <v>2416</v>
      </c>
      <c r="G136" s="5125" t="s">
        <v>2580</v>
      </c>
      <c r="H136" s="5125" t="s">
        <v>2581</v>
      </c>
      <c r="I136" s="5125" t="s">
        <v>882</v>
      </c>
    </row>
    <row r="137" spans="1:9" ht="11.25" customHeight="1">
      <c r="A137" s="5125" t="s">
        <v>2300</v>
      </c>
      <c r="B137" s="5125" t="s">
        <v>14</v>
      </c>
      <c r="C137" s="5125" t="s">
        <v>2424</v>
      </c>
      <c r="D137" s="5125" t="s">
        <v>2425</v>
      </c>
      <c r="E137" s="5125" t="s">
        <v>2426</v>
      </c>
      <c r="F137" s="5125" t="s">
        <v>2312</v>
      </c>
      <c r="G137" s="5125" t="s">
        <v>24</v>
      </c>
      <c r="H137" s="5125" t="s">
        <v>2427</v>
      </c>
      <c r="I137" s="5125" t="s">
        <v>882</v>
      </c>
    </row>
    <row r="138" spans="1:9" ht="11.25" customHeight="1">
      <c r="A138" s="5125" t="s">
        <v>2300</v>
      </c>
      <c r="B138" s="5125" t="s">
        <v>14</v>
      </c>
      <c r="C138" s="5125" t="s">
        <v>2431</v>
      </c>
      <c r="D138" s="5125" t="s">
        <v>2432</v>
      </c>
      <c r="E138" s="5125" t="s">
        <v>2433</v>
      </c>
      <c r="F138" s="5125" t="s">
        <v>2400</v>
      </c>
      <c r="G138" s="5125" t="s">
        <v>24</v>
      </c>
      <c r="H138" s="5125" t="s">
        <v>24</v>
      </c>
      <c r="I138" s="5125" t="s">
        <v>882</v>
      </c>
    </row>
    <row r="139" spans="1:9" ht="11.25" customHeight="1">
      <c r="A139" s="5125" t="s">
        <v>2300</v>
      </c>
      <c r="B139" s="5125" t="s">
        <v>14</v>
      </c>
      <c r="C139" s="5125" t="s">
        <v>2434</v>
      </c>
      <c r="D139" s="5125" t="s">
        <v>2435</v>
      </c>
      <c r="E139" s="5125" t="s">
        <v>2436</v>
      </c>
      <c r="F139" s="5125" t="s">
        <v>2400</v>
      </c>
      <c r="G139" s="5125" t="s">
        <v>2437</v>
      </c>
      <c r="H139" s="5125" t="s">
        <v>24</v>
      </c>
      <c r="I139" s="5125" t="s">
        <v>882</v>
      </c>
    </row>
    <row r="140" spans="1:9" ht="11.25" customHeight="1">
      <c r="A140" s="5125" t="s">
        <v>2300</v>
      </c>
      <c r="B140" s="5125" t="s">
        <v>14</v>
      </c>
      <c r="C140" s="5125" t="s">
        <v>2582</v>
      </c>
      <c r="D140" s="5125" t="s">
        <v>2583</v>
      </c>
      <c r="E140" s="5125" t="s">
        <v>2584</v>
      </c>
      <c r="F140" s="5125" t="s">
        <v>2469</v>
      </c>
      <c r="G140" s="5125" t="s">
        <v>2585</v>
      </c>
      <c r="H140" s="5125" t="s">
        <v>24</v>
      </c>
      <c r="I140" s="5125" t="s">
        <v>882</v>
      </c>
    </row>
    <row r="141" spans="1:9" ht="11.25" customHeight="1">
      <c r="A141" s="5125" t="s">
        <v>2300</v>
      </c>
      <c r="B141" s="5125" t="s">
        <v>14</v>
      </c>
      <c r="C141" s="5125" t="s">
        <v>2586</v>
      </c>
      <c r="D141" s="5125" t="s">
        <v>2587</v>
      </c>
      <c r="E141" s="5125" t="s">
        <v>2588</v>
      </c>
      <c r="F141" s="5125" t="s">
        <v>2385</v>
      </c>
      <c r="G141" s="5125" t="s">
        <v>24</v>
      </c>
      <c r="H141" s="5125" t="s">
        <v>24</v>
      </c>
      <c r="I141" s="5125" t="s">
        <v>882</v>
      </c>
    </row>
    <row r="142" spans="1:9" ht="11.25" customHeight="1">
      <c r="A142" s="5125" t="s">
        <v>2300</v>
      </c>
      <c r="B142" s="5125" t="s">
        <v>14</v>
      </c>
      <c r="C142" s="5125" t="s">
        <v>2445</v>
      </c>
      <c r="D142" s="5125" t="s">
        <v>2446</v>
      </c>
      <c r="E142" s="5125" t="s">
        <v>2447</v>
      </c>
      <c r="F142" s="5125" t="s">
        <v>2312</v>
      </c>
      <c r="G142" s="5125" t="s">
        <v>24</v>
      </c>
      <c r="H142" s="5125" t="s">
        <v>24</v>
      </c>
      <c r="I142" s="5125" t="s">
        <v>882</v>
      </c>
    </row>
    <row r="143" spans="1:9" ht="11.25" customHeight="1">
      <c r="A143" s="5125" t="s">
        <v>2300</v>
      </c>
      <c r="B143" s="5125" t="s">
        <v>14</v>
      </c>
      <c r="C143" s="5125" t="s">
        <v>2451</v>
      </c>
      <c r="D143" s="5125" t="s">
        <v>2452</v>
      </c>
      <c r="E143" s="5125" t="s">
        <v>2453</v>
      </c>
      <c r="F143" s="5125" t="s">
        <v>2454</v>
      </c>
      <c r="G143" s="5125" t="s">
        <v>24</v>
      </c>
      <c r="H143" s="5125" t="s">
        <v>24</v>
      </c>
      <c r="I143" s="5125" t="s">
        <v>882</v>
      </c>
    </row>
    <row r="144" spans="1:9" ht="11.25" customHeight="1">
      <c r="A144" s="5125" t="s">
        <v>2300</v>
      </c>
      <c r="B144" s="5125" t="s">
        <v>14</v>
      </c>
      <c r="C144" s="5125" t="s">
        <v>2459</v>
      </c>
      <c r="D144" s="5125" t="s">
        <v>2460</v>
      </c>
      <c r="E144" s="5125" t="s">
        <v>2461</v>
      </c>
      <c r="F144" s="5125" t="s">
        <v>2400</v>
      </c>
      <c r="G144" s="5125" t="s">
        <v>2462</v>
      </c>
      <c r="H144" s="5125" t="s">
        <v>24</v>
      </c>
      <c r="I144" s="5125" t="s">
        <v>882</v>
      </c>
    </row>
    <row r="145" spans="1:9" ht="11.25" customHeight="1">
      <c r="A145" s="5125" t="s">
        <v>2300</v>
      </c>
      <c r="B145" s="5125" t="s">
        <v>14</v>
      </c>
      <c r="C145" s="5125" t="s">
        <v>2463</v>
      </c>
      <c r="D145" s="5125" t="s">
        <v>2464</v>
      </c>
      <c r="E145" s="5125" t="s">
        <v>2465</v>
      </c>
      <c r="F145" s="5125" t="s">
        <v>2312</v>
      </c>
      <c r="G145" s="5125" t="s">
        <v>24</v>
      </c>
      <c r="H145" s="5125" t="s">
        <v>24</v>
      </c>
      <c r="I145" s="5125" t="s">
        <v>882</v>
      </c>
    </row>
    <row r="146" spans="1:9" ht="11.25" customHeight="1">
      <c r="A146" s="5125" t="s">
        <v>2300</v>
      </c>
      <c r="B146" s="5125" t="s">
        <v>14</v>
      </c>
      <c r="C146" s="5125" t="s">
        <v>2589</v>
      </c>
      <c r="D146" s="5125" t="s">
        <v>2590</v>
      </c>
      <c r="E146" s="5125" t="s">
        <v>2591</v>
      </c>
      <c r="F146" s="5125" t="s">
        <v>51</v>
      </c>
      <c r="G146" s="5125" t="s">
        <v>2592</v>
      </c>
      <c r="H146" s="5125" t="s">
        <v>24</v>
      </c>
      <c r="I146" s="5125" t="s">
        <v>882</v>
      </c>
    </row>
    <row r="147" spans="1:9" ht="11.25" customHeight="1">
      <c r="A147" s="5125" t="s">
        <v>2300</v>
      </c>
      <c r="B147" s="5125" t="s">
        <v>14</v>
      </c>
      <c r="C147" s="5125" t="s">
        <v>2471</v>
      </c>
      <c r="D147" s="5125" t="s">
        <v>2472</v>
      </c>
      <c r="E147" s="5125" t="s">
        <v>2473</v>
      </c>
      <c r="F147" s="5125" t="s">
        <v>2474</v>
      </c>
      <c r="G147" s="5125" t="s">
        <v>2475</v>
      </c>
      <c r="H147" s="5125" t="s">
        <v>24</v>
      </c>
      <c r="I147" s="5125" t="s">
        <v>882</v>
      </c>
    </row>
    <row r="148" spans="1:9" ht="11.25" customHeight="1">
      <c r="A148" s="5125" t="s">
        <v>2300</v>
      </c>
      <c r="B148" s="5125" t="s">
        <v>14</v>
      </c>
      <c r="C148" s="5125" t="s">
        <v>2593</v>
      </c>
      <c r="D148" s="5125" t="s">
        <v>2594</v>
      </c>
      <c r="E148" s="5125" t="s">
        <v>2595</v>
      </c>
      <c r="F148" s="5125" t="s">
        <v>2596</v>
      </c>
      <c r="G148" s="5125" t="s">
        <v>2597</v>
      </c>
      <c r="H148" s="5125" t="s">
        <v>24</v>
      </c>
      <c r="I148" s="5125" t="s">
        <v>882</v>
      </c>
    </row>
    <row r="149" spans="1:9" ht="11.25" customHeight="1">
      <c r="A149" s="5125" t="s">
        <v>2300</v>
      </c>
      <c r="B149" s="5125" t="s">
        <v>14</v>
      </c>
      <c r="C149" s="5125" t="s">
        <v>2476</v>
      </c>
      <c r="D149" s="5125" t="s">
        <v>2477</v>
      </c>
      <c r="E149" s="5125" t="s">
        <v>2478</v>
      </c>
      <c r="F149" s="5125" t="s">
        <v>2479</v>
      </c>
      <c r="G149" s="5125" t="s">
        <v>24</v>
      </c>
      <c r="H149" s="5125" t="s">
        <v>24</v>
      </c>
      <c r="I149" s="5125" t="s">
        <v>882</v>
      </c>
    </row>
    <row r="150" spans="1:9" ht="11.25" customHeight="1">
      <c r="A150" s="5125" t="s">
        <v>2300</v>
      </c>
      <c r="B150" s="5125" t="s">
        <v>14</v>
      </c>
      <c r="C150" s="5125" t="s">
        <v>2598</v>
      </c>
      <c r="D150" s="5125" t="s">
        <v>2599</v>
      </c>
      <c r="E150" s="5125" t="s">
        <v>2600</v>
      </c>
      <c r="F150" s="5125" t="s">
        <v>2601</v>
      </c>
      <c r="G150" s="5125" t="s">
        <v>24</v>
      </c>
      <c r="H150" s="5125" t="s">
        <v>24</v>
      </c>
      <c r="I150" s="5125" t="s">
        <v>882</v>
      </c>
    </row>
    <row r="151" spans="1:9" ht="11.25" customHeight="1">
      <c r="A151" s="5125" t="s">
        <v>2300</v>
      </c>
      <c r="B151" s="5125" t="s">
        <v>14</v>
      </c>
      <c r="C151" s="5125" t="s">
        <v>2602</v>
      </c>
      <c r="D151" s="5125" t="s">
        <v>2603</v>
      </c>
      <c r="E151" s="5125" t="s">
        <v>2604</v>
      </c>
      <c r="F151" s="5125" t="s">
        <v>2601</v>
      </c>
      <c r="G151" s="5125" t="s">
        <v>24</v>
      </c>
      <c r="H151" s="5125" t="s">
        <v>24</v>
      </c>
      <c r="I151" s="5125" t="s">
        <v>882</v>
      </c>
    </row>
    <row r="152" spans="1:9" ht="11.25" customHeight="1">
      <c r="A152" s="5125" t="s">
        <v>2300</v>
      </c>
      <c r="B152" s="5125" t="s">
        <v>14</v>
      </c>
      <c r="C152" s="5125" t="s">
        <v>2605</v>
      </c>
      <c r="D152" s="5125" t="s">
        <v>2606</v>
      </c>
      <c r="E152" s="5125" t="s">
        <v>2607</v>
      </c>
      <c r="F152" s="5125" t="s">
        <v>2596</v>
      </c>
      <c r="G152" s="5125" t="s">
        <v>2608</v>
      </c>
      <c r="H152" s="5125" t="s">
        <v>24</v>
      </c>
      <c r="I152" s="5125" t="s">
        <v>882</v>
      </c>
    </row>
    <row r="153" spans="1:9" ht="11.25" customHeight="1">
      <c r="A153" s="5125" t="s">
        <v>2300</v>
      </c>
      <c r="B153" s="5125" t="s">
        <v>14</v>
      </c>
      <c r="C153" s="5125" t="s">
        <v>2609</v>
      </c>
      <c r="D153" s="5125" t="s">
        <v>2610</v>
      </c>
      <c r="E153" s="5125" t="s">
        <v>2611</v>
      </c>
      <c r="F153" s="5125" t="s">
        <v>2400</v>
      </c>
      <c r="G153" s="5125" t="s">
        <v>2612</v>
      </c>
      <c r="H153" s="5125" t="s">
        <v>24</v>
      </c>
      <c r="I153" s="5125" t="s">
        <v>882</v>
      </c>
    </row>
    <row r="154" spans="1:9" ht="11.25" customHeight="1">
      <c r="A154" s="5125" t="s">
        <v>2300</v>
      </c>
      <c r="B154" s="5125" t="s">
        <v>14</v>
      </c>
      <c r="C154" s="5125" t="s">
        <v>2486</v>
      </c>
      <c r="D154" s="5125" t="s">
        <v>2487</v>
      </c>
      <c r="E154" s="5125" t="s">
        <v>2488</v>
      </c>
      <c r="F154" s="5125" t="s">
        <v>2489</v>
      </c>
      <c r="G154" s="5125" t="s">
        <v>2490</v>
      </c>
      <c r="H154" s="5125" t="s">
        <v>24</v>
      </c>
      <c r="I154" s="5125" t="s">
        <v>882</v>
      </c>
    </row>
    <row r="155" spans="1:9" ht="11.25" customHeight="1">
      <c r="A155" s="5125" t="s">
        <v>2300</v>
      </c>
      <c r="B155" s="5125" t="s">
        <v>14</v>
      </c>
      <c r="C155" s="5125" t="s">
        <v>2613</v>
      </c>
      <c r="D155" s="5125" t="s">
        <v>2614</v>
      </c>
      <c r="E155" s="5125" t="s">
        <v>2615</v>
      </c>
      <c r="F155" s="5125" t="s">
        <v>2469</v>
      </c>
      <c r="G155" s="5125" t="s">
        <v>24</v>
      </c>
      <c r="H155" s="5125" t="s">
        <v>24</v>
      </c>
      <c r="I155" s="5125" t="s">
        <v>882</v>
      </c>
    </row>
    <row r="156" spans="1:9" ht="11.25" customHeight="1">
      <c r="A156" s="5125" t="s">
        <v>2300</v>
      </c>
      <c r="B156" s="5125" t="s">
        <v>14</v>
      </c>
      <c r="C156" s="5125" t="s">
        <v>2616</v>
      </c>
      <c r="D156" s="5125" t="s">
        <v>2617</v>
      </c>
      <c r="E156" s="5125" t="s">
        <v>2618</v>
      </c>
      <c r="F156" s="5125" t="s">
        <v>2516</v>
      </c>
      <c r="G156" s="5125" t="s">
        <v>2619</v>
      </c>
      <c r="H156" s="5125" t="s">
        <v>2620</v>
      </c>
      <c r="I156" s="5125" t="s">
        <v>882</v>
      </c>
    </row>
    <row r="157" spans="1:9" ht="11.25" customHeight="1">
      <c r="A157" s="5125" t="s">
        <v>2300</v>
      </c>
      <c r="B157" s="5125" t="s">
        <v>14</v>
      </c>
      <c r="C157" s="5125" t="s">
        <v>2501</v>
      </c>
      <c r="D157" s="5125" t="s">
        <v>2502</v>
      </c>
      <c r="E157" s="5125" t="s">
        <v>2503</v>
      </c>
      <c r="F157" s="5125" t="s">
        <v>2416</v>
      </c>
      <c r="G157" s="5125" t="s">
        <v>2504</v>
      </c>
      <c r="H157" s="5125" t="s">
        <v>24</v>
      </c>
      <c r="I157" s="5125" t="s">
        <v>882</v>
      </c>
    </row>
    <row r="158" spans="1:9" ht="11.25" customHeight="1">
      <c r="A158" s="5125" t="s">
        <v>2300</v>
      </c>
      <c r="B158" s="5125" t="s">
        <v>14</v>
      </c>
      <c r="C158" s="5125" t="s">
        <v>2621</v>
      </c>
      <c r="D158" s="5125" t="s">
        <v>2622</v>
      </c>
      <c r="E158" s="5125" t="s">
        <v>2623</v>
      </c>
      <c r="F158" s="5125" t="s">
        <v>2312</v>
      </c>
      <c r="G158" s="5125" t="s">
        <v>24</v>
      </c>
      <c r="H158" s="5125" t="s">
        <v>2624</v>
      </c>
      <c r="I158" s="5125" t="s">
        <v>882</v>
      </c>
    </row>
    <row r="159" spans="1:9" ht="11.25" customHeight="1">
      <c r="A159" s="5125" t="s">
        <v>2300</v>
      </c>
      <c r="B159" s="5125" t="s">
        <v>14</v>
      </c>
      <c r="C159" s="5125" t="s">
        <v>2523</v>
      </c>
      <c r="D159" s="5125" t="s">
        <v>2524</v>
      </c>
      <c r="E159" s="5125" t="s">
        <v>2525</v>
      </c>
      <c r="F159" s="5125" t="s">
        <v>2526</v>
      </c>
      <c r="G159" s="5125" t="s">
        <v>2527</v>
      </c>
      <c r="H159" s="5125" t="s">
        <v>24</v>
      </c>
      <c r="I159" s="5125" t="s">
        <v>882</v>
      </c>
    </row>
    <row r="160" spans="1:9" ht="11.25" customHeight="1">
      <c r="A160" s="5125" t="s">
        <v>2300</v>
      </c>
      <c r="B160" s="5125" t="s">
        <v>14</v>
      </c>
      <c r="C160" s="5125" t="s">
        <v>2528</v>
      </c>
      <c r="D160" s="5125" t="s">
        <v>2529</v>
      </c>
      <c r="E160" s="5125" t="s">
        <v>2473</v>
      </c>
      <c r="F160" s="5125" t="s">
        <v>2530</v>
      </c>
      <c r="G160" s="5125" t="s">
        <v>24</v>
      </c>
      <c r="H160" s="5125" t="s">
        <v>24</v>
      </c>
      <c r="I160" s="5125" t="s">
        <v>882</v>
      </c>
    </row>
    <row r="161" spans="1:9" ht="11.25" customHeight="1">
      <c r="A161" s="5125" t="s">
        <v>2300</v>
      </c>
      <c r="B161" s="5125" t="s">
        <v>14</v>
      </c>
      <c r="C161" s="5125" t="s">
        <v>2532</v>
      </c>
      <c r="D161" s="5125" t="s">
        <v>2533</v>
      </c>
      <c r="E161" s="5125" t="s">
        <v>2525</v>
      </c>
      <c r="F161" s="5125" t="s">
        <v>2534</v>
      </c>
      <c r="G161" s="5125" t="s">
        <v>2535</v>
      </c>
      <c r="H161" s="5125" t="s">
        <v>24</v>
      </c>
      <c r="I161" s="5125" t="s">
        <v>882</v>
      </c>
    </row>
    <row r="162" spans="1:9" ht="11.25" customHeight="1">
      <c r="A162" s="5125" t="s">
        <v>2300</v>
      </c>
      <c r="B162" s="5125" t="s">
        <v>14</v>
      </c>
      <c r="C162" s="5125" t="s">
        <v>2536</v>
      </c>
      <c r="D162" s="5125" t="s">
        <v>2537</v>
      </c>
      <c r="E162" s="5125" t="s">
        <v>2538</v>
      </c>
      <c r="F162" s="5125" t="s">
        <v>2539</v>
      </c>
      <c r="G162" s="5125" t="s">
        <v>24</v>
      </c>
      <c r="H162" s="5125" t="s">
        <v>24</v>
      </c>
      <c r="I162" s="5125" t="s">
        <v>882</v>
      </c>
    </row>
    <row r="163" spans="1:9" ht="11.25" customHeight="1">
      <c r="A163" s="5125" t="s">
        <v>2300</v>
      </c>
      <c r="B163" s="5125" t="s">
        <v>14</v>
      </c>
      <c r="C163" s="5125" t="s">
        <v>2548</v>
      </c>
      <c r="D163" s="5125" t="s">
        <v>2549</v>
      </c>
      <c r="E163" s="5125" t="s">
        <v>2550</v>
      </c>
      <c r="F163" s="5125" t="s">
        <v>2479</v>
      </c>
      <c r="G163" s="5125" t="s">
        <v>24</v>
      </c>
      <c r="H163" s="5125" t="s">
        <v>24</v>
      </c>
      <c r="I163" s="5125" t="s">
        <v>882</v>
      </c>
    </row>
    <row r="164" spans="1:9" ht="11.25" customHeight="1">
      <c r="A164" s="5125" t="s">
        <v>2300</v>
      </c>
      <c r="B164" s="5125" t="s">
        <v>14</v>
      </c>
      <c r="C164" s="5125" t="s">
        <v>2625</v>
      </c>
      <c r="D164" s="5125" t="s">
        <v>2626</v>
      </c>
      <c r="E164" s="5125" t="s">
        <v>2627</v>
      </c>
      <c r="F164" s="5125" t="s">
        <v>2539</v>
      </c>
      <c r="G164" s="5125" t="s">
        <v>2628</v>
      </c>
      <c r="H164" s="5125" t="s">
        <v>24</v>
      </c>
      <c r="I164" s="5125" t="s">
        <v>934</v>
      </c>
    </row>
    <row r="165" spans="1:9" ht="11.25" customHeight="1">
      <c r="A165" s="5125" t="s">
        <v>2300</v>
      </c>
      <c r="B165" s="5125" t="s">
        <v>14</v>
      </c>
      <c r="C165" s="5125" t="s">
        <v>2306</v>
      </c>
      <c r="D165" s="5125" t="s">
        <v>2302</v>
      </c>
      <c r="E165" s="5125" t="s">
        <v>2303</v>
      </c>
      <c r="F165" s="5125" t="s">
        <v>2307</v>
      </c>
      <c r="G165" s="5125" t="s">
        <v>2308</v>
      </c>
      <c r="H165" s="5125" t="s">
        <v>24</v>
      </c>
      <c r="I165" s="5125" t="s">
        <v>934</v>
      </c>
    </row>
    <row r="166" spans="1:9" ht="11.25" customHeight="1">
      <c r="A166" s="5125" t="s">
        <v>2300</v>
      </c>
      <c r="B166" s="5125" t="s">
        <v>14</v>
      </c>
      <c r="C166" s="5125" t="s">
        <v>2551</v>
      </c>
      <c r="D166" s="5125" t="s">
        <v>2552</v>
      </c>
      <c r="E166" s="5125" t="s">
        <v>2553</v>
      </c>
      <c r="F166" s="5125" t="s">
        <v>2368</v>
      </c>
      <c r="G166" s="5125" t="s">
        <v>2554</v>
      </c>
      <c r="H166" s="5125" t="s">
        <v>24</v>
      </c>
      <c r="I166" s="5125" t="s">
        <v>934</v>
      </c>
    </row>
    <row r="167" spans="1:9" ht="11.25" customHeight="1">
      <c r="A167" s="5125" t="s">
        <v>2300</v>
      </c>
      <c r="B167" s="5125" t="s">
        <v>14</v>
      </c>
      <c r="C167" s="5125" t="s">
        <v>2309</v>
      </c>
      <c r="D167" s="5125" t="s">
        <v>2310</v>
      </c>
      <c r="E167" s="5125" t="s">
        <v>2311</v>
      </c>
      <c r="F167" s="5125" t="s">
        <v>2312</v>
      </c>
      <c r="G167" s="5125" t="s">
        <v>24</v>
      </c>
      <c r="H167" s="5125" t="s">
        <v>24</v>
      </c>
      <c r="I167" s="5125" t="s">
        <v>934</v>
      </c>
    </row>
    <row r="168" spans="1:9" ht="11.25" customHeight="1">
      <c r="A168" s="5125" t="s">
        <v>2300</v>
      </c>
      <c r="B168" s="5125" t="s">
        <v>14</v>
      </c>
      <c r="C168" s="5125" t="s">
        <v>2555</v>
      </c>
      <c r="D168" s="5125" t="s">
        <v>2556</v>
      </c>
      <c r="E168" s="5125" t="s">
        <v>2557</v>
      </c>
      <c r="F168" s="5125" t="s">
        <v>2312</v>
      </c>
      <c r="G168" s="5125" t="s">
        <v>2558</v>
      </c>
      <c r="H168" s="5125" t="s">
        <v>24</v>
      </c>
      <c r="I168" s="5125" t="s">
        <v>934</v>
      </c>
    </row>
    <row r="169" spans="1:9" ht="11.25" customHeight="1">
      <c r="A169" s="5125" t="s">
        <v>2300</v>
      </c>
      <c r="B169" s="5125" t="s">
        <v>14</v>
      </c>
      <c r="C169" s="5125" t="s">
        <v>2321</v>
      </c>
      <c r="D169" s="5125" t="s">
        <v>2322</v>
      </c>
      <c r="E169" s="5125" t="s">
        <v>2323</v>
      </c>
      <c r="F169" s="5125" t="s">
        <v>2320</v>
      </c>
      <c r="G169" s="5125" t="s">
        <v>2324</v>
      </c>
      <c r="H169" s="5125" t="s">
        <v>24</v>
      </c>
      <c r="I169" s="5125" t="s">
        <v>934</v>
      </c>
    </row>
    <row r="170" spans="1:9" ht="11.25" customHeight="1">
      <c r="A170" s="5125" t="s">
        <v>2300</v>
      </c>
      <c r="B170" s="5125" t="s">
        <v>14</v>
      </c>
      <c r="C170" s="5125" t="s">
        <v>2559</v>
      </c>
      <c r="D170" s="5125" t="s">
        <v>2560</v>
      </c>
      <c r="E170" s="5125" t="s">
        <v>2561</v>
      </c>
      <c r="F170" s="5125" t="s">
        <v>2328</v>
      </c>
      <c r="G170" s="5125" t="s">
        <v>2562</v>
      </c>
      <c r="H170" s="5125" t="s">
        <v>24</v>
      </c>
      <c r="I170" s="5125" t="s">
        <v>934</v>
      </c>
    </row>
    <row r="171" spans="1:9" ht="11.25" customHeight="1">
      <c r="A171" s="5125" t="s">
        <v>2300</v>
      </c>
      <c r="B171" s="5125" t="s">
        <v>14</v>
      </c>
      <c r="C171" s="5125" t="s">
        <v>2332</v>
      </c>
      <c r="D171" s="5125" t="s">
        <v>2333</v>
      </c>
      <c r="E171" s="5125" t="s">
        <v>2334</v>
      </c>
      <c r="F171" s="5125" t="s">
        <v>51</v>
      </c>
      <c r="G171" s="5125" t="s">
        <v>2335</v>
      </c>
      <c r="H171" s="5125" t="s">
        <v>24</v>
      </c>
      <c r="I171" s="5125" t="s">
        <v>934</v>
      </c>
    </row>
    <row r="172" spans="1:9" ht="11.25" customHeight="1">
      <c r="A172" s="5125" t="s">
        <v>2300</v>
      </c>
      <c r="B172" s="5125" t="s">
        <v>14</v>
      </c>
      <c r="C172" s="5125" t="s">
        <v>2343</v>
      </c>
      <c r="D172" s="5125" t="s">
        <v>2344</v>
      </c>
      <c r="E172" s="5125" t="s">
        <v>2345</v>
      </c>
      <c r="F172" s="5125" t="s">
        <v>2346</v>
      </c>
      <c r="G172" s="5125" t="s">
        <v>2347</v>
      </c>
      <c r="H172" s="5125" t="s">
        <v>24</v>
      </c>
      <c r="I172" s="5125" t="s">
        <v>934</v>
      </c>
    </row>
    <row r="173" spans="1:9" ht="11.25" customHeight="1">
      <c r="A173" s="5125" t="s">
        <v>2300</v>
      </c>
      <c r="B173" s="5125" t="s">
        <v>14</v>
      </c>
      <c r="C173" s="5125" t="s">
        <v>2563</v>
      </c>
      <c r="D173" s="5125" t="s">
        <v>2564</v>
      </c>
      <c r="E173" s="5125" t="s">
        <v>2359</v>
      </c>
      <c r="F173" s="5125" t="s">
        <v>2543</v>
      </c>
      <c r="G173" s="5125" t="s">
        <v>2565</v>
      </c>
      <c r="H173" s="5125" t="s">
        <v>24</v>
      </c>
      <c r="I173" s="5125" t="s">
        <v>934</v>
      </c>
    </row>
    <row r="174" spans="1:9" ht="11.25" customHeight="1">
      <c r="A174" s="5125" t="s">
        <v>2300</v>
      </c>
      <c r="B174" s="5125" t="s">
        <v>14</v>
      </c>
      <c r="C174" s="5125" t="s">
        <v>2361</v>
      </c>
      <c r="D174" s="5125" t="s">
        <v>2362</v>
      </c>
      <c r="E174" s="5125" t="s">
        <v>2363</v>
      </c>
      <c r="F174" s="5125" t="s">
        <v>51</v>
      </c>
      <c r="G174" s="5125" t="s">
        <v>2364</v>
      </c>
      <c r="H174" s="5125" t="s">
        <v>24</v>
      </c>
      <c r="I174" s="5125" t="s">
        <v>934</v>
      </c>
    </row>
    <row r="175" spans="1:9" ht="11.25" customHeight="1">
      <c r="A175" s="5125" t="s">
        <v>2300</v>
      </c>
      <c r="B175" s="5125" t="s">
        <v>14</v>
      </c>
      <c r="C175" s="5125" t="s">
        <v>2566</v>
      </c>
      <c r="D175" s="5125" t="s">
        <v>2567</v>
      </c>
      <c r="E175" s="5125" t="s">
        <v>2568</v>
      </c>
      <c r="F175" s="5125" t="s">
        <v>2400</v>
      </c>
      <c r="G175" s="5125" t="s">
        <v>2569</v>
      </c>
      <c r="H175" s="5125" t="s">
        <v>24</v>
      </c>
      <c r="I175" s="5125" t="s">
        <v>934</v>
      </c>
    </row>
    <row r="176" spans="1:9" ht="11.25" customHeight="1">
      <c r="A176" s="5125" t="s">
        <v>2300</v>
      </c>
      <c r="B176" s="5125" t="s">
        <v>14</v>
      </c>
      <c r="C176" s="5125" t="s">
        <v>2372</v>
      </c>
      <c r="D176" s="5125" t="s">
        <v>2373</v>
      </c>
      <c r="E176" s="5125" t="s">
        <v>2374</v>
      </c>
      <c r="F176" s="5125" t="s">
        <v>51</v>
      </c>
      <c r="G176" s="5125" t="s">
        <v>2375</v>
      </c>
      <c r="H176" s="5125" t="s">
        <v>24</v>
      </c>
      <c r="I176" s="5125" t="s">
        <v>934</v>
      </c>
    </row>
    <row r="177" spans="1:9" ht="11.25" customHeight="1">
      <c r="A177" s="5125" t="s">
        <v>2300</v>
      </c>
      <c r="B177" s="5125" t="s">
        <v>14</v>
      </c>
      <c r="C177" s="5125" t="s">
        <v>2376</v>
      </c>
      <c r="D177" s="5125" t="s">
        <v>2377</v>
      </c>
      <c r="E177" s="5125" t="s">
        <v>2378</v>
      </c>
      <c r="F177" s="5125" t="s">
        <v>2379</v>
      </c>
      <c r="G177" s="5125" t="s">
        <v>24</v>
      </c>
      <c r="H177" s="5125" t="s">
        <v>24</v>
      </c>
      <c r="I177" s="5125" t="s">
        <v>934</v>
      </c>
    </row>
    <row r="178" spans="1:9" ht="11.25" customHeight="1">
      <c r="A178" s="5125" t="s">
        <v>2300</v>
      </c>
      <c r="B178" s="5125" t="s">
        <v>14</v>
      </c>
      <c r="C178" s="5125" t="s">
        <v>24</v>
      </c>
      <c r="D178" s="5125" t="s">
        <v>2380</v>
      </c>
      <c r="E178" s="5125" t="s">
        <v>2381</v>
      </c>
      <c r="F178" s="5125" t="s">
        <v>51</v>
      </c>
      <c r="G178" s="5125" t="s">
        <v>24</v>
      </c>
      <c r="H178" s="5125" t="s">
        <v>24</v>
      </c>
      <c r="I178" s="5125" t="s">
        <v>934</v>
      </c>
    </row>
    <row r="179" spans="1:9" ht="11.25" customHeight="1">
      <c r="A179" s="5125" t="s">
        <v>2300</v>
      </c>
      <c r="B179" s="5125" t="s">
        <v>14</v>
      </c>
      <c r="C179" s="5125" t="s">
        <v>2382</v>
      </c>
      <c r="D179" s="5125" t="s">
        <v>2383</v>
      </c>
      <c r="E179" s="5125" t="s">
        <v>2384</v>
      </c>
      <c r="F179" s="5125" t="s">
        <v>2385</v>
      </c>
      <c r="G179" s="5125" t="s">
        <v>24</v>
      </c>
      <c r="H179" s="5125" t="s">
        <v>24</v>
      </c>
      <c r="I179" s="5125" t="s">
        <v>934</v>
      </c>
    </row>
    <row r="180" spans="1:9" ht="11.25" customHeight="1">
      <c r="A180" s="5125" t="s">
        <v>2300</v>
      </c>
      <c r="B180" s="5125" t="s">
        <v>14</v>
      </c>
      <c r="C180" s="5125" t="s">
        <v>2386</v>
      </c>
      <c r="D180" s="5125" t="s">
        <v>2387</v>
      </c>
      <c r="E180" s="5125" t="s">
        <v>2388</v>
      </c>
      <c r="F180" s="5125" t="s">
        <v>2312</v>
      </c>
      <c r="G180" s="5125" t="s">
        <v>24</v>
      </c>
      <c r="H180" s="5125" t="s">
        <v>24</v>
      </c>
      <c r="I180" s="5125" t="s">
        <v>934</v>
      </c>
    </row>
    <row r="181" spans="1:9" ht="11.25" customHeight="1">
      <c r="A181" s="5125" t="s">
        <v>2300</v>
      </c>
      <c r="B181" s="5125" t="s">
        <v>14</v>
      </c>
      <c r="C181" s="5125" t="s">
        <v>2389</v>
      </c>
      <c r="D181" s="5125" t="s">
        <v>2390</v>
      </c>
      <c r="E181" s="5125" t="s">
        <v>2391</v>
      </c>
      <c r="F181" s="5125" t="s">
        <v>2385</v>
      </c>
      <c r="G181" s="5125" t="s">
        <v>2392</v>
      </c>
      <c r="H181" s="5125" t="s">
        <v>24</v>
      </c>
      <c r="I181" s="5125" t="s">
        <v>934</v>
      </c>
    </row>
    <row r="182" spans="1:9" ht="11.25" customHeight="1">
      <c r="A182" s="5125" t="s">
        <v>2300</v>
      </c>
      <c r="B182" s="5125" t="s">
        <v>14</v>
      </c>
      <c r="C182" s="5125" t="s">
        <v>2393</v>
      </c>
      <c r="D182" s="5125" t="s">
        <v>2394</v>
      </c>
      <c r="E182" s="5125" t="s">
        <v>2395</v>
      </c>
      <c r="F182" s="5125" t="s">
        <v>2385</v>
      </c>
      <c r="G182" s="5125" t="s">
        <v>2396</v>
      </c>
      <c r="H182" s="5125" t="s">
        <v>24</v>
      </c>
      <c r="I182" s="5125" t="s">
        <v>934</v>
      </c>
    </row>
    <row r="183" spans="1:9" ht="11.25" customHeight="1">
      <c r="A183" s="5125" t="s">
        <v>2300</v>
      </c>
      <c r="B183" s="5125" t="s">
        <v>14</v>
      </c>
      <c r="C183" s="5125" t="s">
        <v>2397</v>
      </c>
      <c r="D183" s="5125" t="s">
        <v>2398</v>
      </c>
      <c r="E183" s="5125" t="s">
        <v>2399</v>
      </c>
      <c r="F183" s="5125" t="s">
        <v>2400</v>
      </c>
      <c r="G183" s="5125" t="s">
        <v>2401</v>
      </c>
      <c r="H183" s="5125" t="s">
        <v>24</v>
      </c>
      <c r="I183" s="5125" t="s">
        <v>934</v>
      </c>
    </row>
    <row r="184" spans="1:9" ht="11.25" customHeight="1">
      <c r="A184" s="5125" t="s">
        <v>2300</v>
      </c>
      <c r="B184" s="5125" t="s">
        <v>14</v>
      </c>
      <c r="C184" s="5125" t="s">
        <v>2402</v>
      </c>
      <c r="D184" s="5125" t="s">
        <v>2403</v>
      </c>
      <c r="E184" s="5125" t="s">
        <v>2404</v>
      </c>
      <c r="F184" s="5125" t="s">
        <v>2405</v>
      </c>
      <c r="G184" s="5125" t="s">
        <v>24</v>
      </c>
      <c r="H184" s="5125" t="s">
        <v>24</v>
      </c>
      <c r="I184" s="5125" t="s">
        <v>934</v>
      </c>
    </row>
    <row r="185" spans="1:9" ht="11.25" customHeight="1">
      <c r="A185" s="5125" t="s">
        <v>2300</v>
      </c>
      <c r="B185" s="5125" t="s">
        <v>14</v>
      </c>
      <c r="C185" s="5125" t="s">
        <v>2573</v>
      </c>
      <c r="D185" s="5125" t="s">
        <v>2574</v>
      </c>
      <c r="E185" s="5125" t="s">
        <v>2575</v>
      </c>
      <c r="F185" s="5125" t="s">
        <v>2576</v>
      </c>
      <c r="G185" s="5125" t="s">
        <v>24</v>
      </c>
      <c r="H185" s="5125" t="s">
        <v>24</v>
      </c>
      <c r="I185" s="5125" t="s">
        <v>934</v>
      </c>
    </row>
    <row r="186" spans="1:9" ht="11.25" customHeight="1">
      <c r="A186" s="5125" t="s">
        <v>2300</v>
      </c>
      <c r="B186" s="5125" t="s">
        <v>14</v>
      </c>
      <c r="C186" s="5125" t="s">
        <v>2413</v>
      </c>
      <c r="D186" s="5125" t="s">
        <v>2414</v>
      </c>
      <c r="E186" s="5125" t="s">
        <v>2415</v>
      </c>
      <c r="F186" s="5125" t="s">
        <v>2416</v>
      </c>
      <c r="G186" s="5125" t="s">
        <v>24</v>
      </c>
      <c r="H186" s="5125" t="s">
        <v>24</v>
      </c>
      <c r="I186" s="5125" t="s">
        <v>934</v>
      </c>
    </row>
    <row r="187" spans="1:9" ht="11.25" customHeight="1">
      <c r="A187" s="5125" t="s">
        <v>2300</v>
      </c>
      <c r="B187" s="5125" t="s">
        <v>14</v>
      </c>
      <c r="C187" s="5125" t="s">
        <v>2417</v>
      </c>
      <c r="D187" s="5125" t="s">
        <v>2418</v>
      </c>
      <c r="E187" s="5125" t="s">
        <v>2419</v>
      </c>
      <c r="F187" s="5125" t="s">
        <v>2312</v>
      </c>
      <c r="G187" s="5125" t="s">
        <v>24</v>
      </c>
      <c r="H187" s="5125" t="s">
        <v>24</v>
      </c>
      <c r="I187" s="5125" t="s">
        <v>934</v>
      </c>
    </row>
    <row r="188" spans="1:9" ht="11.25" customHeight="1">
      <c r="A188" s="5125" t="s">
        <v>2300</v>
      </c>
      <c r="B188" s="5125" t="s">
        <v>14</v>
      </c>
      <c r="C188" s="5125" t="s">
        <v>2577</v>
      </c>
      <c r="D188" s="5125" t="s">
        <v>2578</v>
      </c>
      <c r="E188" s="5125" t="s">
        <v>2579</v>
      </c>
      <c r="F188" s="5125" t="s">
        <v>2416</v>
      </c>
      <c r="G188" s="5125" t="s">
        <v>2580</v>
      </c>
      <c r="H188" s="5125" t="s">
        <v>2581</v>
      </c>
      <c r="I188" s="5125" t="s">
        <v>934</v>
      </c>
    </row>
    <row r="189" spans="1:9" ht="11.25" customHeight="1">
      <c r="A189" s="5125" t="s">
        <v>2300</v>
      </c>
      <c r="B189" s="5125" t="s">
        <v>14</v>
      </c>
      <c r="C189" s="5125" t="s">
        <v>2424</v>
      </c>
      <c r="D189" s="5125" t="s">
        <v>2425</v>
      </c>
      <c r="E189" s="5125" t="s">
        <v>2426</v>
      </c>
      <c r="F189" s="5125" t="s">
        <v>2312</v>
      </c>
      <c r="G189" s="5125" t="s">
        <v>24</v>
      </c>
      <c r="H189" s="5125" t="s">
        <v>2427</v>
      </c>
      <c r="I189" s="5125" t="s">
        <v>934</v>
      </c>
    </row>
    <row r="190" spans="1:9" ht="11.25" customHeight="1">
      <c r="A190" s="5125" t="s">
        <v>2300</v>
      </c>
      <c r="B190" s="5125" t="s">
        <v>14</v>
      </c>
      <c r="C190" s="5125" t="s">
        <v>2431</v>
      </c>
      <c r="D190" s="5125" t="s">
        <v>2432</v>
      </c>
      <c r="E190" s="5125" t="s">
        <v>2433</v>
      </c>
      <c r="F190" s="5125" t="s">
        <v>2400</v>
      </c>
      <c r="G190" s="5125" t="s">
        <v>24</v>
      </c>
      <c r="H190" s="5125" t="s">
        <v>24</v>
      </c>
      <c r="I190" s="5125" t="s">
        <v>934</v>
      </c>
    </row>
    <row r="191" spans="1:9" ht="11.25" customHeight="1">
      <c r="A191" s="5125" t="s">
        <v>2300</v>
      </c>
      <c r="B191" s="5125" t="s">
        <v>14</v>
      </c>
      <c r="C191" s="5125" t="s">
        <v>2434</v>
      </c>
      <c r="D191" s="5125" t="s">
        <v>2435</v>
      </c>
      <c r="E191" s="5125" t="s">
        <v>2436</v>
      </c>
      <c r="F191" s="5125" t="s">
        <v>2400</v>
      </c>
      <c r="G191" s="5125" t="s">
        <v>2437</v>
      </c>
      <c r="H191" s="5125" t="s">
        <v>24</v>
      </c>
      <c r="I191" s="5125" t="s">
        <v>934</v>
      </c>
    </row>
    <row r="192" spans="1:9" ht="11.25" customHeight="1">
      <c r="A192" s="5125" t="s">
        <v>2300</v>
      </c>
      <c r="B192" s="5125" t="s">
        <v>14</v>
      </c>
      <c r="C192" s="5125" t="s">
        <v>2582</v>
      </c>
      <c r="D192" s="5125" t="s">
        <v>2583</v>
      </c>
      <c r="E192" s="5125" t="s">
        <v>2584</v>
      </c>
      <c r="F192" s="5125" t="s">
        <v>2469</v>
      </c>
      <c r="G192" s="5125" t="s">
        <v>2585</v>
      </c>
      <c r="H192" s="5125" t="s">
        <v>24</v>
      </c>
      <c r="I192" s="5125" t="s">
        <v>934</v>
      </c>
    </row>
    <row r="193" spans="1:9" ht="11.25" customHeight="1">
      <c r="A193" s="5125" t="s">
        <v>2300</v>
      </c>
      <c r="B193" s="5125" t="s">
        <v>14</v>
      </c>
      <c r="C193" s="5125" t="s">
        <v>2586</v>
      </c>
      <c r="D193" s="5125" t="s">
        <v>2587</v>
      </c>
      <c r="E193" s="5125" t="s">
        <v>2588</v>
      </c>
      <c r="F193" s="5125" t="s">
        <v>2385</v>
      </c>
      <c r="G193" s="5125" t="s">
        <v>24</v>
      </c>
      <c r="H193" s="5125" t="s">
        <v>24</v>
      </c>
      <c r="I193" s="5125" t="s">
        <v>934</v>
      </c>
    </row>
    <row r="194" spans="1:9" ht="11.25" customHeight="1">
      <c r="A194" s="5125" t="s">
        <v>2300</v>
      </c>
      <c r="B194" s="5125" t="s">
        <v>14</v>
      </c>
      <c r="C194" s="5125" t="s">
        <v>2451</v>
      </c>
      <c r="D194" s="5125" t="s">
        <v>2452</v>
      </c>
      <c r="E194" s="5125" t="s">
        <v>2453</v>
      </c>
      <c r="F194" s="5125" t="s">
        <v>2454</v>
      </c>
      <c r="G194" s="5125" t="s">
        <v>24</v>
      </c>
      <c r="H194" s="5125" t="s">
        <v>24</v>
      </c>
      <c r="I194" s="5125" t="s">
        <v>934</v>
      </c>
    </row>
    <row r="195" spans="1:9" ht="11.25" customHeight="1">
      <c r="A195" s="5125" t="s">
        <v>2300</v>
      </c>
      <c r="B195" s="5125" t="s">
        <v>14</v>
      </c>
      <c r="C195" s="5125" t="s">
        <v>2459</v>
      </c>
      <c r="D195" s="5125" t="s">
        <v>2460</v>
      </c>
      <c r="E195" s="5125" t="s">
        <v>2461</v>
      </c>
      <c r="F195" s="5125" t="s">
        <v>2400</v>
      </c>
      <c r="G195" s="5125" t="s">
        <v>2462</v>
      </c>
      <c r="H195" s="5125" t="s">
        <v>24</v>
      </c>
      <c r="I195" s="5125" t="s">
        <v>934</v>
      </c>
    </row>
    <row r="196" spans="1:9" ht="11.25" customHeight="1">
      <c r="A196" s="5125" t="s">
        <v>2300</v>
      </c>
      <c r="B196" s="5125" t="s">
        <v>14</v>
      </c>
      <c r="C196" s="5125" t="s">
        <v>2463</v>
      </c>
      <c r="D196" s="5125" t="s">
        <v>2464</v>
      </c>
      <c r="E196" s="5125" t="s">
        <v>2465</v>
      </c>
      <c r="F196" s="5125" t="s">
        <v>2312</v>
      </c>
      <c r="G196" s="5125" t="s">
        <v>24</v>
      </c>
      <c r="H196" s="5125" t="s">
        <v>24</v>
      </c>
      <c r="I196" s="5125" t="s">
        <v>934</v>
      </c>
    </row>
    <row r="197" spans="1:9" ht="11.25" customHeight="1">
      <c r="A197" s="5125" t="s">
        <v>2300</v>
      </c>
      <c r="B197" s="5125" t="s">
        <v>14</v>
      </c>
      <c r="C197" s="5125" t="s">
        <v>2589</v>
      </c>
      <c r="D197" s="5125" t="s">
        <v>2590</v>
      </c>
      <c r="E197" s="5125" t="s">
        <v>2591</v>
      </c>
      <c r="F197" s="5125" t="s">
        <v>51</v>
      </c>
      <c r="G197" s="5125" t="s">
        <v>2592</v>
      </c>
      <c r="H197" s="5125" t="s">
        <v>24</v>
      </c>
      <c r="I197" s="5125" t="s">
        <v>934</v>
      </c>
    </row>
    <row r="198" spans="1:9" ht="11.25" customHeight="1">
      <c r="A198" s="5125" t="s">
        <v>2300</v>
      </c>
      <c r="B198" s="5125" t="s">
        <v>14</v>
      </c>
      <c r="C198" s="5125" t="s">
        <v>2471</v>
      </c>
      <c r="D198" s="5125" t="s">
        <v>2472</v>
      </c>
      <c r="E198" s="5125" t="s">
        <v>2473</v>
      </c>
      <c r="F198" s="5125" t="s">
        <v>2474</v>
      </c>
      <c r="G198" s="5125" t="s">
        <v>2475</v>
      </c>
      <c r="H198" s="5125" t="s">
        <v>24</v>
      </c>
      <c r="I198" s="5125" t="s">
        <v>934</v>
      </c>
    </row>
    <row r="199" spans="1:9" ht="11.25" customHeight="1">
      <c r="A199" s="5125" t="s">
        <v>2300</v>
      </c>
      <c r="B199" s="5125" t="s">
        <v>14</v>
      </c>
      <c r="C199" s="5125" t="s">
        <v>2476</v>
      </c>
      <c r="D199" s="5125" t="s">
        <v>2477</v>
      </c>
      <c r="E199" s="5125" t="s">
        <v>2478</v>
      </c>
      <c r="F199" s="5125" t="s">
        <v>2479</v>
      </c>
      <c r="G199" s="5125" t="s">
        <v>24</v>
      </c>
      <c r="H199" s="5125" t="s">
        <v>24</v>
      </c>
      <c r="I199" s="5125" t="s">
        <v>934</v>
      </c>
    </row>
    <row r="200" spans="1:9" ht="11.25" customHeight="1">
      <c r="A200" s="5125" t="s">
        <v>2300</v>
      </c>
      <c r="B200" s="5125" t="s">
        <v>14</v>
      </c>
      <c r="C200" s="5125" t="s">
        <v>2598</v>
      </c>
      <c r="D200" s="5125" t="s">
        <v>2599</v>
      </c>
      <c r="E200" s="5125" t="s">
        <v>2600</v>
      </c>
      <c r="F200" s="5125" t="s">
        <v>2601</v>
      </c>
      <c r="G200" s="5125" t="s">
        <v>24</v>
      </c>
      <c r="H200" s="5125" t="s">
        <v>24</v>
      </c>
      <c r="I200" s="5125" t="s">
        <v>934</v>
      </c>
    </row>
    <row r="201" spans="1:9" ht="11.25" customHeight="1">
      <c r="A201" s="5125" t="s">
        <v>2300</v>
      </c>
      <c r="B201" s="5125" t="s">
        <v>14</v>
      </c>
      <c r="C201" s="5125" t="s">
        <v>2602</v>
      </c>
      <c r="D201" s="5125" t="s">
        <v>2603</v>
      </c>
      <c r="E201" s="5125" t="s">
        <v>2604</v>
      </c>
      <c r="F201" s="5125" t="s">
        <v>2601</v>
      </c>
      <c r="G201" s="5125" t="s">
        <v>24</v>
      </c>
      <c r="H201" s="5125" t="s">
        <v>24</v>
      </c>
      <c r="I201" s="5125" t="s">
        <v>934</v>
      </c>
    </row>
    <row r="202" spans="1:9" ht="11.25" customHeight="1">
      <c r="A202" s="5125" t="s">
        <v>2300</v>
      </c>
      <c r="B202" s="5125" t="s">
        <v>14</v>
      </c>
      <c r="C202" s="5125" t="s">
        <v>2605</v>
      </c>
      <c r="D202" s="5125" t="s">
        <v>2606</v>
      </c>
      <c r="E202" s="5125" t="s">
        <v>2607</v>
      </c>
      <c r="F202" s="5125" t="s">
        <v>2596</v>
      </c>
      <c r="G202" s="5125" t="s">
        <v>2608</v>
      </c>
      <c r="H202" s="5125" t="s">
        <v>24</v>
      </c>
      <c r="I202" s="5125" t="s">
        <v>934</v>
      </c>
    </row>
    <row r="203" spans="1:9" ht="11.25" customHeight="1">
      <c r="A203" s="5125" t="s">
        <v>2300</v>
      </c>
      <c r="B203" s="5125" t="s">
        <v>14</v>
      </c>
      <c r="C203" s="5125" t="s">
        <v>2609</v>
      </c>
      <c r="D203" s="5125" t="s">
        <v>2610</v>
      </c>
      <c r="E203" s="5125" t="s">
        <v>2611</v>
      </c>
      <c r="F203" s="5125" t="s">
        <v>2400</v>
      </c>
      <c r="G203" s="5125" t="s">
        <v>2612</v>
      </c>
      <c r="H203" s="5125" t="s">
        <v>24</v>
      </c>
      <c r="I203" s="5125" t="s">
        <v>934</v>
      </c>
    </row>
    <row r="204" spans="1:9" ht="11.25" customHeight="1">
      <c r="A204" s="5125" t="s">
        <v>2300</v>
      </c>
      <c r="B204" s="5125" t="s">
        <v>14</v>
      </c>
      <c r="C204" s="5125" t="s">
        <v>2486</v>
      </c>
      <c r="D204" s="5125" t="s">
        <v>2487</v>
      </c>
      <c r="E204" s="5125" t="s">
        <v>2488</v>
      </c>
      <c r="F204" s="5125" t="s">
        <v>2489</v>
      </c>
      <c r="G204" s="5125" t="s">
        <v>2490</v>
      </c>
      <c r="H204" s="5125" t="s">
        <v>24</v>
      </c>
      <c r="I204" s="5125" t="s">
        <v>934</v>
      </c>
    </row>
    <row r="205" spans="1:9" ht="11.25" customHeight="1">
      <c r="A205" s="5125" t="s">
        <v>2300</v>
      </c>
      <c r="B205" s="5125" t="s">
        <v>14</v>
      </c>
      <c r="C205" s="5125" t="s">
        <v>2613</v>
      </c>
      <c r="D205" s="5125" t="s">
        <v>2614</v>
      </c>
      <c r="E205" s="5125" t="s">
        <v>2615</v>
      </c>
      <c r="F205" s="5125" t="s">
        <v>2469</v>
      </c>
      <c r="G205" s="5125" t="s">
        <v>24</v>
      </c>
      <c r="H205" s="5125" t="s">
        <v>24</v>
      </c>
      <c r="I205" s="5125" t="s">
        <v>934</v>
      </c>
    </row>
    <row r="206" spans="1:9" ht="11.25" customHeight="1">
      <c r="A206" s="5125" t="s">
        <v>2300</v>
      </c>
      <c r="B206" s="5125" t="s">
        <v>14</v>
      </c>
      <c r="C206" s="5125" t="s">
        <v>2616</v>
      </c>
      <c r="D206" s="5125" t="s">
        <v>2617</v>
      </c>
      <c r="E206" s="5125" t="s">
        <v>2618</v>
      </c>
      <c r="F206" s="5125" t="s">
        <v>2516</v>
      </c>
      <c r="G206" s="5125" t="s">
        <v>2619</v>
      </c>
      <c r="H206" s="5125" t="s">
        <v>2620</v>
      </c>
      <c r="I206" s="5125" t="s">
        <v>934</v>
      </c>
    </row>
    <row r="207" spans="1:9" ht="11.25" customHeight="1">
      <c r="A207" s="5125" t="s">
        <v>2300</v>
      </c>
      <c r="B207" s="5125" t="s">
        <v>14</v>
      </c>
      <c r="C207" s="5125" t="s">
        <v>2501</v>
      </c>
      <c r="D207" s="5125" t="s">
        <v>2502</v>
      </c>
      <c r="E207" s="5125" t="s">
        <v>2503</v>
      </c>
      <c r="F207" s="5125" t="s">
        <v>2416</v>
      </c>
      <c r="G207" s="5125" t="s">
        <v>2504</v>
      </c>
      <c r="H207" s="5125" t="s">
        <v>24</v>
      </c>
      <c r="I207" s="5125" t="s">
        <v>934</v>
      </c>
    </row>
    <row r="208" spans="1:9" ht="11.25" customHeight="1">
      <c r="A208" s="5125" t="s">
        <v>2300</v>
      </c>
      <c r="B208" s="5125" t="s">
        <v>14</v>
      </c>
      <c r="C208" s="5125" t="s">
        <v>2621</v>
      </c>
      <c r="D208" s="5125" t="s">
        <v>2622</v>
      </c>
      <c r="E208" s="5125" t="s">
        <v>2623</v>
      </c>
      <c r="F208" s="5125" t="s">
        <v>2312</v>
      </c>
      <c r="G208" s="5125" t="s">
        <v>24</v>
      </c>
      <c r="H208" s="5125" t="s">
        <v>2624</v>
      </c>
      <c r="I208" s="5125" t="s">
        <v>934</v>
      </c>
    </row>
    <row r="209" spans="1:9" ht="11.25" customHeight="1">
      <c r="A209" s="5125" t="s">
        <v>2300</v>
      </c>
      <c r="B209" s="5125" t="s">
        <v>14</v>
      </c>
      <c r="C209" s="5125" t="s">
        <v>2629</v>
      </c>
      <c r="D209" s="5125" t="s">
        <v>2630</v>
      </c>
      <c r="E209" s="5125" t="s">
        <v>2631</v>
      </c>
      <c r="F209" s="5125" t="s">
        <v>2632</v>
      </c>
      <c r="G209" s="5125" t="s">
        <v>2633</v>
      </c>
      <c r="H209" s="5125" t="s">
        <v>24</v>
      </c>
      <c r="I209" s="5125" t="s">
        <v>934</v>
      </c>
    </row>
    <row r="210" spans="1:9" ht="11.25" customHeight="1">
      <c r="A210" s="5125" t="s">
        <v>2300</v>
      </c>
      <c r="B210" s="5125" t="s">
        <v>14</v>
      </c>
      <c r="C210" s="5125" t="s">
        <v>2523</v>
      </c>
      <c r="D210" s="5125" t="s">
        <v>2524</v>
      </c>
      <c r="E210" s="5125" t="s">
        <v>2525</v>
      </c>
      <c r="F210" s="5125" t="s">
        <v>2526</v>
      </c>
      <c r="G210" s="5125" t="s">
        <v>2527</v>
      </c>
      <c r="H210" s="5125" t="s">
        <v>24</v>
      </c>
      <c r="I210" s="5125" t="s">
        <v>934</v>
      </c>
    </row>
    <row r="211" spans="1:9" ht="11.25" customHeight="1">
      <c r="A211" s="5125" t="s">
        <v>2300</v>
      </c>
      <c r="B211" s="5125" t="s">
        <v>14</v>
      </c>
      <c r="C211" s="5125" t="s">
        <v>2532</v>
      </c>
      <c r="D211" s="5125" t="s">
        <v>2533</v>
      </c>
      <c r="E211" s="5125" t="s">
        <v>2525</v>
      </c>
      <c r="F211" s="5125" t="s">
        <v>2534</v>
      </c>
      <c r="G211" s="5125" t="s">
        <v>2535</v>
      </c>
      <c r="H211" s="5125" t="s">
        <v>24</v>
      </c>
      <c r="I211" s="5125" t="s">
        <v>934</v>
      </c>
    </row>
    <row r="212" spans="1:9" ht="11.25" customHeight="1">
      <c r="A212" s="5125" t="s">
        <v>2300</v>
      </c>
      <c r="B212" s="5125" t="s">
        <v>14</v>
      </c>
      <c r="C212" s="5125" t="s">
        <v>2536</v>
      </c>
      <c r="D212" s="5125" t="s">
        <v>2537</v>
      </c>
      <c r="E212" s="5125" t="s">
        <v>2538</v>
      </c>
      <c r="F212" s="5125" t="s">
        <v>2539</v>
      </c>
      <c r="G212" s="5125" t="s">
        <v>24</v>
      </c>
      <c r="H212" s="5125" t="s">
        <v>24</v>
      </c>
      <c r="I212" s="5125" t="s">
        <v>934</v>
      </c>
    </row>
    <row r="213" spans="1:9" ht="11.25" customHeight="1">
      <c r="A213" s="5125" t="s">
        <v>2300</v>
      </c>
      <c r="B213" s="5125" t="s">
        <v>14</v>
      </c>
      <c r="C213" s="5125" t="s">
        <v>2634</v>
      </c>
      <c r="D213" s="5125" t="s">
        <v>2635</v>
      </c>
      <c r="E213" s="5125" t="s">
        <v>2636</v>
      </c>
      <c r="F213" s="5125" t="s">
        <v>2637</v>
      </c>
      <c r="G213" s="5125" t="s">
        <v>24</v>
      </c>
      <c r="H213" s="5125" t="s">
        <v>24</v>
      </c>
      <c r="I213" s="5125" t="s">
        <v>934</v>
      </c>
    </row>
    <row r="214" spans="1:9" ht="11.25" customHeight="1">
      <c r="A214" s="5125" t="s">
        <v>2300</v>
      </c>
      <c r="B214" s="5125" t="s">
        <v>14</v>
      </c>
      <c r="C214" s="5125" t="s">
        <v>2548</v>
      </c>
      <c r="D214" s="5125" t="s">
        <v>2549</v>
      </c>
      <c r="E214" s="5125" t="s">
        <v>2550</v>
      </c>
      <c r="F214" s="5125" t="s">
        <v>2479</v>
      </c>
      <c r="G214" s="5125" t="s">
        <v>24</v>
      </c>
      <c r="H214" s="5125" t="s">
        <v>24</v>
      </c>
      <c r="I214" s="5125" t="s">
        <v>934</v>
      </c>
    </row>
    <row r="215" spans="1:9" ht="11.25" customHeight="1">
      <c r="A215" s="5125" t="s">
        <v>2300</v>
      </c>
      <c r="B215" s="5125" t="s">
        <v>14</v>
      </c>
      <c r="C215" s="5125" t="s">
        <v>2313</v>
      </c>
      <c r="D215" s="5125" t="s">
        <v>2314</v>
      </c>
      <c r="E215" s="5125" t="s">
        <v>2315</v>
      </c>
      <c r="F215" s="5125" t="s">
        <v>51</v>
      </c>
      <c r="G215" s="5125" t="s">
        <v>2316</v>
      </c>
      <c r="H215" s="5125" t="s">
        <v>24</v>
      </c>
      <c r="I215" s="5125" t="s">
        <v>1742</v>
      </c>
    </row>
    <row r="216" spans="1:9" ht="11.25" customHeight="1">
      <c r="A216" s="5125" t="s">
        <v>2300</v>
      </c>
      <c r="B216" s="5125" t="s">
        <v>14</v>
      </c>
      <c r="C216" s="5125" t="s">
        <v>24</v>
      </c>
      <c r="D216" s="5125" t="s">
        <v>2380</v>
      </c>
      <c r="E216" s="5125" t="s">
        <v>2381</v>
      </c>
      <c r="F216" s="5125" t="s">
        <v>51</v>
      </c>
      <c r="G216" s="5125" t="s">
        <v>24</v>
      </c>
      <c r="H216" s="5125" t="s">
        <v>24</v>
      </c>
      <c r="I216" s="5125" t="s">
        <v>1742</v>
      </c>
    </row>
    <row r="217" spans="1:9" ht="11.25" customHeight="1">
      <c r="A217" s="5125" t="s">
        <v>2300</v>
      </c>
      <c r="B217" s="5125" t="s">
        <v>14</v>
      </c>
      <c r="C217" s="5125" t="s">
        <v>2638</v>
      </c>
      <c r="D217" s="5125" t="s">
        <v>2639</v>
      </c>
      <c r="E217" s="5125" t="s">
        <v>2640</v>
      </c>
      <c r="F217" s="5125" t="s">
        <v>2328</v>
      </c>
      <c r="G217" s="5125" t="s">
        <v>24</v>
      </c>
      <c r="H217" s="5125" t="s">
        <v>2641</v>
      </c>
      <c r="I217" s="5125" t="s">
        <v>1742</v>
      </c>
    </row>
    <row r="218" spans="1:9" ht="11.25" customHeight="1">
      <c r="A218" s="5125" t="s">
        <v>2300</v>
      </c>
      <c r="B218" s="5125" t="s">
        <v>14</v>
      </c>
      <c r="C218" s="5125" t="s">
        <v>2406</v>
      </c>
      <c r="D218" s="5125" t="s">
        <v>2407</v>
      </c>
      <c r="E218" s="5125" t="s">
        <v>2408</v>
      </c>
      <c r="F218" s="5125" t="s">
        <v>2346</v>
      </c>
      <c r="G218" s="5125" t="s">
        <v>24</v>
      </c>
      <c r="H218" s="5125" t="s">
        <v>24</v>
      </c>
      <c r="I218" s="5125" t="s">
        <v>1742</v>
      </c>
    </row>
    <row r="219" spans="1:9" ht="11.25" customHeight="1">
      <c r="A219" s="5125" t="s">
        <v>2300</v>
      </c>
      <c r="B219" s="5125" t="s">
        <v>14</v>
      </c>
      <c r="C219" s="5125" t="s">
        <v>2466</v>
      </c>
      <c r="D219" s="5125" t="s">
        <v>2467</v>
      </c>
      <c r="E219" s="5125" t="s">
        <v>2468</v>
      </c>
      <c r="F219" s="5125" t="s">
        <v>2469</v>
      </c>
      <c r="G219" s="5125" t="s">
        <v>2470</v>
      </c>
      <c r="H219" s="5125" t="s">
        <v>24</v>
      </c>
      <c r="I219" s="5125" t="s">
        <v>1742</v>
      </c>
    </row>
    <row r="220" spans="1:9" ht="11.25" customHeight="1">
      <c r="A220" s="5125" t="s">
        <v>2300</v>
      </c>
      <c r="B220" s="5125" t="s">
        <v>14</v>
      </c>
      <c r="C220" s="5125" t="s">
        <v>2642</v>
      </c>
      <c r="D220" s="5125" t="s">
        <v>2643</v>
      </c>
      <c r="E220" s="5125" t="s">
        <v>2644</v>
      </c>
      <c r="F220" s="5125" t="s">
        <v>2543</v>
      </c>
      <c r="G220" s="5125" t="s">
        <v>24</v>
      </c>
      <c r="H220" s="5125" t="s">
        <v>24</v>
      </c>
      <c r="I220" s="5125" t="s">
        <v>1742</v>
      </c>
    </row>
    <row r="221" spans="1:9" ht="11.25" customHeight="1">
      <c r="A221" s="5125" t="s">
        <v>2300</v>
      </c>
      <c r="B221" s="5125" t="s">
        <v>14</v>
      </c>
      <c r="C221" s="5125" t="s">
        <v>2645</v>
      </c>
      <c r="D221" s="5125" t="s">
        <v>2646</v>
      </c>
      <c r="E221" s="5125" t="s">
        <v>2647</v>
      </c>
      <c r="F221" s="5125" t="s">
        <v>2400</v>
      </c>
      <c r="G221" s="5125" t="s">
        <v>24</v>
      </c>
      <c r="H221" s="5125" t="s">
        <v>24</v>
      </c>
      <c r="I221" s="5125" t="s">
        <v>1742</v>
      </c>
    </row>
    <row r="222" spans="1:9" ht="11.25" customHeight="1">
      <c r="A222" s="5125" t="s">
        <v>2300</v>
      </c>
      <c r="B222" s="5125" t="s">
        <v>14</v>
      </c>
      <c r="C222" s="5125" t="s">
        <v>2648</v>
      </c>
      <c r="D222" s="5125" t="s">
        <v>2649</v>
      </c>
      <c r="E222" s="5125" t="s">
        <v>2650</v>
      </c>
      <c r="F222" s="5125" t="s">
        <v>2416</v>
      </c>
      <c r="G222" s="5125" t="s">
        <v>24</v>
      </c>
      <c r="H222" s="5125" t="s">
        <v>24</v>
      </c>
      <c r="I222" s="5125" t="s">
        <v>1742</v>
      </c>
    </row>
    <row r="223" spans="1:9" ht="11.25" customHeight="1">
      <c r="A223" s="5125" t="s">
        <v>2300</v>
      </c>
      <c r="B223" s="5125" t="s">
        <v>14</v>
      </c>
      <c r="C223" s="5125" t="s">
        <v>2651</v>
      </c>
      <c r="D223" s="5125" t="s">
        <v>2652</v>
      </c>
      <c r="E223" s="5125" t="s">
        <v>2653</v>
      </c>
      <c r="F223" s="5125" t="s">
        <v>2454</v>
      </c>
      <c r="G223" s="5125" t="s">
        <v>24</v>
      </c>
      <c r="H223" s="5125" t="s">
        <v>24</v>
      </c>
      <c r="I223" s="5125" t="s">
        <v>1742</v>
      </c>
    </row>
    <row r="224" spans="1:9" ht="11.25" customHeight="1">
      <c r="A224" s="5125" t="s">
        <v>2300</v>
      </c>
      <c r="B224" s="5125" t="s">
        <v>14</v>
      </c>
      <c r="C224" s="5125" t="s">
        <v>2654</v>
      </c>
      <c r="D224" s="5125" t="s">
        <v>2655</v>
      </c>
      <c r="E224" s="5125" t="s">
        <v>2656</v>
      </c>
      <c r="F224" s="5125" t="s">
        <v>51</v>
      </c>
      <c r="G224" s="5125" t="s">
        <v>24</v>
      </c>
      <c r="H224" s="5125" t="s">
        <v>24</v>
      </c>
      <c r="I224" s="5125" t="s">
        <v>1742</v>
      </c>
    </row>
    <row r="225" spans="1:9" ht="11.25" customHeight="1">
      <c r="A225" s="5125" t="s">
        <v>2300</v>
      </c>
      <c r="B225" s="5125" t="s">
        <v>14</v>
      </c>
      <c r="C225" s="5125" t="s">
        <v>2657</v>
      </c>
      <c r="D225" s="5125" t="s">
        <v>2658</v>
      </c>
      <c r="E225" s="5125" t="s">
        <v>2659</v>
      </c>
      <c r="F225" s="5125" t="s">
        <v>2346</v>
      </c>
      <c r="G225" s="5125" t="s">
        <v>24</v>
      </c>
      <c r="H225" s="5125" t="s">
        <v>24</v>
      </c>
      <c r="I225" s="5125" t="s">
        <v>1742</v>
      </c>
    </row>
    <row r="226" spans="1:9" ht="11.25" customHeight="1">
      <c r="A226" s="5125" t="s">
        <v>2300</v>
      </c>
      <c r="B226" s="5125" t="s">
        <v>14</v>
      </c>
      <c r="C226" s="5125" t="s">
        <v>2660</v>
      </c>
      <c r="D226" s="5125" t="s">
        <v>2661</v>
      </c>
      <c r="E226" s="5125" t="s">
        <v>2662</v>
      </c>
      <c r="F226" s="5125" t="s">
        <v>2355</v>
      </c>
      <c r="G226" s="5125" t="s">
        <v>24</v>
      </c>
      <c r="H226" s="5125" t="s">
        <v>24</v>
      </c>
      <c r="I226" s="5125" t="s">
        <v>1742</v>
      </c>
    </row>
    <row r="227" spans="1:9" ht="11.25" customHeight="1">
      <c r="A227" s="5125" t="s">
        <v>2300</v>
      </c>
      <c r="B227" s="5125" t="s">
        <v>14</v>
      </c>
      <c r="C227" s="5125" t="s">
        <v>2663</v>
      </c>
      <c r="D227" s="5125" t="s">
        <v>2664</v>
      </c>
      <c r="E227" s="5125" t="s">
        <v>2665</v>
      </c>
      <c r="F227" s="5125" t="s">
        <v>2666</v>
      </c>
      <c r="G227" s="5125" t="s">
        <v>24</v>
      </c>
      <c r="H227" s="5125" t="s">
        <v>24</v>
      </c>
      <c r="I227" s="5125" t="s">
        <v>1742</v>
      </c>
    </row>
    <row r="228" spans="1:9" ht="11.25" customHeight="1">
      <c r="A228" s="5125" t="s">
        <v>2300</v>
      </c>
      <c r="B228" s="5125" t="s">
        <v>14</v>
      </c>
      <c r="C228" s="5125" t="s">
        <v>2667</v>
      </c>
      <c r="D228" s="5125" t="s">
        <v>2668</v>
      </c>
      <c r="E228" s="5125" t="s">
        <v>2669</v>
      </c>
      <c r="F228" s="5125" t="s">
        <v>2385</v>
      </c>
      <c r="G228" s="5125" t="s">
        <v>24</v>
      </c>
      <c r="H228" s="5125" t="s">
        <v>24</v>
      </c>
      <c r="I228" s="5125" t="s">
        <v>1742</v>
      </c>
    </row>
    <row r="229" spans="1:9" ht="11.25" customHeight="1">
      <c r="A229" s="5125" t="s">
        <v>2300</v>
      </c>
      <c r="B229" s="5125" t="s">
        <v>14</v>
      </c>
      <c r="C229" s="5125" t="s">
        <v>2670</v>
      </c>
      <c r="D229" s="5125" t="s">
        <v>2671</v>
      </c>
      <c r="E229" s="5125" t="s">
        <v>2672</v>
      </c>
      <c r="F229" s="5125" t="s">
        <v>2405</v>
      </c>
      <c r="G229" s="5125" t="s">
        <v>2673</v>
      </c>
      <c r="H229" s="5125" t="s">
        <v>24</v>
      </c>
      <c r="I229" s="5125" t="s">
        <v>1742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5101"/>
  </cols>
  <sheetData>
    <row r="1" spans="1:7" ht="11.25" customHeight="1">
      <c r="A1" s="300" t="s">
        <v>2674</v>
      </c>
      <c r="B1" s="1" t="s">
        <v>2675</v>
      </c>
      <c r="C1" s="1" t="s">
        <v>2676</v>
      </c>
      <c r="D1" s="1" t="s">
        <v>2677</v>
      </c>
      <c r="E1" t="s">
        <v>2678</v>
      </c>
      <c r="F1" t="s">
        <v>2679</v>
      </c>
      <c r="G1" t="s">
        <v>2680</v>
      </c>
    </row>
    <row r="2" spans="1:7" ht="11.25" customHeight="1">
      <c r="A2" s="300" t="s">
        <v>14</v>
      </c>
      <c r="B2" t="s">
        <v>2681</v>
      </c>
      <c r="C2" t="s">
        <v>2682</v>
      </c>
      <c r="D2" t="s">
        <v>2681</v>
      </c>
      <c r="E2" t="s">
        <v>2682</v>
      </c>
      <c r="F2" t="s">
        <v>2683</v>
      </c>
      <c r="G2" t="s">
        <v>114</v>
      </c>
    </row>
    <row r="3" spans="1:7" ht="11.25" customHeight="1">
      <c r="A3" s="300" t="s">
        <v>14</v>
      </c>
      <c r="B3" t="s">
        <v>2684</v>
      </c>
      <c r="C3" t="s">
        <v>2685</v>
      </c>
      <c r="D3" t="s">
        <v>2684</v>
      </c>
      <c r="E3" t="s">
        <v>2685</v>
      </c>
      <c r="F3" t="s">
        <v>2683</v>
      </c>
      <c r="G3" t="s">
        <v>98</v>
      </c>
    </row>
    <row r="4" spans="1:7" ht="11.25" customHeight="1">
      <c r="A4" s="300" t="s">
        <v>14</v>
      </c>
      <c r="B4" t="s">
        <v>2686</v>
      </c>
      <c r="C4" t="s">
        <v>2687</v>
      </c>
      <c r="D4" t="s">
        <v>2686</v>
      </c>
      <c r="E4" t="s">
        <v>2687</v>
      </c>
      <c r="F4" t="s">
        <v>2683</v>
      </c>
      <c r="G4" t="s">
        <v>85</v>
      </c>
    </row>
    <row r="5" spans="1:7" ht="11.25" customHeight="1">
      <c r="A5" s="300" t="s">
        <v>14</v>
      </c>
      <c r="B5" t="s">
        <v>2688</v>
      </c>
      <c r="C5" t="s">
        <v>2689</v>
      </c>
      <c r="D5" t="s">
        <v>2688</v>
      </c>
      <c r="E5" t="s">
        <v>2689</v>
      </c>
      <c r="F5" t="s">
        <v>2683</v>
      </c>
      <c r="G5" t="s">
        <v>86</v>
      </c>
    </row>
    <row r="6" spans="1:7" ht="11.25" customHeight="1">
      <c r="A6" s="300" t="s">
        <v>14</v>
      </c>
      <c r="B6" t="s">
        <v>2690</v>
      </c>
      <c r="C6" t="s">
        <v>2691</v>
      </c>
      <c r="D6" t="s">
        <v>2690</v>
      </c>
      <c r="E6" t="s">
        <v>2691</v>
      </c>
      <c r="F6" t="s">
        <v>2683</v>
      </c>
      <c r="G6" t="s">
        <v>115</v>
      </c>
    </row>
    <row r="7" spans="1:7" ht="11.25" customHeight="1">
      <c r="A7" s="300" t="s">
        <v>14</v>
      </c>
      <c r="B7" t="s">
        <v>2692</v>
      </c>
      <c r="C7" t="s">
        <v>2693</v>
      </c>
      <c r="D7" t="s">
        <v>2694</v>
      </c>
      <c r="E7" t="s">
        <v>2695</v>
      </c>
      <c r="F7" t="s">
        <v>2696</v>
      </c>
      <c r="G7" t="s">
        <v>87</v>
      </c>
    </row>
    <row r="8" spans="1:7" ht="11.25" customHeight="1">
      <c r="A8" s="300" t="s">
        <v>14</v>
      </c>
      <c r="B8" t="s">
        <v>2692</v>
      </c>
      <c r="C8" t="s">
        <v>2693</v>
      </c>
      <c r="D8" t="s">
        <v>2697</v>
      </c>
      <c r="E8" t="s">
        <v>2698</v>
      </c>
      <c r="F8" t="s">
        <v>2699</v>
      </c>
      <c r="G8" t="s">
        <v>88</v>
      </c>
    </row>
    <row r="9" spans="1:7" ht="11.25" customHeight="1">
      <c r="A9" s="300" t="s">
        <v>14</v>
      </c>
      <c r="B9" t="s">
        <v>2692</v>
      </c>
      <c r="C9" t="s">
        <v>2693</v>
      </c>
      <c r="D9" t="s">
        <v>2700</v>
      </c>
      <c r="E9" t="s">
        <v>2701</v>
      </c>
      <c r="F9" t="s">
        <v>2696</v>
      </c>
      <c r="G9" t="s">
        <v>116</v>
      </c>
    </row>
    <row r="10" spans="1:7" ht="11.25" customHeight="1">
      <c r="A10" s="300" t="s">
        <v>14</v>
      </c>
      <c r="B10" t="s">
        <v>2692</v>
      </c>
      <c r="C10" t="s">
        <v>2693</v>
      </c>
      <c r="D10" t="s">
        <v>2692</v>
      </c>
      <c r="E10" t="s">
        <v>2693</v>
      </c>
      <c r="F10" t="s">
        <v>2702</v>
      </c>
      <c r="G10" t="s">
        <v>152</v>
      </c>
    </row>
    <row r="11" spans="1:7" ht="11.25" customHeight="1">
      <c r="A11" s="300" t="s">
        <v>14</v>
      </c>
      <c r="B11" t="s">
        <v>2692</v>
      </c>
      <c r="C11" t="s">
        <v>2693</v>
      </c>
      <c r="D11" t="s">
        <v>2703</v>
      </c>
      <c r="E11" t="s">
        <v>2704</v>
      </c>
      <c r="F11" t="s">
        <v>2705</v>
      </c>
      <c r="G11" t="s">
        <v>153</v>
      </c>
    </row>
    <row r="12" spans="1:7" ht="11.25" customHeight="1">
      <c r="A12" s="300" t="s">
        <v>14</v>
      </c>
      <c r="B12" t="s">
        <v>2706</v>
      </c>
      <c r="C12" t="s">
        <v>2707</v>
      </c>
      <c r="D12" t="s">
        <v>2706</v>
      </c>
      <c r="E12" t="s">
        <v>2707</v>
      </c>
      <c r="F12" t="s">
        <v>2708</v>
      </c>
      <c r="G12" t="s">
        <v>154</v>
      </c>
    </row>
    <row r="13" spans="1:7" ht="11.25" customHeight="1">
      <c r="A13" s="300" t="s">
        <v>14</v>
      </c>
      <c r="B13" t="s">
        <v>2709</v>
      </c>
      <c r="C13" t="s">
        <v>2710</v>
      </c>
      <c r="D13" t="s">
        <v>2709</v>
      </c>
      <c r="E13" t="s">
        <v>2710</v>
      </c>
      <c r="F13" t="s">
        <v>2702</v>
      </c>
      <c r="G13" t="s">
        <v>155</v>
      </c>
    </row>
    <row r="14" spans="1:7" ht="11.25" customHeight="1">
      <c r="A14" s="300" t="s">
        <v>14</v>
      </c>
      <c r="B14" t="s">
        <v>2709</v>
      </c>
      <c r="C14" t="s">
        <v>2710</v>
      </c>
      <c r="D14" t="s">
        <v>2711</v>
      </c>
      <c r="E14" t="s">
        <v>2712</v>
      </c>
      <c r="F14" t="s">
        <v>2696</v>
      </c>
      <c r="G14" t="s">
        <v>156</v>
      </c>
    </row>
    <row r="15" spans="1:7" ht="11.25" customHeight="1">
      <c r="A15" s="300" t="s">
        <v>14</v>
      </c>
      <c r="B15" t="s">
        <v>2709</v>
      </c>
      <c r="C15" t="s">
        <v>2710</v>
      </c>
      <c r="D15" t="s">
        <v>2713</v>
      </c>
      <c r="E15" t="s">
        <v>2714</v>
      </c>
      <c r="F15" t="s">
        <v>2705</v>
      </c>
      <c r="G15" t="s">
        <v>157</v>
      </c>
    </row>
    <row r="16" spans="1:7" ht="11.25" customHeight="1">
      <c r="A16" s="300" t="s">
        <v>14</v>
      </c>
      <c r="B16" t="s">
        <v>2709</v>
      </c>
      <c r="C16" t="s">
        <v>2710</v>
      </c>
      <c r="D16" t="s">
        <v>2715</v>
      </c>
      <c r="E16" t="s">
        <v>2716</v>
      </c>
      <c r="F16" t="s">
        <v>2705</v>
      </c>
      <c r="G16" t="s">
        <v>1589</v>
      </c>
    </row>
    <row r="17" spans="1:7" ht="11.25" customHeight="1">
      <c r="A17" s="300" t="s">
        <v>14</v>
      </c>
      <c r="B17" t="s">
        <v>2709</v>
      </c>
      <c r="C17" t="s">
        <v>2710</v>
      </c>
      <c r="D17" t="s">
        <v>2717</v>
      </c>
      <c r="E17" t="s">
        <v>2718</v>
      </c>
      <c r="F17" t="s">
        <v>2705</v>
      </c>
      <c r="G17" t="s">
        <v>1595</v>
      </c>
    </row>
    <row r="18" spans="1:7" ht="11.25" customHeight="1">
      <c r="A18" s="300" t="s">
        <v>14</v>
      </c>
      <c r="B18" t="s">
        <v>2709</v>
      </c>
      <c r="C18" t="s">
        <v>2710</v>
      </c>
      <c r="D18" t="s">
        <v>2719</v>
      </c>
      <c r="E18" t="s">
        <v>2720</v>
      </c>
      <c r="F18" t="s">
        <v>2705</v>
      </c>
      <c r="G18" t="s">
        <v>1606</v>
      </c>
    </row>
    <row r="19" spans="1:7" ht="11.25" customHeight="1">
      <c r="A19" s="300" t="s">
        <v>14</v>
      </c>
      <c r="B19" t="s">
        <v>2709</v>
      </c>
      <c r="C19" t="s">
        <v>2710</v>
      </c>
      <c r="D19" t="s">
        <v>2721</v>
      </c>
      <c r="E19" t="s">
        <v>2722</v>
      </c>
      <c r="F19" t="s">
        <v>2696</v>
      </c>
      <c r="G19" t="s">
        <v>1620</v>
      </c>
    </row>
    <row r="20" spans="1:7" ht="11.25" customHeight="1">
      <c r="A20" s="300" t="s">
        <v>14</v>
      </c>
      <c r="B20" t="s">
        <v>2709</v>
      </c>
      <c r="C20" t="s">
        <v>2710</v>
      </c>
      <c r="D20" t="s">
        <v>2723</v>
      </c>
      <c r="E20" t="s">
        <v>2724</v>
      </c>
      <c r="F20" t="s">
        <v>2696</v>
      </c>
      <c r="G20" t="s">
        <v>1632</v>
      </c>
    </row>
    <row r="21" spans="1:7" ht="11.25" customHeight="1">
      <c r="A21" s="300" t="s">
        <v>14</v>
      </c>
      <c r="B21" t="s">
        <v>2709</v>
      </c>
      <c r="C21" t="s">
        <v>2710</v>
      </c>
      <c r="D21" t="s">
        <v>2725</v>
      </c>
      <c r="E21" t="s">
        <v>2726</v>
      </c>
      <c r="F21" t="s">
        <v>2696</v>
      </c>
      <c r="G21" t="s">
        <v>1641</v>
      </c>
    </row>
    <row r="22" spans="1:7" ht="11.25" customHeight="1">
      <c r="A22" s="300" t="s">
        <v>14</v>
      </c>
      <c r="B22" t="s">
        <v>2709</v>
      </c>
      <c r="C22" t="s">
        <v>2710</v>
      </c>
      <c r="D22" t="s">
        <v>2727</v>
      </c>
      <c r="E22" t="s">
        <v>2728</v>
      </c>
      <c r="F22" t="s">
        <v>2699</v>
      </c>
      <c r="G22" t="s">
        <v>1657</v>
      </c>
    </row>
    <row r="23" spans="1:7" ht="11.25" customHeight="1">
      <c r="A23" s="300" t="s">
        <v>14</v>
      </c>
      <c r="B23" t="s">
        <v>2709</v>
      </c>
      <c r="C23" t="s">
        <v>2710</v>
      </c>
      <c r="D23" t="s">
        <v>2729</v>
      </c>
      <c r="E23" t="s">
        <v>2730</v>
      </c>
      <c r="F23" t="s">
        <v>2705</v>
      </c>
      <c r="G23" t="s">
        <v>1664</v>
      </c>
    </row>
    <row r="24" spans="1:7" ht="11.25" customHeight="1">
      <c r="A24" s="300" t="s">
        <v>14</v>
      </c>
      <c r="B24" t="s">
        <v>2709</v>
      </c>
      <c r="C24" t="s">
        <v>2710</v>
      </c>
      <c r="D24" t="s">
        <v>2731</v>
      </c>
      <c r="E24" t="s">
        <v>2732</v>
      </c>
      <c r="F24" t="s">
        <v>2696</v>
      </c>
      <c r="G24" t="s">
        <v>1672</v>
      </c>
    </row>
    <row r="25" spans="1:7" ht="11.25" customHeight="1">
      <c r="A25" s="300" t="s">
        <v>14</v>
      </c>
      <c r="B25" t="s">
        <v>2733</v>
      </c>
      <c r="C25" t="s">
        <v>2734</v>
      </c>
      <c r="D25" t="s">
        <v>2733</v>
      </c>
      <c r="E25" t="s">
        <v>2734</v>
      </c>
      <c r="F25" t="s">
        <v>2702</v>
      </c>
      <c r="G25" t="s">
        <v>1679</v>
      </c>
    </row>
    <row r="26" spans="1:7" ht="11.25" customHeight="1">
      <c r="A26" s="300" t="s">
        <v>14</v>
      </c>
      <c r="B26" t="s">
        <v>2733</v>
      </c>
      <c r="C26" t="s">
        <v>2734</v>
      </c>
      <c r="D26" t="s">
        <v>2735</v>
      </c>
      <c r="E26" t="s">
        <v>2736</v>
      </c>
      <c r="F26" t="s">
        <v>2705</v>
      </c>
      <c r="G26" t="s">
        <v>1683</v>
      </c>
    </row>
    <row r="27" spans="1:7" ht="11.25" customHeight="1">
      <c r="A27" s="300" t="s">
        <v>14</v>
      </c>
      <c r="B27" t="s">
        <v>2733</v>
      </c>
      <c r="C27" t="s">
        <v>2734</v>
      </c>
      <c r="D27" t="s">
        <v>2737</v>
      </c>
      <c r="E27" t="s">
        <v>2738</v>
      </c>
      <c r="F27" t="s">
        <v>2696</v>
      </c>
      <c r="G27" t="s">
        <v>1688</v>
      </c>
    </row>
    <row r="28" spans="1:7" ht="11.25" customHeight="1">
      <c r="A28" s="300" t="s">
        <v>14</v>
      </c>
      <c r="B28" t="s">
        <v>106</v>
      </c>
      <c r="C28" t="s">
        <v>107</v>
      </c>
      <c r="D28" t="s">
        <v>106</v>
      </c>
      <c r="E28" t="s">
        <v>107</v>
      </c>
      <c r="F28" t="s">
        <v>2708</v>
      </c>
      <c r="G28" t="s">
        <v>1696</v>
      </c>
    </row>
    <row r="29" spans="1:7" ht="11.25" customHeight="1">
      <c r="A29" s="300" t="s">
        <v>14</v>
      </c>
      <c r="B29" t="s">
        <v>2739</v>
      </c>
      <c r="C29" t="s">
        <v>2740</v>
      </c>
      <c r="D29" t="s">
        <v>2741</v>
      </c>
      <c r="E29" t="s">
        <v>2742</v>
      </c>
      <c r="F29" t="s">
        <v>2696</v>
      </c>
      <c r="G29" t="s">
        <v>1698</v>
      </c>
    </row>
    <row r="30" spans="1:7" ht="11.25" customHeight="1">
      <c r="A30" s="300" t="s">
        <v>14</v>
      </c>
      <c r="B30" t="s">
        <v>2739</v>
      </c>
      <c r="C30" t="s">
        <v>2740</v>
      </c>
      <c r="D30" t="s">
        <v>2743</v>
      </c>
      <c r="E30" t="s">
        <v>2744</v>
      </c>
      <c r="F30" t="s">
        <v>2705</v>
      </c>
      <c r="G30" t="s">
        <v>1701</v>
      </c>
    </row>
    <row r="31" spans="1:7" ht="11.25" customHeight="1">
      <c r="A31" s="300" t="s">
        <v>14</v>
      </c>
      <c r="B31" t="s">
        <v>2739</v>
      </c>
      <c r="C31" t="s">
        <v>2740</v>
      </c>
      <c r="D31" t="s">
        <v>2739</v>
      </c>
      <c r="E31" t="s">
        <v>2740</v>
      </c>
      <c r="F31" t="s">
        <v>2702</v>
      </c>
      <c r="G31" t="s">
        <v>1706</v>
      </c>
    </row>
    <row r="32" spans="1:7" ht="11.25" customHeight="1">
      <c r="A32" s="300" t="s">
        <v>14</v>
      </c>
      <c r="B32" t="s">
        <v>95</v>
      </c>
      <c r="C32" t="s">
        <v>96</v>
      </c>
      <c r="D32" t="s">
        <v>95</v>
      </c>
      <c r="E32" t="s">
        <v>96</v>
      </c>
      <c r="F32" t="s">
        <v>2708</v>
      </c>
      <c r="G32" t="s">
        <v>1708</v>
      </c>
    </row>
    <row r="33" spans="1:7" ht="11.25" customHeight="1">
      <c r="A33" s="300" t="s">
        <v>14</v>
      </c>
      <c r="B33" t="s">
        <v>102</v>
      </c>
      <c r="C33" t="s">
        <v>103</v>
      </c>
      <c r="D33" t="s">
        <v>102</v>
      </c>
      <c r="E33" t="s">
        <v>103</v>
      </c>
      <c r="F33" t="s">
        <v>2708</v>
      </c>
      <c r="G33" t="s">
        <v>1710</v>
      </c>
    </row>
    <row r="34" spans="1:7" ht="11.25" customHeight="1">
      <c r="A34" s="300" t="s">
        <v>14</v>
      </c>
      <c r="B34" t="s">
        <v>2745</v>
      </c>
      <c r="C34" t="s">
        <v>2746</v>
      </c>
      <c r="D34" t="s">
        <v>2745</v>
      </c>
      <c r="E34" t="s">
        <v>2746</v>
      </c>
      <c r="F34" t="s">
        <v>2708</v>
      </c>
      <c r="G34" t="s">
        <v>105</v>
      </c>
    </row>
    <row r="35" spans="1:7" ht="11.25" customHeight="1">
      <c r="A35" s="300" t="s">
        <v>14</v>
      </c>
      <c r="B35" t="s">
        <v>2747</v>
      </c>
      <c r="C35" t="s">
        <v>2748</v>
      </c>
      <c r="D35" t="s">
        <v>2747</v>
      </c>
      <c r="E35" t="s">
        <v>2748</v>
      </c>
      <c r="F35" t="s">
        <v>2708</v>
      </c>
      <c r="G35" t="s">
        <v>1716</v>
      </c>
    </row>
    <row r="36" spans="1:7" ht="11.25" customHeight="1">
      <c r="A36" s="300" t="s">
        <v>14</v>
      </c>
      <c r="B36" t="s">
        <v>2749</v>
      </c>
      <c r="C36" t="s">
        <v>2750</v>
      </c>
      <c r="D36" t="s">
        <v>2749</v>
      </c>
      <c r="E36" t="s">
        <v>2750</v>
      </c>
      <c r="F36" t="s">
        <v>2708</v>
      </c>
      <c r="G36" t="s">
        <v>1721</v>
      </c>
    </row>
    <row r="37" spans="1:7" ht="11.25" customHeight="1">
      <c r="A37" s="300" t="s">
        <v>14</v>
      </c>
      <c r="B37" t="s">
        <v>2751</v>
      </c>
      <c r="C37" t="s">
        <v>2752</v>
      </c>
      <c r="D37" t="s">
        <v>2751</v>
      </c>
      <c r="E37" t="s">
        <v>2752</v>
      </c>
      <c r="F37" t="s">
        <v>2683</v>
      </c>
      <c r="G37" t="s">
        <v>1725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4"/>
  <sheetViews>
    <sheetView showGridLines="0" workbookViewId="0"/>
  </sheetViews>
  <sheetFormatPr defaultColWidth="9.140625" defaultRowHeight="11.25" customHeight="1"/>
  <cols>
    <col min="1" max="4" width="9.140625" style="5126"/>
  </cols>
  <sheetData>
    <row r="1" spans="1:4" ht="11.25" customHeight="1">
      <c r="A1" s="751" t="s">
        <v>2753</v>
      </c>
      <c r="B1" s="751" t="s">
        <v>2754</v>
      </c>
      <c r="C1" s="751" t="s">
        <v>2755</v>
      </c>
      <c r="D1" s="751" t="s">
        <v>2756</v>
      </c>
    </row>
    <row r="2" spans="1:4" ht="11.25" customHeight="1">
      <c r="A2" s="5127" t="s">
        <v>114</v>
      </c>
      <c r="B2" s="5127" t="s">
        <v>2757</v>
      </c>
      <c r="C2" s="5127" t="s">
        <v>2758</v>
      </c>
      <c r="D2" s="5127" t="s">
        <v>2759</v>
      </c>
    </row>
    <row r="3" spans="1:4" ht="11.25" customHeight="1">
      <c r="A3" s="5127" t="s">
        <v>98</v>
      </c>
      <c r="B3" s="5127" t="s">
        <v>2760</v>
      </c>
      <c r="C3" s="5127" t="s">
        <v>2758</v>
      </c>
      <c r="D3" s="5127" t="s">
        <v>2761</v>
      </c>
    </row>
    <row r="4" spans="1:4" ht="11.25" customHeight="1">
      <c r="A4" s="5127" t="s">
        <v>85</v>
      </c>
      <c r="B4" s="5127" t="s">
        <v>2762</v>
      </c>
      <c r="C4" s="5127" t="s">
        <v>2763</v>
      </c>
      <c r="D4" s="5127" t="s">
        <v>2764</v>
      </c>
    </row>
    <row r="5" spans="1:4" ht="11.25" customHeight="1">
      <c r="A5" s="5127" t="s">
        <v>86</v>
      </c>
      <c r="B5" s="5127" t="s">
        <v>2765</v>
      </c>
      <c r="C5" s="5127" t="s">
        <v>2766</v>
      </c>
      <c r="D5" s="5127" t="s">
        <v>2767</v>
      </c>
    </row>
    <row r="6" spans="1:4" ht="11.25" customHeight="1">
      <c r="A6" s="5127" t="s">
        <v>115</v>
      </c>
      <c r="B6" s="5127" t="s">
        <v>2768</v>
      </c>
      <c r="C6" s="5127" t="s">
        <v>2763</v>
      </c>
      <c r="D6" s="5127" t="s">
        <v>2759</v>
      </c>
    </row>
    <row r="7" spans="1:4" ht="11.25" customHeight="1">
      <c r="A7" s="5127" t="s">
        <v>87</v>
      </c>
      <c r="B7" s="5127" t="s">
        <v>2769</v>
      </c>
      <c r="C7" s="5127" t="s">
        <v>2763</v>
      </c>
      <c r="D7" s="5127" t="s">
        <v>2770</v>
      </c>
    </row>
    <row r="8" spans="1:4" ht="11.25" customHeight="1">
      <c r="A8" s="5127" t="s">
        <v>88</v>
      </c>
      <c r="B8" s="5127" t="s">
        <v>2771</v>
      </c>
      <c r="C8" s="5127" t="s">
        <v>2763</v>
      </c>
      <c r="D8" s="5127" t="s">
        <v>2772</v>
      </c>
    </row>
    <row r="9" spans="1:4" ht="11.25" customHeight="1">
      <c r="A9" s="5127" t="s">
        <v>116</v>
      </c>
      <c r="B9" s="5127" t="s">
        <v>2773</v>
      </c>
      <c r="C9" s="5127" t="s">
        <v>2763</v>
      </c>
      <c r="D9" s="5127" t="s">
        <v>2772</v>
      </c>
    </row>
    <row r="10" spans="1:4" ht="11.25" customHeight="1">
      <c r="A10" s="5127" t="s">
        <v>152</v>
      </c>
      <c r="B10" s="5127" t="s">
        <v>2774</v>
      </c>
      <c r="C10" s="5127" t="s">
        <v>2775</v>
      </c>
      <c r="D10" s="5127" t="s">
        <v>2764</v>
      </c>
    </row>
    <row r="11" spans="1:4" ht="11.25" customHeight="1">
      <c r="A11" s="5127" t="s">
        <v>153</v>
      </c>
      <c r="B11" s="5127" t="s">
        <v>2776</v>
      </c>
      <c r="C11" s="5127" t="s">
        <v>2775</v>
      </c>
      <c r="D11" s="5127" t="s">
        <v>2764</v>
      </c>
    </row>
    <row r="12" spans="1:4" ht="11.25" customHeight="1">
      <c r="A12" s="5127" t="s">
        <v>154</v>
      </c>
      <c r="B12" s="5127" t="s">
        <v>2777</v>
      </c>
      <c r="C12" s="5127" t="s">
        <v>2775</v>
      </c>
      <c r="D12" s="5127" t="s">
        <v>2770</v>
      </c>
    </row>
    <row r="13" spans="1:4" ht="11.25" customHeight="1">
      <c r="A13" s="5127" t="s">
        <v>155</v>
      </c>
      <c r="B13" s="5127" t="s">
        <v>2778</v>
      </c>
      <c r="C13" s="5127" t="s">
        <v>2763</v>
      </c>
      <c r="D13" s="5127" t="s">
        <v>2759</v>
      </c>
    </row>
    <row r="14" spans="1:4" ht="11.25" customHeight="1">
      <c r="A14" s="5127" t="s">
        <v>156</v>
      </c>
      <c r="B14" s="5127" t="s">
        <v>2779</v>
      </c>
      <c r="C14" s="5127" t="s">
        <v>2758</v>
      </c>
      <c r="D14" s="5127" t="s">
        <v>2758</v>
      </c>
    </row>
    <row r="15" spans="1:4" ht="11.25" customHeight="1">
      <c r="A15" s="5127" t="s">
        <v>157</v>
      </c>
      <c r="B15" s="5127" t="s">
        <v>2780</v>
      </c>
      <c r="C15" s="5127" t="s">
        <v>2775</v>
      </c>
      <c r="D15" s="5127" t="s">
        <v>2781</v>
      </c>
    </row>
    <row r="16" spans="1:4" ht="11.25" customHeight="1">
      <c r="A16" s="5127" t="s">
        <v>1589</v>
      </c>
      <c r="B16" s="5127" t="s">
        <v>2782</v>
      </c>
      <c r="C16" s="5127" t="s">
        <v>2783</v>
      </c>
      <c r="D16" s="5127" t="s">
        <v>2784</v>
      </c>
    </row>
    <row r="17" spans="1:4" ht="11.25" customHeight="1">
      <c r="A17" s="5127" t="s">
        <v>1595</v>
      </c>
      <c r="B17" s="5127" t="s">
        <v>2785</v>
      </c>
      <c r="C17" s="5127" t="s">
        <v>2758</v>
      </c>
      <c r="D17" s="5127" t="s">
        <v>2770</v>
      </c>
    </row>
    <row r="18" spans="1:4" ht="11.25" customHeight="1">
      <c r="A18" s="5127" t="s">
        <v>1606</v>
      </c>
      <c r="B18" s="5127" t="s">
        <v>2786</v>
      </c>
      <c r="C18" s="5127" t="s">
        <v>2787</v>
      </c>
      <c r="D18" s="5127" t="s">
        <v>2788</v>
      </c>
    </row>
    <row r="19" spans="1:4" ht="11.25" customHeight="1">
      <c r="A19" s="5127" t="s">
        <v>1620</v>
      </c>
      <c r="B19" s="5127" t="s">
        <v>2789</v>
      </c>
      <c r="C19" s="5127" t="s">
        <v>2787</v>
      </c>
      <c r="D19" s="5127" t="s">
        <v>2781</v>
      </c>
    </row>
    <row r="20" spans="1:4" ht="11.25" customHeight="1">
      <c r="A20" s="5127" t="s">
        <v>1632</v>
      </c>
      <c r="B20" s="5127" t="s">
        <v>2790</v>
      </c>
      <c r="C20" s="5127" t="s">
        <v>2787</v>
      </c>
      <c r="D20" s="5127" t="s">
        <v>2781</v>
      </c>
    </row>
    <row r="21" spans="1:4" ht="11.25" customHeight="1">
      <c r="A21" s="5127" t="s">
        <v>1641</v>
      </c>
      <c r="B21" s="5127" t="s">
        <v>2791</v>
      </c>
      <c r="C21" s="5127" t="s">
        <v>2787</v>
      </c>
      <c r="D21" s="5127" t="s">
        <v>2781</v>
      </c>
    </row>
    <row r="22" spans="1:4" ht="11.25" customHeight="1">
      <c r="A22" s="5127" t="s">
        <v>1657</v>
      </c>
      <c r="B22" s="5127" t="s">
        <v>2792</v>
      </c>
      <c r="C22" s="5127" t="s">
        <v>2787</v>
      </c>
      <c r="D22" s="5127" t="s">
        <v>2781</v>
      </c>
    </row>
    <row r="23" spans="1:4" ht="11.25" customHeight="1">
      <c r="A23" s="5127" t="s">
        <v>1664</v>
      </c>
      <c r="B23" s="5127" t="s">
        <v>2793</v>
      </c>
      <c r="C23" s="5127" t="s">
        <v>2787</v>
      </c>
      <c r="D23" s="5127" t="s">
        <v>2781</v>
      </c>
    </row>
    <row r="24" spans="1:4" ht="11.25" customHeight="1">
      <c r="A24" s="5127" t="s">
        <v>1672</v>
      </c>
      <c r="B24" s="5127" t="s">
        <v>2794</v>
      </c>
      <c r="C24" s="5127" t="s">
        <v>2758</v>
      </c>
      <c r="D24" s="5127" t="s">
        <v>2759</v>
      </c>
    </row>
    <row r="25" spans="1:4" ht="11.25" customHeight="1">
      <c r="A25" s="5127" t="s">
        <v>1679</v>
      </c>
      <c r="B25" s="5127" t="s">
        <v>2795</v>
      </c>
      <c r="C25" s="5127" t="s">
        <v>2758</v>
      </c>
      <c r="D25" s="5127" t="s">
        <v>2796</v>
      </c>
    </row>
    <row r="26" spans="1:4" ht="11.25" customHeight="1">
      <c r="A26" s="5127" t="s">
        <v>1683</v>
      </c>
      <c r="B26" s="5127" t="s">
        <v>2797</v>
      </c>
      <c r="C26" s="5127" t="s">
        <v>2798</v>
      </c>
      <c r="D26" s="5127" t="s">
        <v>2784</v>
      </c>
    </row>
    <row r="27" spans="1:4" ht="11.25" customHeight="1">
      <c r="A27" s="5127" t="s">
        <v>1688</v>
      </c>
      <c r="B27" s="5127" t="s">
        <v>2799</v>
      </c>
      <c r="C27" s="5127" t="s">
        <v>2783</v>
      </c>
      <c r="D27" s="5127" t="s">
        <v>2784</v>
      </c>
    </row>
    <row r="28" spans="1:4" ht="11.25" customHeight="1">
      <c r="A28" s="5127" t="s">
        <v>1696</v>
      </c>
      <c r="B28" s="5127" t="s">
        <v>2800</v>
      </c>
      <c r="C28" s="5127" t="s">
        <v>2783</v>
      </c>
      <c r="D28" s="5127" t="s">
        <v>2784</v>
      </c>
    </row>
    <row r="29" spans="1:4" ht="11.25" customHeight="1">
      <c r="A29" s="5127" t="s">
        <v>1698</v>
      </c>
      <c r="B29" s="5127" t="s">
        <v>2801</v>
      </c>
      <c r="C29" s="5127" t="s">
        <v>2787</v>
      </c>
      <c r="D29" s="5127" t="s">
        <v>2802</v>
      </c>
    </row>
    <row r="30" spans="1:4" ht="11.25" customHeight="1">
      <c r="A30" s="5127" t="s">
        <v>1701</v>
      </c>
      <c r="B30" s="5127" t="s">
        <v>2803</v>
      </c>
      <c r="C30" s="5127" t="s">
        <v>2763</v>
      </c>
      <c r="D30" s="5127" t="s">
        <v>2759</v>
      </c>
    </row>
    <row r="31" spans="1:4" ht="11.25" customHeight="1">
      <c r="A31" s="5127" t="s">
        <v>1706</v>
      </c>
      <c r="B31" s="5127" t="s">
        <v>2804</v>
      </c>
      <c r="C31" s="5127" t="s">
        <v>2763</v>
      </c>
      <c r="D31" s="5127" t="s">
        <v>2759</v>
      </c>
    </row>
    <row r="32" spans="1:4" ht="11.25" customHeight="1">
      <c r="A32" s="5127" t="s">
        <v>1708</v>
      </c>
      <c r="B32" s="5127" t="s">
        <v>2805</v>
      </c>
      <c r="C32" s="5127" t="s">
        <v>2763</v>
      </c>
      <c r="D32" s="5127" t="s">
        <v>2759</v>
      </c>
    </row>
    <row r="33" spans="1:4" ht="11.25" customHeight="1">
      <c r="A33" s="5127" t="s">
        <v>1710</v>
      </c>
      <c r="B33" s="5127" t="s">
        <v>2806</v>
      </c>
      <c r="C33" s="5127" t="s">
        <v>2763</v>
      </c>
      <c r="D33" s="5127" t="s">
        <v>2759</v>
      </c>
    </row>
    <row r="34" spans="1:4" ht="11.25" customHeight="1">
      <c r="A34" s="5127" t="s">
        <v>105</v>
      </c>
      <c r="B34" s="5127" t="s">
        <v>2807</v>
      </c>
      <c r="C34" s="5127" t="s">
        <v>2763</v>
      </c>
      <c r="D34" s="5127" t="s">
        <v>2770</v>
      </c>
    </row>
    <row r="35" spans="1:4" ht="11.25" customHeight="1">
      <c r="A35" s="5127" t="s">
        <v>1716</v>
      </c>
      <c r="B35" s="5127" t="s">
        <v>2808</v>
      </c>
      <c r="C35" s="5127" t="s">
        <v>2763</v>
      </c>
      <c r="D35" s="5127" t="s">
        <v>2759</v>
      </c>
    </row>
    <row r="36" spans="1:4" ht="11.25" customHeight="1">
      <c r="A36" s="5127" t="s">
        <v>1721</v>
      </c>
      <c r="B36" s="5127" t="s">
        <v>2809</v>
      </c>
      <c r="C36" s="5127" t="s">
        <v>2763</v>
      </c>
      <c r="D36" s="5127" t="s">
        <v>2759</v>
      </c>
    </row>
    <row r="37" spans="1:4" ht="11.25" customHeight="1">
      <c r="A37" s="5127" t="s">
        <v>1725</v>
      </c>
      <c r="B37" s="5127" t="s">
        <v>2810</v>
      </c>
      <c r="C37" s="5127" t="s">
        <v>2763</v>
      </c>
      <c r="D37" s="5127" t="s">
        <v>2761</v>
      </c>
    </row>
    <row r="38" spans="1:4" ht="11.25" customHeight="1">
      <c r="A38" s="5127" t="s">
        <v>1732</v>
      </c>
      <c r="B38" s="5127" t="s">
        <v>2811</v>
      </c>
      <c r="C38" s="5127" t="s">
        <v>2812</v>
      </c>
      <c r="D38" s="5127" t="s">
        <v>2764</v>
      </c>
    </row>
    <row r="39" spans="1:4" ht="11.25" customHeight="1">
      <c r="A39" s="5127" t="s">
        <v>1738</v>
      </c>
      <c r="B39" s="5127" t="s">
        <v>2813</v>
      </c>
      <c r="C39" s="5127" t="s">
        <v>2763</v>
      </c>
      <c r="D39" s="5127" t="s">
        <v>2761</v>
      </c>
    </row>
    <row r="40" spans="1:4" ht="11.25" customHeight="1">
      <c r="A40" s="5127" t="s">
        <v>1743</v>
      </c>
      <c r="B40" s="5127" t="s">
        <v>2814</v>
      </c>
      <c r="C40" s="5127" t="s">
        <v>2763</v>
      </c>
      <c r="D40" s="5127" t="s">
        <v>2759</v>
      </c>
    </row>
    <row r="41" spans="1:4" ht="11.25" customHeight="1">
      <c r="A41" s="5127" t="s">
        <v>1747</v>
      </c>
      <c r="B41" s="5127" t="s">
        <v>2815</v>
      </c>
      <c r="C41" s="5127" t="s">
        <v>2812</v>
      </c>
      <c r="D41" s="5127" t="s">
        <v>2816</v>
      </c>
    </row>
    <row r="42" spans="1:4" ht="11.25" customHeight="1">
      <c r="A42" s="5127" t="s">
        <v>1750</v>
      </c>
      <c r="B42" s="5127" t="s">
        <v>2817</v>
      </c>
      <c r="C42" s="5127" t="s">
        <v>2818</v>
      </c>
      <c r="D42" s="5127" t="s">
        <v>2781</v>
      </c>
    </row>
    <row r="43" spans="1:4" ht="11.25" customHeight="1">
      <c r="A43" s="5127" t="s">
        <v>94</v>
      </c>
      <c r="B43" s="5127" t="s">
        <v>2819</v>
      </c>
      <c r="C43" s="5127" t="s">
        <v>2820</v>
      </c>
      <c r="D43" s="5127" t="s">
        <v>2821</v>
      </c>
    </row>
    <row r="44" spans="1:4" ht="11.25" customHeight="1">
      <c r="A44" s="5127" t="s">
        <v>101</v>
      </c>
      <c r="B44" s="5127" t="s">
        <v>2822</v>
      </c>
      <c r="C44" s="5127" t="s">
        <v>2758</v>
      </c>
      <c r="D44" s="5127" t="s">
        <v>2770</v>
      </c>
    </row>
    <row r="45" spans="1:4" ht="11.25" customHeight="1">
      <c r="A45" s="5127" t="s">
        <v>1769</v>
      </c>
      <c r="B45" s="5127" t="s">
        <v>2823</v>
      </c>
      <c r="C45" s="5127" t="s">
        <v>2758</v>
      </c>
      <c r="D45" s="5127" t="s">
        <v>2770</v>
      </c>
    </row>
    <row r="46" spans="1:4" ht="11.25" customHeight="1">
      <c r="A46" s="5127" t="s">
        <v>1773</v>
      </c>
      <c r="B46" s="5127" t="s">
        <v>2824</v>
      </c>
      <c r="C46" s="5127" t="s">
        <v>2775</v>
      </c>
      <c r="D46" s="5127" t="s">
        <v>2825</v>
      </c>
    </row>
    <row r="47" spans="1:4" ht="11.25" customHeight="1">
      <c r="A47" s="5127" t="s">
        <v>1779</v>
      </c>
      <c r="B47" s="5127" t="s">
        <v>2826</v>
      </c>
      <c r="C47" s="5127" t="s">
        <v>2827</v>
      </c>
      <c r="D47" s="5127" t="s">
        <v>2825</v>
      </c>
    </row>
    <row r="48" spans="1:4" ht="11.25" customHeight="1">
      <c r="A48" s="5127" t="s">
        <v>1784</v>
      </c>
      <c r="B48" s="5127" t="s">
        <v>2828</v>
      </c>
      <c r="C48" s="5127" t="s">
        <v>2829</v>
      </c>
      <c r="D48" s="5127" t="s">
        <v>2759</v>
      </c>
    </row>
    <row r="49" spans="1:4" ht="11.25" customHeight="1">
      <c r="A49" s="5127" t="s">
        <v>1787</v>
      </c>
      <c r="B49" s="5127" t="s">
        <v>2830</v>
      </c>
      <c r="C49" s="5127" t="s">
        <v>2787</v>
      </c>
      <c r="D49" s="5127" t="s">
        <v>2802</v>
      </c>
    </row>
    <row r="50" spans="1:4" ht="11.25" customHeight="1">
      <c r="A50" s="5127" t="s">
        <v>1791</v>
      </c>
      <c r="B50" s="5127" t="s">
        <v>2831</v>
      </c>
      <c r="C50" s="5127" t="s">
        <v>2783</v>
      </c>
      <c r="D50" s="5127" t="s">
        <v>2832</v>
      </c>
    </row>
    <row r="51" spans="1:4" ht="11.25" customHeight="1">
      <c r="A51" s="5127" t="s">
        <v>1795</v>
      </c>
      <c r="B51" s="5127" t="s">
        <v>2833</v>
      </c>
      <c r="C51" s="5127" t="s">
        <v>2763</v>
      </c>
      <c r="D51" s="5127" t="s">
        <v>2772</v>
      </c>
    </row>
    <row r="52" spans="1:4" ht="11.25" customHeight="1">
      <c r="A52" s="5127" t="s">
        <v>1799</v>
      </c>
      <c r="B52" s="5127" t="s">
        <v>2834</v>
      </c>
      <c r="C52" s="5127" t="s">
        <v>2812</v>
      </c>
      <c r="D52" s="5127" t="s">
        <v>2832</v>
      </c>
    </row>
    <row r="53" spans="1:4" ht="11.25" customHeight="1">
      <c r="A53" s="5127" t="s">
        <v>1801</v>
      </c>
      <c r="B53" s="5127" t="s">
        <v>2835</v>
      </c>
      <c r="C53" s="5127" t="s">
        <v>2812</v>
      </c>
      <c r="D53" s="5127" t="s">
        <v>2832</v>
      </c>
    </row>
    <row r="54" spans="1:4" ht="11.25" customHeight="1">
      <c r="A54" s="5127" t="s">
        <v>1804</v>
      </c>
      <c r="B54" s="5127" t="s">
        <v>2836</v>
      </c>
      <c r="C54" s="5127" t="s">
        <v>2775</v>
      </c>
      <c r="D54" s="5127" t="s">
        <v>2781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5128"/>
  </cols>
  <sheetData>
    <row r="1" spans="1:2" ht="11.25" customHeight="1">
      <c r="A1" s="104" t="s">
        <v>134</v>
      </c>
      <c r="B1" s="104" t="s">
        <v>2837</v>
      </c>
    </row>
    <row r="2" spans="1:2" ht="11.25" customHeight="1">
      <c r="A2" s="5129" t="s">
        <v>93</v>
      </c>
      <c r="B2" s="5129" t="s">
        <v>258</v>
      </c>
    </row>
    <row r="3" spans="1:2" ht="11.25" customHeight="1">
      <c r="A3" s="5129" t="s">
        <v>100</v>
      </c>
      <c r="B3" s="5129" t="s">
        <v>2838</v>
      </c>
    </row>
    <row r="4" spans="1:2" ht="11.25" customHeight="1">
      <c r="A4" s="5129" t="s">
        <v>104</v>
      </c>
      <c r="B4" s="5129" t="s">
        <v>2839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5126"/>
    <col min="2" max="2" width="65.28515625" style="5126" customWidth="1"/>
  </cols>
  <sheetData>
    <row r="1" spans="1:2" ht="11.25" customHeight="1">
      <c r="A1" s="751" t="s">
        <v>2840</v>
      </c>
      <c r="B1" s="751" t="s">
        <v>2841</v>
      </c>
    </row>
    <row r="2" spans="1:2" ht="11.25" customHeight="1">
      <c r="A2" s="751">
        <v>4213775</v>
      </c>
      <c r="B2" s="751" t="s">
        <v>1351</v>
      </c>
    </row>
    <row r="3" spans="1:2" ht="11.25" customHeight="1">
      <c r="A3" s="751">
        <v>4213784</v>
      </c>
      <c r="B3" s="751" t="s">
        <v>1384</v>
      </c>
    </row>
    <row r="4" spans="1:2" ht="11.25" customHeight="1">
      <c r="A4" s="751">
        <v>4213781</v>
      </c>
      <c r="B4" s="751" t="s">
        <v>1377</v>
      </c>
    </row>
    <row r="5" spans="1:2" ht="11.25" customHeight="1">
      <c r="A5" s="751">
        <v>4213776</v>
      </c>
      <c r="B5" s="751" t="s">
        <v>246</v>
      </c>
    </row>
    <row r="6" spans="1:2" ht="11.25" customHeight="1">
      <c r="A6" s="751">
        <v>4213777</v>
      </c>
      <c r="B6" s="751" t="s">
        <v>266</v>
      </c>
    </row>
    <row r="7" spans="1:2" ht="11.25" customHeight="1">
      <c r="A7" s="751">
        <v>4213778</v>
      </c>
      <c r="B7" s="751" t="s">
        <v>299</v>
      </c>
    </row>
    <row r="8" spans="1:2" ht="11.25" customHeight="1">
      <c r="A8" s="751">
        <v>4213780</v>
      </c>
      <c r="B8" s="751" t="s">
        <v>307</v>
      </c>
    </row>
    <row r="9" spans="1:2" ht="11.25" customHeight="1">
      <c r="A9" s="751">
        <v>4213779</v>
      </c>
      <c r="B9" s="751" t="s">
        <v>1515</v>
      </c>
    </row>
    <row r="10" spans="1:2" ht="11.25" customHeight="1">
      <c r="A10" s="751">
        <v>4213783</v>
      </c>
      <c r="B10" s="751" t="s">
        <v>1529</v>
      </c>
    </row>
    <row r="11" spans="1:2" ht="11.25" customHeight="1">
      <c r="A11" s="751">
        <v>4213782</v>
      </c>
      <c r="B11" s="751" t="s">
        <v>313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5126"/>
    <col min="2" max="2" width="65.28515625" style="5126" customWidth="1"/>
  </cols>
  <sheetData>
    <row r="1" spans="1:2" ht="11.25" customHeight="1">
      <c r="A1" s="751" t="s">
        <v>2840</v>
      </c>
      <c r="B1" s="751" t="s">
        <v>2842</v>
      </c>
    </row>
    <row r="2" spans="1:2" ht="11.25" customHeight="1">
      <c r="A2" s="751" t="s">
        <v>2843</v>
      </c>
      <c r="B2" s="751" t="s">
        <v>1626</v>
      </c>
    </row>
    <row r="3" spans="1:2" ht="11.25" customHeight="1">
      <c r="A3" s="751" t="s">
        <v>2844</v>
      </c>
      <c r="B3" s="751" t="s">
        <v>1636</v>
      </c>
    </row>
    <row r="4" spans="1:2" ht="11.25" customHeight="1">
      <c r="A4" s="751" t="s">
        <v>2845</v>
      </c>
      <c r="B4" s="751" t="s">
        <v>1645</v>
      </c>
    </row>
    <row r="5" spans="1:2" ht="11.25" customHeight="1">
      <c r="A5" s="751" t="s">
        <v>2846</v>
      </c>
      <c r="B5" s="751" t="s">
        <v>1654</v>
      </c>
    </row>
    <row r="6" spans="1:2" ht="11.25" customHeight="1">
      <c r="A6" s="751" t="s">
        <v>301</v>
      </c>
      <c r="B6" s="751" t="s">
        <v>1660</v>
      </c>
    </row>
    <row r="7" spans="1:2" ht="11.25" customHeight="1">
      <c r="A7" s="751" t="s">
        <v>2847</v>
      </c>
      <c r="B7" s="751" t="s">
        <v>1668</v>
      </c>
    </row>
    <row r="8" spans="1:2" ht="11.25" customHeight="1">
      <c r="A8" s="751" t="s">
        <v>2848</v>
      </c>
      <c r="B8" s="751" t="s">
        <v>1675</v>
      </c>
    </row>
    <row r="9" spans="1:2" ht="11.25" customHeight="1">
      <c r="A9" s="751" t="s">
        <v>2849</v>
      </c>
      <c r="B9" s="751" t="s">
        <v>1681</v>
      </c>
    </row>
    <row r="10" spans="1:2" ht="11.25" customHeight="1">
      <c r="A10" s="751" t="s">
        <v>2850</v>
      </c>
      <c r="B10" s="751" t="s">
        <v>1685</v>
      </c>
    </row>
    <row r="11" spans="1:2" ht="11.25" customHeight="1">
      <c r="A11" s="751" t="s">
        <v>315</v>
      </c>
      <c r="B11" s="751" t="s">
        <v>1692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
  <sheetViews>
    <sheetView showGridLines="0" workbookViewId="0"/>
  </sheetViews>
  <sheetFormatPr defaultRowHeight="11.25" customHeight="1"/>
  <sheetData>
    <row r="1" spans="1:7" ht="11.25" customHeight="1">
      <c r="A1" s="300" t="s">
        <v>2674</v>
      </c>
      <c r="B1" s="300" t="s">
        <v>2675</v>
      </c>
      <c r="C1" s="300" t="s">
        <v>2676</v>
      </c>
      <c r="D1" s="300" t="s">
        <v>2677</v>
      </c>
      <c r="E1" t="s">
        <v>2678</v>
      </c>
      <c r="F1" t="s">
        <v>2679</v>
      </c>
      <c r="G1" t="s">
        <v>2680</v>
      </c>
    </row>
    <row r="2" spans="1:7" ht="11.25" customHeight="1">
      <c r="A2" t="s">
        <v>14</v>
      </c>
      <c r="B2" t="s">
        <v>2851</v>
      </c>
      <c r="C2" t="s">
        <v>2852</v>
      </c>
      <c r="D2" t="s">
        <v>2851</v>
      </c>
      <c r="E2" t="s">
        <v>2852</v>
      </c>
      <c r="F2" t="s">
        <v>2683</v>
      </c>
      <c r="G2" t="s">
        <v>114</v>
      </c>
    </row>
    <row r="3" spans="1:7" ht="11.25" customHeight="1">
      <c r="A3" t="s">
        <v>14</v>
      </c>
      <c r="B3" t="s">
        <v>2853</v>
      </c>
      <c r="C3" t="s">
        <v>2854</v>
      </c>
      <c r="D3" t="s">
        <v>2853</v>
      </c>
      <c r="E3" t="s">
        <v>2854</v>
      </c>
      <c r="F3" t="s">
        <v>2683</v>
      </c>
      <c r="G3" t="s">
        <v>98</v>
      </c>
    </row>
    <row r="4" spans="1:7" ht="11.25" customHeight="1">
      <c r="A4" t="s">
        <v>14</v>
      </c>
      <c r="B4" t="s">
        <v>2855</v>
      </c>
      <c r="C4" t="s">
        <v>2856</v>
      </c>
      <c r="D4" t="s">
        <v>2855</v>
      </c>
      <c r="E4" t="s">
        <v>2856</v>
      </c>
      <c r="F4" t="s">
        <v>2683</v>
      </c>
      <c r="G4" t="s">
        <v>85</v>
      </c>
    </row>
    <row r="5" spans="1:7" ht="11.25" customHeight="1">
      <c r="A5" t="s">
        <v>14</v>
      </c>
      <c r="B5" t="s">
        <v>2857</v>
      </c>
      <c r="C5" t="s">
        <v>2858</v>
      </c>
      <c r="D5" t="s">
        <v>2857</v>
      </c>
      <c r="E5" t="s">
        <v>2858</v>
      </c>
      <c r="F5" t="s">
        <v>2683</v>
      </c>
      <c r="G5" t="s">
        <v>86</v>
      </c>
    </row>
    <row r="6" spans="1:7" ht="11.25" customHeight="1">
      <c r="A6" t="s">
        <v>14</v>
      </c>
      <c r="B6" t="s">
        <v>2859</v>
      </c>
      <c r="C6" t="s">
        <v>2860</v>
      </c>
      <c r="D6" t="s">
        <v>2859</v>
      </c>
      <c r="E6" t="s">
        <v>2860</v>
      </c>
      <c r="F6" t="s">
        <v>2683</v>
      </c>
      <c r="G6" t="s">
        <v>115</v>
      </c>
    </row>
    <row r="7" spans="1:7" ht="11.25" customHeight="1">
      <c r="A7" t="s">
        <v>14</v>
      </c>
      <c r="B7" t="s">
        <v>2681</v>
      </c>
      <c r="C7" t="s">
        <v>2682</v>
      </c>
      <c r="D7" t="s">
        <v>2681</v>
      </c>
      <c r="E7" t="s">
        <v>2682</v>
      </c>
      <c r="F7" t="s">
        <v>2683</v>
      </c>
      <c r="G7" t="s">
        <v>87</v>
      </c>
    </row>
    <row r="8" spans="1:7" ht="11.25" customHeight="1">
      <c r="A8" t="s">
        <v>14</v>
      </c>
      <c r="B8" t="s">
        <v>2684</v>
      </c>
      <c r="C8" t="s">
        <v>2685</v>
      </c>
      <c r="D8" t="s">
        <v>2684</v>
      </c>
      <c r="E8" t="s">
        <v>2685</v>
      </c>
      <c r="F8" t="s">
        <v>2683</v>
      </c>
      <c r="G8" t="s">
        <v>88</v>
      </c>
    </row>
    <row r="9" spans="1:7" ht="11.25" customHeight="1">
      <c r="A9" t="s">
        <v>14</v>
      </c>
      <c r="B9" t="s">
        <v>2686</v>
      </c>
      <c r="C9" t="s">
        <v>2687</v>
      </c>
      <c r="D9" t="s">
        <v>2686</v>
      </c>
      <c r="E9" t="s">
        <v>2687</v>
      </c>
      <c r="F9" t="s">
        <v>2683</v>
      </c>
      <c r="G9" t="s">
        <v>116</v>
      </c>
    </row>
    <row r="10" spans="1:7" ht="11.25" customHeight="1">
      <c r="A10" t="s">
        <v>14</v>
      </c>
      <c r="B10" t="s">
        <v>2688</v>
      </c>
      <c r="C10" t="s">
        <v>2689</v>
      </c>
      <c r="D10" t="s">
        <v>2688</v>
      </c>
      <c r="E10" t="s">
        <v>2689</v>
      </c>
      <c r="F10" t="s">
        <v>2683</v>
      </c>
      <c r="G10" t="s">
        <v>152</v>
      </c>
    </row>
    <row r="11" spans="1:7" ht="11.25" customHeight="1">
      <c r="A11" t="s">
        <v>14</v>
      </c>
      <c r="B11" t="s">
        <v>2690</v>
      </c>
      <c r="C11" t="s">
        <v>2691</v>
      </c>
      <c r="D11" t="s">
        <v>2690</v>
      </c>
      <c r="E11" t="s">
        <v>2691</v>
      </c>
      <c r="F11" t="s">
        <v>2683</v>
      </c>
      <c r="G11" t="s">
        <v>153</v>
      </c>
    </row>
    <row r="12" spans="1:7" ht="11.25" customHeight="1">
      <c r="A12" t="s">
        <v>14</v>
      </c>
      <c r="B12" t="s">
        <v>2692</v>
      </c>
      <c r="C12" t="s">
        <v>2693</v>
      </c>
      <c r="D12" t="s">
        <v>2694</v>
      </c>
      <c r="E12" t="s">
        <v>2695</v>
      </c>
      <c r="F12" t="s">
        <v>2696</v>
      </c>
      <c r="G12" t="s">
        <v>154</v>
      </c>
    </row>
    <row r="13" spans="1:7" ht="11.25" customHeight="1">
      <c r="A13" t="s">
        <v>14</v>
      </c>
      <c r="B13" t="s">
        <v>2692</v>
      </c>
      <c r="C13" t="s">
        <v>2693</v>
      </c>
      <c r="D13" t="s">
        <v>2697</v>
      </c>
      <c r="E13" t="s">
        <v>2698</v>
      </c>
      <c r="F13" t="s">
        <v>2699</v>
      </c>
      <c r="G13" t="s">
        <v>155</v>
      </c>
    </row>
    <row r="14" spans="1:7" ht="11.25" customHeight="1">
      <c r="A14" t="s">
        <v>14</v>
      </c>
      <c r="B14" t="s">
        <v>2692</v>
      </c>
      <c r="C14" t="s">
        <v>2693</v>
      </c>
      <c r="D14" t="s">
        <v>2700</v>
      </c>
      <c r="E14" t="s">
        <v>2701</v>
      </c>
      <c r="F14" t="s">
        <v>2696</v>
      </c>
      <c r="G14" t="s">
        <v>156</v>
      </c>
    </row>
    <row r="15" spans="1:7" ht="11.25" customHeight="1">
      <c r="A15" t="s">
        <v>14</v>
      </c>
      <c r="B15" t="s">
        <v>2692</v>
      </c>
      <c r="C15" t="s">
        <v>2693</v>
      </c>
      <c r="D15" t="s">
        <v>2692</v>
      </c>
      <c r="E15" t="s">
        <v>2693</v>
      </c>
      <c r="F15" t="s">
        <v>2702</v>
      </c>
      <c r="G15" t="s">
        <v>157</v>
      </c>
    </row>
    <row r="16" spans="1:7" ht="11.25" customHeight="1">
      <c r="A16" t="s">
        <v>14</v>
      </c>
      <c r="B16" t="s">
        <v>2692</v>
      </c>
      <c r="C16" t="s">
        <v>2693</v>
      </c>
      <c r="D16" t="s">
        <v>2703</v>
      </c>
      <c r="E16" t="s">
        <v>2704</v>
      </c>
      <c r="F16" t="s">
        <v>2705</v>
      </c>
      <c r="G16" t="s">
        <v>1589</v>
      </c>
    </row>
    <row r="17" spans="1:7" ht="11.25" customHeight="1">
      <c r="A17" t="s">
        <v>14</v>
      </c>
      <c r="B17" t="s">
        <v>2706</v>
      </c>
      <c r="C17" t="s">
        <v>2707</v>
      </c>
      <c r="D17" t="s">
        <v>2706</v>
      </c>
      <c r="E17" t="s">
        <v>2707</v>
      </c>
      <c r="F17" t="s">
        <v>2708</v>
      </c>
      <c r="G17" t="s">
        <v>1595</v>
      </c>
    </row>
    <row r="18" spans="1:7" ht="11.25" customHeight="1">
      <c r="A18" t="s">
        <v>14</v>
      </c>
      <c r="B18" t="s">
        <v>2861</v>
      </c>
      <c r="C18" t="s">
        <v>2862</v>
      </c>
      <c r="D18" t="s">
        <v>2861</v>
      </c>
      <c r="E18" t="s">
        <v>2862</v>
      </c>
      <c r="F18" t="s">
        <v>2683</v>
      </c>
      <c r="G18" t="s">
        <v>1606</v>
      </c>
    </row>
    <row r="19" spans="1:7" ht="11.25" customHeight="1">
      <c r="A19" t="s">
        <v>14</v>
      </c>
      <c r="B19" t="s">
        <v>2709</v>
      </c>
      <c r="C19" t="s">
        <v>2710</v>
      </c>
      <c r="D19" t="s">
        <v>2709</v>
      </c>
      <c r="E19" t="s">
        <v>2710</v>
      </c>
      <c r="F19" t="s">
        <v>2702</v>
      </c>
      <c r="G19" t="s">
        <v>1620</v>
      </c>
    </row>
    <row r="20" spans="1:7" ht="11.25" customHeight="1">
      <c r="A20" t="s">
        <v>14</v>
      </c>
      <c r="B20" t="s">
        <v>2709</v>
      </c>
      <c r="C20" t="s">
        <v>2710</v>
      </c>
      <c r="D20" t="s">
        <v>2711</v>
      </c>
      <c r="E20" t="s">
        <v>2712</v>
      </c>
      <c r="F20" t="s">
        <v>2696</v>
      </c>
      <c r="G20" t="s">
        <v>1632</v>
      </c>
    </row>
    <row r="21" spans="1:7" ht="11.25" customHeight="1">
      <c r="A21" t="s">
        <v>14</v>
      </c>
      <c r="B21" t="s">
        <v>2709</v>
      </c>
      <c r="C21" t="s">
        <v>2710</v>
      </c>
      <c r="D21" t="s">
        <v>2713</v>
      </c>
      <c r="E21" t="s">
        <v>2714</v>
      </c>
      <c r="F21" t="s">
        <v>2705</v>
      </c>
      <c r="G21" t="s">
        <v>1641</v>
      </c>
    </row>
    <row r="22" spans="1:7" ht="11.25" customHeight="1">
      <c r="A22" t="s">
        <v>14</v>
      </c>
      <c r="B22" t="s">
        <v>2709</v>
      </c>
      <c r="C22" t="s">
        <v>2710</v>
      </c>
      <c r="D22" t="s">
        <v>2715</v>
      </c>
      <c r="E22" t="s">
        <v>2716</v>
      </c>
      <c r="F22" t="s">
        <v>2705</v>
      </c>
      <c r="G22" t="s">
        <v>1657</v>
      </c>
    </row>
    <row r="23" spans="1:7" ht="11.25" customHeight="1">
      <c r="A23" t="s">
        <v>14</v>
      </c>
      <c r="B23" t="s">
        <v>2709</v>
      </c>
      <c r="C23" t="s">
        <v>2710</v>
      </c>
      <c r="D23" t="s">
        <v>2717</v>
      </c>
      <c r="E23" t="s">
        <v>2718</v>
      </c>
      <c r="F23" t="s">
        <v>2705</v>
      </c>
      <c r="G23" t="s">
        <v>1664</v>
      </c>
    </row>
    <row r="24" spans="1:7" ht="11.25" customHeight="1">
      <c r="A24" t="s">
        <v>14</v>
      </c>
      <c r="B24" t="s">
        <v>2709</v>
      </c>
      <c r="C24" t="s">
        <v>2710</v>
      </c>
      <c r="D24" t="s">
        <v>2719</v>
      </c>
      <c r="E24" t="s">
        <v>2720</v>
      </c>
      <c r="F24" t="s">
        <v>2705</v>
      </c>
      <c r="G24" t="s">
        <v>1672</v>
      </c>
    </row>
    <row r="25" spans="1:7" ht="11.25" customHeight="1">
      <c r="A25" t="s">
        <v>14</v>
      </c>
      <c r="B25" t="s">
        <v>2709</v>
      </c>
      <c r="C25" t="s">
        <v>2710</v>
      </c>
      <c r="D25" t="s">
        <v>2721</v>
      </c>
      <c r="E25" t="s">
        <v>2722</v>
      </c>
      <c r="F25" t="s">
        <v>2696</v>
      </c>
      <c r="G25" t="s">
        <v>1679</v>
      </c>
    </row>
    <row r="26" spans="1:7" ht="11.25" customHeight="1">
      <c r="A26" t="s">
        <v>14</v>
      </c>
      <c r="B26" t="s">
        <v>2709</v>
      </c>
      <c r="C26" t="s">
        <v>2710</v>
      </c>
      <c r="D26" t="s">
        <v>2723</v>
      </c>
      <c r="E26" t="s">
        <v>2724</v>
      </c>
      <c r="F26" t="s">
        <v>2696</v>
      </c>
      <c r="G26" t="s">
        <v>1683</v>
      </c>
    </row>
    <row r="27" spans="1:7" ht="11.25" customHeight="1">
      <c r="A27" t="s">
        <v>14</v>
      </c>
      <c r="B27" t="s">
        <v>2709</v>
      </c>
      <c r="C27" t="s">
        <v>2710</v>
      </c>
      <c r="D27" t="s">
        <v>2725</v>
      </c>
      <c r="E27" t="s">
        <v>2726</v>
      </c>
      <c r="F27" t="s">
        <v>2696</v>
      </c>
      <c r="G27" t="s">
        <v>1688</v>
      </c>
    </row>
    <row r="28" spans="1:7" ht="11.25" customHeight="1">
      <c r="A28" t="s">
        <v>14</v>
      </c>
      <c r="B28" t="s">
        <v>2709</v>
      </c>
      <c r="C28" t="s">
        <v>2710</v>
      </c>
      <c r="D28" t="s">
        <v>2727</v>
      </c>
      <c r="E28" t="s">
        <v>2728</v>
      </c>
      <c r="F28" t="s">
        <v>2699</v>
      </c>
      <c r="G28" t="s">
        <v>1696</v>
      </c>
    </row>
    <row r="29" spans="1:7" ht="11.25" customHeight="1">
      <c r="A29" t="s">
        <v>14</v>
      </c>
      <c r="B29" t="s">
        <v>2709</v>
      </c>
      <c r="C29" t="s">
        <v>2710</v>
      </c>
      <c r="D29" t="s">
        <v>2729</v>
      </c>
      <c r="E29" t="s">
        <v>2730</v>
      </c>
      <c r="F29" t="s">
        <v>2705</v>
      </c>
      <c r="G29" t="s">
        <v>1698</v>
      </c>
    </row>
    <row r="30" spans="1:7" ht="11.25" customHeight="1">
      <c r="A30" t="s">
        <v>14</v>
      </c>
      <c r="B30" t="s">
        <v>2709</v>
      </c>
      <c r="C30" t="s">
        <v>2710</v>
      </c>
      <c r="D30" t="s">
        <v>2731</v>
      </c>
      <c r="E30" t="s">
        <v>2732</v>
      </c>
      <c r="F30" t="s">
        <v>2696</v>
      </c>
      <c r="G30" t="s">
        <v>1701</v>
      </c>
    </row>
    <row r="31" spans="1:7" ht="11.25" customHeight="1">
      <c r="A31" t="s">
        <v>14</v>
      </c>
      <c r="B31" t="s">
        <v>2733</v>
      </c>
      <c r="C31" t="s">
        <v>2734</v>
      </c>
      <c r="D31" t="s">
        <v>2733</v>
      </c>
      <c r="E31" t="s">
        <v>2734</v>
      </c>
      <c r="F31" t="s">
        <v>2702</v>
      </c>
      <c r="G31" t="s">
        <v>1706</v>
      </c>
    </row>
    <row r="32" spans="1:7" ht="11.25" customHeight="1">
      <c r="A32" t="s">
        <v>14</v>
      </c>
      <c r="B32" t="s">
        <v>2733</v>
      </c>
      <c r="C32" t="s">
        <v>2734</v>
      </c>
      <c r="D32" t="s">
        <v>2735</v>
      </c>
      <c r="E32" t="s">
        <v>2736</v>
      </c>
      <c r="F32" t="s">
        <v>2705</v>
      </c>
      <c r="G32" t="s">
        <v>1708</v>
      </c>
    </row>
    <row r="33" spans="1:7" ht="11.25" customHeight="1">
      <c r="A33" t="s">
        <v>14</v>
      </c>
      <c r="B33" t="s">
        <v>2733</v>
      </c>
      <c r="C33" t="s">
        <v>2734</v>
      </c>
      <c r="D33" t="s">
        <v>2737</v>
      </c>
      <c r="E33" t="s">
        <v>2738</v>
      </c>
      <c r="F33" t="s">
        <v>2696</v>
      </c>
      <c r="G33" t="s">
        <v>1710</v>
      </c>
    </row>
    <row r="34" spans="1:7" ht="11.25" customHeight="1">
      <c r="A34" t="s">
        <v>14</v>
      </c>
      <c r="B34" t="s">
        <v>2863</v>
      </c>
      <c r="C34" t="s">
        <v>2864</v>
      </c>
      <c r="D34" t="s">
        <v>2865</v>
      </c>
      <c r="E34" t="s">
        <v>2866</v>
      </c>
      <c r="F34" t="s">
        <v>2699</v>
      </c>
      <c r="G34" t="s">
        <v>1716</v>
      </c>
    </row>
    <row r="35" spans="1:7" ht="11.25" customHeight="1">
      <c r="A35" t="s">
        <v>14</v>
      </c>
      <c r="B35" t="s">
        <v>2863</v>
      </c>
      <c r="C35" t="s">
        <v>2864</v>
      </c>
      <c r="D35" t="s">
        <v>2863</v>
      </c>
      <c r="E35" t="s">
        <v>2864</v>
      </c>
      <c r="F35" t="s">
        <v>2702</v>
      </c>
      <c r="G35" t="s">
        <v>1721</v>
      </c>
    </row>
    <row r="36" spans="1:7" ht="11.25" customHeight="1">
      <c r="A36" t="s">
        <v>14</v>
      </c>
      <c r="B36" t="s">
        <v>2863</v>
      </c>
      <c r="C36" t="s">
        <v>2864</v>
      </c>
      <c r="D36" t="s">
        <v>2867</v>
      </c>
      <c r="E36" t="s">
        <v>2868</v>
      </c>
      <c r="F36" t="s">
        <v>2705</v>
      </c>
      <c r="G36" t="s">
        <v>1725</v>
      </c>
    </row>
    <row r="37" spans="1:7" ht="11.25" customHeight="1">
      <c r="A37" t="s">
        <v>14</v>
      </c>
      <c r="B37" t="s">
        <v>2863</v>
      </c>
      <c r="C37" t="s">
        <v>2864</v>
      </c>
      <c r="D37" t="s">
        <v>2869</v>
      </c>
      <c r="E37" t="s">
        <v>2870</v>
      </c>
      <c r="F37" t="s">
        <v>2705</v>
      </c>
      <c r="G37" t="s">
        <v>1732</v>
      </c>
    </row>
    <row r="38" spans="1:7" ht="11.25" customHeight="1">
      <c r="A38" t="s">
        <v>14</v>
      </c>
      <c r="B38" t="s">
        <v>2863</v>
      </c>
      <c r="C38" t="s">
        <v>2864</v>
      </c>
      <c r="D38" t="s">
        <v>2871</v>
      </c>
      <c r="E38" t="s">
        <v>2872</v>
      </c>
      <c r="F38" t="s">
        <v>2696</v>
      </c>
      <c r="G38" t="s">
        <v>1738</v>
      </c>
    </row>
    <row r="39" spans="1:7" ht="11.25" customHeight="1">
      <c r="A39" t="s">
        <v>14</v>
      </c>
      <c r="B39" t="s">
        <v>2739</v>
      </c>
      <c r="C39" t="s">
        <v>2740</v>
      </c>
      <c r="D39" t="s">
        <v>2741</v>
      </c>
      <c r="E39" t="s">
        <v>2742</v>
      </c>
      <c r="F39" t="s">
        <v>2696</v>
      </c>
      <c r="G39" t="s">
        <v>1743</v>
      </c>
    </row>
    <row r="40" spans="1:7" ht="11.25" customHeight="1">
      <c r="A40" t="s">
        <v>14</v>
      </c>
      <c r="B40" t="s">
        <v>2739</v>
      </c>
      <c r="C40" t="s">
        <v>2740</v>
      </c>
      <c r="D40" t="s">
        <v>2743</v>
      </c>
      <c r="E40" t="s">
        <v>2744</v>
      </c>
      <c r="F40" t="s">
        <v>2705</v>
      </c>
      <c r="G40" t="s">
        <v>1747</v>
      </c>
    </row>
    <row r="41" spans="1:7" ht="11.25" customHeight="1">
      <c r="A41" t="s">
        <v>14</v>
      </c>
      <c r="B41" t="s">
        <v>2739</v>
      </c>
      <c r="C41" t="s">
        <v>2740</v>
      </c>
      <c r="D41" t="s">
        <v>2739</v>
      </c>
      <c r="E41" t="s">
        <v>2740</v>
      </c>
      <c r="F41" t="s">
        <v>2702</v>
      </c>
      <c r="G41" t="s">
        <v>1750</v>
      </c>
    </row>
    <row r="42" spans="1:7" ht="11.25" customHeight="1">
      <c r="A42" t="s">
        <v>14</v>
      </c>
      <c r="B42" t="s">
        <v>95</v>
      </c>
      <c r="C42" t="s">
        <v>96</v>
      </c>
      <c r="D42" t="s">
        <v>95</v>
      </c>
      <c r="E42" t="s">
        <v>96</v>
      </c>
      <c r="F42" t="s">
        <v>2708</v>
      </c>
      <c r="G42" t="s">
        <v>94</v>
      </c>
    </row>
    <row r="43" spans="1:7" ht="11.25" customHeight="1">
      <c r="A43" t="s">
        <v>14</v>
      </c>
      <c r="B43" t="s">
        <v>102</v>
      </c>
      <c r="C43" t="s">
        <v>103</v>
      </c>
      <c r="D43" t="s">
        <v>102</v>
      </c>
      <c r="E43" t="s">
        <v>103</v>
      </c>
      <c r="F43" t="s">
        <v>2708</v>
      </c>
      <c r="G43" t="s">
        <v>101</v>
      </c>
    </row>
    <row r="44" spans="1:7" ht="11.25" customHeight="1">
      <c r="A44" t="s">
        <v>14</v>
      </c>
      <c r="B44" t="s">
        <v>2745</v>
      </c>
      <c r="C44" t="s">
        <v>2746</v>
      </c>
      <c r="D44" t="s">
        <v>2745</v>
      </c>
      <c r="E44" t="s">
        <v>2746</v>
      </c>
      <c r="F44" t="s">
        <v>2708</v>
      </c>
      <c r="G44" t="s">
        <v>1769</v>
      </c>
    </row>
    <row r="45" spans="1:7" ht="11.25" customHeight="1">
      <c r="A45" t="s">
        <v>14</v>
      </c>
      <c r="B45" t="s">
        <v>2747</v>
      </c>
      <c r="C45" t="s">
        <v>2748</v>
      </c>
      <c r="D45" t="s">
        <v>2747</v>
      </c>
      <c r="E45" t="s">
        <v>2748</v>
      </c>
      <c r="F45" t="s">
        <v>2708</v>
      </c>
      <c r="G45" t="s">
        <v>1773</v>
      </c>
    </row>
    <row r="46" spans="1:7" ht="11.25" customHeight="1">
      <c r="A46" t="s">
        <v>14</v>
      </c>
      <c r="B46" t="s">
        <v>2749</v>
      </c>
      <c r="C46" t="s">
        <v>2750</v>
      </c>
      <c r="D46" t="s">
        <v>2749</v>
      </c>
      <c r="E46" t="s">
        <v>2750</v>
      </c>
      <c r="F46" t="s">
        <v>2708</v>
      </c>
      <c r="G46" t="s">
        <v>1779</v>
      </c>
    </row>
    <row r="47" spans="1:7" ht="11.25" customHeight="1">
      <c r="A47" t="s">
        <v>14</v>
      </c>
      <c r="B47" t="s">
        <v>2751</v>
      </c>
      <c r="C47" t="s">
        <v>2752</v>
      </c>
      <c r="D47" t="s">
        <v>2751</v>
      </c>
      <c r="E47" t="s">
        <v>2752</v>
      </c>
      <c r="F47" t="s">
        <v>2683</v>
      </c>
      <c r="G47" t="s">
        <v>1784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5126"/>
    <col min="2" max="2" width="84.28515625" style="5126" customWidth="1"/>
    <col min="3" max="3" width="9.140625" style="5126"/>
  </cols>
  <sheetData>
    <row r="1" spans="1:3" ht="11.25" customHeight="1">
      <c r="A1" s="751" t="s">
        <v>2873</v>
      </c>
      <c r="B1" s="751" t="s">
        <v>2874</v>
      </c>
      <c r="C1" s="751" t="s">
        <v>1297</v>
      </c>
    </row>
    <row r="2" spans="1:3" ht="11.25" customHeight="1">
      <c r="A2" s="751">
        <v>4189678</v>
      </c>
      <c r="B2" s="751" t="s">
        <v>2875</v>
      </c>
      <c r="C2" s="751" t="s">
        <v>2876</v>
      </c>
    </row>
    <row r="3" spans="1:3" ht="11.25" customHeight="1">
      <c r="A3" s="751">
        <v>4190415</v>
      </c>
      <c r="B3" s="751" t="s">
        <v>2877</v>
      </c>
      <c r="C3" s="751" t="s">
        <v>2876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5130" customWidth="1"/>
    <col min="2" max="5" width="9.140625" style="5130"/>
  </cols>
  <sheetData>
    <row r="1" spans="1:5" ht="15" customHeight="1">
      <c r="A1" s="84" t="s">
        <v>2878</v>
      </c>
      <c r="B1" s="84" t="s">
        <v>2879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2880</v>
      </c>
      <c r="B1" t="b">
        <v>1</v>
      </c>
    </row>
    <row r="2" spans="1:2" ht="11.25" customHeight="1">
      <c r="A2" t="s">
        <v>2881</v>
      </c>
      <c r="B2" t="b">
        <v>0</v>
      </c>
    </row>
    <row r="3" spans="1:2" ht="11.25" customHeight="1">
      <c r="A3" t="s">
        <v>2882</v>
      </c>
      <c r="B3" t="b">
        <v>1</v>
      </c>
    </row>
    <row r="4" spans="1:2" ht="11.25" customHeight="1">
      <c r="A4" t="s">
        <v>2883</v>
      </c>
      <c r="B4" t="b">
        <v>0</v>
      </c>
    </row>
    <row r="5" spans="1:2" ht="11.25" customHeight="1">
      <c r="A5" t="s">
        <v>2884</v>
      </c>
      <c r="B5" t="b">
        <v>0</v>
      </c>
    </row>
    <row r="6" spans="1:2" ht="11.25" customHeight="1">
      <c r="A6" t="s">
        <v>2885</v>
      </c>
      <c r="B6" t="b">
        <v>0</v>
      </c>
    </row>
    <row r="7" spans="1:2" ht="11.25" customHeight="1">
      <c r="A7" t="s">
        <v>2886</v>
      </c>
      <c r="B7" t="b">
        <v>0</v>
      </c>
    </row>
    <row r="8" spans="1:2" ht="11.25" customHeight="1">
      <c r="A8" t="s">
        <v>2887</v>
      </c>
      <c r="B8" t="b">
        <v>0</v>
      </c>
    </row>
    <row r="9" spans="1:2" ht="11.25" customHeight="1">
      <c r="A9" t="s">
        <v>2888</v>
      </c>
      <c r="B9" t="b">
        <v>1</v>
      </c>
    </row>
    <row r="10" spans="1:2" ht="11.25" customHeight="1">
      <c r="A10" t="s">
        <v>2889</v>
      </c>
      <c r="B10" t="b">
        <v>0</v>
      </c>
    </row>
    <row r="11" spans="1:2" ht="11.25" customHeight="1">
      <c r="A11" t="s">
        <v>2890</v>
      </c>
      <c r="B11" t="b">
        <v>0</v>
      </c>
    </row>
    <row r="12" spans="1:2" ht="11.25" customHeight="1">
      <c r="A12" t="s">
        <v>2891</v>
      </c>
      <c r="B12" t="b">
        <v>0</v>
      </c>
    </row>
    <row r="13" spans="1:2" ht="11.25" customHeight="1">
      <c r="A13" t="s">
        <v>2892</v>
      </c>
      <c r="B13" t="b">
        <v>0</v>
      </c>
    </row>
    <row r="14" spans="1:2" ht="11.25" customHeight="1">
      <c r="A14" t="s">
        <v>2893</v>
      </c>
      <c r="B14" t="b">
        <v>0</v>
      </c>
    </row>
    <row r="15" spans="1:2" ht="11.25" customHeight="1">
      <c r="A15" t="s">
        <v>2894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513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5123" customWidth="1"/>
    <col min="2" max="2" width="21.140625" style="5123" customWidth="1"/>
  </cols>
  <sheetData>
    <row r="1" spans="1:2" ht="11.25" customHeight="1">
      <c r="A1" s="4" t="s">
        <v>2895</v>
      </c>
      <c r="B1" s="4" t="s">
        <v>2896</v>
      </c>
    </row>
    <row r="2" spans="1:2" ht="11.25" customHeight="1">
      <c r="A2" s="1" t="s">
        <v>2897</v>
      </c>
      <c r="B2" s="1" t="s">
        <v>2898</v>
      </c>
    </row>
    <row r="3" spans="1:2" ht="11.25" customHeight="1">
      <c r="A3" s="1" t="s">
        <v>2899</v>
      </c>
      <c r="B3" s="1" t="s">
        <v>2900</v>
      </c>
    </row>
    <row r="4" spans="1:2" ht="11.25" customHeight="1">
      <c r="A4" s="1" t="s">
        <v>2901</v>
      </c>
      <c r="B4" s="1" t="s">
        <v>2902</v>
      </c>
    </row>
    <row r="5" spans="1:2" ht="11.25" customHeight="1">
      <c r="A5" s="1" t="s">
        <v>2903</v>
      </c>
      <c r="B5" s="1" t="s">
        <v>2904</v>
      </c>
    </row>
    <row r="6" spans="1:2" ht="11.25" customHeight="1">
      <c r="A6" s="1" t="s">
        <v>2905</v>
      </c>
      <c r="B6" s="1" t="s">
        <v>2906</v>
      </c>
    </row>
    <row r="7" spans="1:2" ht="11.25" customHeight="1">
      <c r="A7" s="1" t="s">
        <v>2907</v>
      </c>
      <c r="B7" s="1" t="s">
        <v>2908</v>
      </c>
    </row>
    <row r="8" spans="1:2" ht="11.25" customHeight="1">
      <c r="A8" s="1" t="s">
        <v>2909</v>
      </c>
      <c r="B8" s="1" t="s">
        <v>2910</v>
      </c>
    </row>
    <row r="9" spans="1:2" ht="11.25" customHeight="1">
      <c r="A9" s="1" t="s">
        <v>2911</v>
      </c>
      <c r="B9" s="1" t="s">
        <v>2912</v>
      </c>
    </row>
    <row r="10" spans="1:2" ht="11.25" customHeight="1">
      <c r="A10" s="1" t="s">
        <v>2913</v>
      </c>
      <c r="B10" s="1" t="s">
        <v>2914</v>
      </c>
    </row>
    <row r="11" spans="1:2" ht="11.25" customHeight="1">
      <c r="A11" s="1" t="s">
        <v>2915</v>
      </c>
      <c r="B11" s="1" t="s">
        <v>2916</v>
      </c>
    </row>
    <row r="12" spans="1:2" ht="11.25" customHeight="1">
      <c r="A12" s="1" t="s">
        <v>2917</v>
      </c>
      <c r="B12" s="1" t="s">
        <v>2918</v>
      </c>
    </row>
    <row r="13" spans="1:2" ht="11.25" customHeight="1">
      <c r="A13" s="1" t="s">
        <v>2919</v>
      </c>
      <c r="B13" s="1" t="s">
        <v>2920</v>
      </c>
    </row>
    <row r="14" spans="1:2" ht="11.25" customHeight="1">
      <c r="A14" s="1" t="s">
        <v>2921</v>
      </c>
      <c r="B14" s="1" t="s">
        <v>2922</v>
      </c>
    </row>
    <row r="15" spans="1:2" ht="11.25" customHeight="1">
      <c r="A15" s="1" t="s">
        <v>2923</v>
      </c>
      <c r="B15" s="1" t="s">
        <v>2924</v>
      </c>
    </row>
    <row r="16" spans="1:2" ht="11.25" customHeight="1">
      <c r="A16" s="1" t="s">
        <v>2925</v>
      </c>
      <c r="B16" s="1" t="s">
        <v>2926</v>
      </c>
    </row>
    <row r="17" spans="1:2" ht="11.25" customHeight="1">
      <c r="A17" s="1" t="s">
        <v>2927</v>
      </c>
      <c r="B17" s="1" t="s">
        <v>2928</v>
      </c>
    </row>
    <row r="18" spans="1:2" ht="11.25" customHeight="1">
      <c r="A18" s="1" t="s">
        <v>2929</v>
      </c>
      <c r="B18" s="1" t="s">
        <v>2930</v>
      </c>
    </row>
    <row r="19" spans="1:2" ht="11.25" customHeight="1">
      <c r="A19" s="1" t="s">
        <v>2931</v>
      </c>
      <c r="B19" s="1" t="s">
        <v>2932</v>
      </c>
    </row>
    <row r="20" spans="1:2" ht="11.25" customHeight="1">
      <c r="A20" s="1" t="s">
        <v>2933</v>
      </c>
      <c r="B20" s="1" t="s">
        <v>2934</v>
      </c>
    </row>
    <row r="21" spans="1:2" ht="11.25" customHeight="1">
      <c r="A21" s="1" t="s">
        <v>2935</v>
      </c>
      <c r="B21" s="1" t="s">
        <v>2936</v>
      </c>
    </row>
    <row r="22" spans="1:2" ht="11.25" customHeight="1">
      <c r="A22" s="1" t="s">
        <v>2937</v>
      </c>
      <c r="B22" s="1" t="s">
        <v>2938</v>
      </c>
    </row>
    <row r="23" spans="1:2" ht="11.25" customHeight="1">
      <c r="A23" s="1" t="s">
        <v>2939</v>
      </c>
      <c r="B23" s="1" t="s">
        <v>2940</v>
      </c>
    </row>
    <row r="24" spans="1:2" ht="11.25" customHeight="1">
      <c r="A24" s="1" t="s">
        <v>2941</v>
      </c>
      <c r="B24" s="1" t="s">
        <v>2942</v>
      </c>
    </row>
    <row r="25" spans="1:2" ht="11.25" customHeight="1">
      <c r="A25" s="1" t="s">
        <v>2943</v>
      </c>
      <c r="B25" s="1" t="s">
        <v>2944</v>
      </c>
    </row>
    <row r="26" spans="1:2" ht="11.25" customHeight="1">
      <c r="A26" s="1" t="s">
        <v>2945</v>
      </c>
      <c r="B26" s="1" t="s">
        <v>2946</v>
      </c>
    </row>
    <row r="27" spans="1:2" ht="11.25" customHeight="1">
      <c r="A27" s="1" t="s">
        <v>2947</v>
      </c>
      <c r="B27" s="1" t="s">
        <v>2948</v>
      </c>
    </row>
    <row r="28" spans="1:2" ht="11.25" customHeight="1">
      <c r="A28" s="1" t="s">
        <v>2949</v>
      </c>
      <c r="B28" s="1" t="s">
        <v>2950</v>
      </c>
    </row>
    <row r="29" spans="1:2" ht="11.25" customHeight="1">
      <c r="A29" s="1" t="s">
        <v>2951</v>
      </c>
      <c r="B29" s="1" t="s">
        <v>2952</v>
      </c>
    </row>
    <row r="30" spans="1:2" ht="11.25" customHeight="1">
      <c r="A30" s="1" t="s">
        <v>2953</v>
      </c>
      <c r="B30" s="1" t="s">
        <v>2954</v>
      </c>
    </row>
    <row r="31" spans="1:2" ht="11.25" customHeight="1">
      <c r="A31" s="1" t="s">
        <v>2955</v>
      </c>
      <c r="B31" s="1" t="s">
        <v>2956</v>
      </c>
    </row>
    <row r="32" spans="1:2" ht="11.25" customHeight="1">
      <c r="A32" s="1" t="s">
        <v>2957</v>
      </c>
      <c r="B32" s="1" t="s">
        <v>2958</v>
      </c>
    </row>
    <row r="33" spans="1:2" ht="11.25" customHeight="1">
      <c r="A33" s="1" t="s">
        <v>2959</v>
      </c>
      <c r="B33" s="1" t="s">
        <v>2960</v>
      </c>
    </row>
    <row r="34" spans="1:2" ht="11.25" customHeight="1">
      <c r="A34" s="1" t="s">
        <v>2961</v>
      </c>
      <c r="B34" s="1" t="s">
        <v>2962</v>
      </c>
    </row>
    <row r="35" spans="1:2" ht="11.25" customHeight="1">
      <c r="A35" s="1" t="s">
        <v>2963</v>
      </c>
      <c r="B35" s="1" t="s">
        <v>2964</v>
      </c>
    </row>
    <row r="36" spans="1:2" ht="11.25" customHeight="1">
      <c r="A36" s="1" t="s">
        <v>2965</v>
      </c>
      <c r="B36" s="1" t="s">
        <v>2966</v>
      </c>
    </row>
    <row r="37" spans="1:2" ht="11.25" customHeight="1">
      <c r="A37" s="1" t="s">
        <v>2967</v>
      </c>
      <c r="B37" s="1" t="s">
        <v>2968</v>
      </c>
    </row>
    <row r="38" spans="1:2" ht="11.25" customHeight="1">
      <c r="A38" s="1" t="s">
        <v>2969</v>
      </c>
      <c r="B38" s="1" t="s">
        <v>2970</v>
      </c>
    </row>
    <row r="39" spans="1:2" ht="11.25" customHeight="1">
      <c r="A39" s="1" t="s">
        <v>2971</v>
      </c>
      <c r="B39" s="1" t="s">
        <v>2972</v>
      </c>
    </row>
    <row r="40" spans="1:2" ht="11.25" customHeight="1">
      <c r="A40" s="1" t="s">
        <v>2973</v>
      </c>
      <c r="B40" s="1" t="s">
        <v>2974</v>
      </c>
    </row>
    <row r="41" spans="1:2" ht="11.25" customHeight="1">
      <c r="A41" s="1" t="s">
        <v>2975</v>
      </c>
      <c r="B41" s="1" t="s">
        <v>2976</v>
      </c>
    </row>
    <row r="42" spans="1:2" ht="11.25" customHeight="1">
      <c r="A42" s="1" t="s">
        <v>2977</v>
      </c>
      <c r="B42" s="1" t="s">
        <v>2978</v>
      </c>
    </row>
    <row r="43" spans="1:2" ht="11.25" customHeight="1">
      <c r="A43" s="1" t="s">
        <v>2979</v>
      </c>
      <c r="B43" s="1" t="s">
        <v>2980</v>
      </c>
    </row>
    <row r="44" spans="1:2" ht="11.25" customHeight="1">
      <c r="A44" s="1" t="s">
        <v>2981</v>
      </c>
      <c r="B44" s="1" t="s">
        <v>2982</v>
      </c>
    </row>
    <row r="45" spans="1:2" ht="11.25" customHeight="1">
      <c r="A45" s="1" t="s">
        <v>2983</v>
      </c>
      <c r="B45" s="1" t="s">
        <v>2984</v>
      </c>
    </row>
    <row r="46" spans="1:2" ht="11.25" customHeight="1">
      <c r="A46" s="1" t="s">
        <v>2985</v>
      </c>
      <c r="B46" s="1" t="s">
        <v>2986</v>
      </c>
    </row>
    <row r="47" spans="1:2" ht="11.25" customHeight="1">
      <c r="A47" s="1" t="s">
        <v>2987</v>
      </c>
      <c r="B47" s="1" t="s">
        <v>2988</v>
      </c>
    </row>
    <row r="48" spans="1:2" ht="11.25" customHeight="1">
      <c r="A48" s="1" t="s">
        <v>2989</v>
      </c>
      <c r="B48" s="1" t="s">
        <v>2990</v>
      </c>
    </row>
    <row r="49" spans="1:2" ht="11.25" customHeight="1">
      <c r="A49" s="1" t="s">
        <v>2991</v>
      </c>
      <c r="B49" s="1" t="s">
        <v>2992</v>
      </c>
    </row>
    <row r="50" spans="1:2" ht="11.25" customHeight="1">
      <c r="A50" s="1" t="s">
        <v>2993</v>
      </c>
      <c r="B50" s="1" t="s">
        <v>2994</v>
      </c>
    </row>
    <row r="51" spans="1:2" ht="11.25" customHeight="1">
      <c r="A51" s="1" t="s">
        <v>2995</v>
      </c>
      <c r="B51" s="1" t="s">
        <v>2996</v>
      </c>
    </row>
    <row r="52" spans="1:2" ht="11.25" customHeight="1">
      <c r="A52" s="1" t="s">
        <v>2997</v>
      </c>
      <c r="B52" s="1" t="s">
        <v>2998</v>
      </c>
    </row>
    <row r="53" spans="1:2" ht="11.25" customHeight="1">
      <c r="A53" s="1" t="s">
        <v>2999</v>
      </c>
      <c r="B53" s="1" t="s">
        <v>3000</v>
      </c>
    </row>
    <row r="54" spans="1:2" ht="11.25" customHeight="1">
      <c r="A54" s="1" t="s">
        <v>3001</v>
      </c>
      <c r="B54" s="1" t="s">
        <v>3002</v>
      </c>
    </row>
    <row r="55" spans="1:2" ht="11.25" customHeight="1">
      <c r="A55" s="1" t="s">
        <v>3003</v>
      </c>
      <c r="B55" s="1" t="s">
        <v>3004</v>
      </c>
    </row>
    <row r="56" spans="1:2" ht="11.25" customHeight="1">
      <c r="A56" s="1" t="s">
        <v>3005</v>
      </c>
      <c r="B56" s="1" t="s">
        <v>3006</v>
      </c>
    </row>
    <row r="57" spans="1:2" ht="11.25" customHeight="1">
      <c r="A57" s="1" t="s">
        <v>3007</v>
      </c>
      <c r="B57" s="1" t="s">
        <v>3008</v>
      </c>
    </row>
    <row r="58" spans="1:2" ht="11.25" customHeight="1">
      <c r="A58" s="1" t="s">
        <v>3009</v>
      </c>
      <c r="B58" s="1" t="s">
        <v>3010</v>
      </c>
    </row>
    <row r="59" spans="1:2" ht="11.25" customHeight="1">
      <c r="A59" s="1" t="s">
        <v>3011</v>
      </c>
      <c r="B59" s="1" t="s">
        <v>3012</v>
      </c>
    </row>
    <row r="60" spans="1:2" ht="11.25" customHeight="1">
      <c r="A60" s="1" t="s">
        <v>3013</v>
      </c>
      <c r="B60" s="1" t="s">
        <v>3014</v>
      </c>
    </row>
    <row r="61" spans="1:2" ht="11.25" customHeight="1">
      <c r="A61" s="1"/>
      <c r="B61" s="1" t="s">
        <v>3015</v>
      </c>
    </row>
    <row r="62" spans="1:2" ht="11.25" customHeight="1">
      <c r="A62" s="1"/>
      <c r="B62" s="1" t="s">
        <v>3016</v>
      </c>
    </row>
    <row r="63" spans="1:2" ht="11.25" customHeight="1">
      <c r="A63" s="1"/>
      <c r="B63" s="1" t="s">
        <v>3017</v>
      </c>
    </row>
    <row r="64" spans="1:2" ht="11.25" customHeight="1">
      <c r="A64" s="1"/>
      <c r="B64" s="1" t="s">
        <v>3018</v>
      </c>
    </row>
    <row r="65" spans="1:2" ht="11.25" customHeight="1">
      <c r="A65" s="1"/>
      <c r="B65" s="1" t="s">
        <v>3019</v>
      </c>
    </row>
    <row r="66" spans="1:2" ht="11.25" customHeight="1">
      <c r="A66" s="1"/>
      <c r="B66" s="1" t="s">
        <v>3020</v>
      </c>
    </row>
    <row r="67" spans="1:2" ht="11.25" customHeight="1">
      <c r="A67" s="1"/>
      <c r="B67" s="1" t="s">
        <v>3021</v>
      </c>
    </row>
    <row r="68" spans="1:2" ht="11.25" customHeight="1">
      <c r="A68" s="1"/>
      <c r="B68" s="1" t="s">
        <v>3022</v>
      </c>
    </row>
    <row r="69" spans="1:2" ht="11.25" customHeight="1">
      <c r="A69" s="1"/>
      <c r="B69" s="1" t="s">
        <v>3023</v>
      </c>
    </row>
    <row r="70" spans="1:2" ht="11.25" customHeight="1">
      <c r="A70" s="1"/>
      <c r="B70" s="1" t="s">
        <v>3024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1" customWidth="1"/>
    <col min="2" max="2" width="90.7109375" style="1801" customWidth="1"/>
    <col min="3" max="4" width="9.140625" style="1801"/>
  </cols>
  <sheetData>
    <row r="1" spans="2:4" ht="11.25" customHeight="1">
      <c r="B1" s="26" t="s">
        <v>3025</v>
      </c>
    </row>
    <row r="2" spans="2:4" ht="90" customHeight="1">
      <c r="B2" s="27" t="s">
        <v>3026</v>
      </c>
    </row>
    <row r="3" spans="2:4" ht="67.5" customHeight="1">
      <c r="B3" s="27" t="s">
        <v>3027</v>
      </c>
    </row>
    <row r="4" spans="2:4" ht="33.75" customHeight="1">
      <c r="B4" s="27" t="s">
        <v>3028</v>
      </c>
    </row>
    <row r="5" spans="2:4" ht="11.25" customHeight="1">
      <c r="B5" s="27" t="s">
        <v>3029</v>
      </c>
    </row>
    <row r="6" spans="2:4" ht="22.5" customHeight="1">
      <c r="B6" s="27" t="s">
        <v>3030</v>
      </c>
    </row>
    <row r="7" spans="2:4" ht="22.5" customHeight="1">
      <c r="B7" s="27" t="s">
        <v>3031</v>
      </c>
    </row>
    <row r="8" spans="2:4" ht="22.5" customHeight="1">
      <c r="B8" s="27" t="s">
        <v>3032</v>
      </c>
    </row>
    <row r="9" spans="2:4" ht="22.5" customHeight="1">
      <c r="B9" s="27" t="s">
        <v>3033</v>
      </c>
    </row>
    <row r="10" spans="2:4" ht="56.25" customHeight="1">
      <c r="B10" s="27" t="s">
        <v>3034</v>
      </c>
    </row>
    <row r="11" spans="2:4" ht="12.75" customHeight="1">
      <c r="B11" s="81" t="s">
        <v>3035</v>
      </c>
    </row>
    <row r="12" spans="2:4" ht="11.25" customHeight="1">
      <c r="B12" s="26" t="s">
        <v>3036</v>
      </c>
    </row>
    <row r="13" spans="2:4" ht="22.5" customHeight="1">
      <c r="B13" s="27" t="s">
        <v>3037</v>
      </c>
    </row>
    <row r="14" spans="2:4" ht="67.5" customHeight="1">
      <c r="B14" s="27" t="s">
        <v>3038</v>
      </c>
    </row>
    <row r="15" spans="2:4" ht="22.5" customHeight="1">
      <c r="B15" s="27" t="s">
        <v>3039</v>
      </c>
    </row>
    <row r="16" spans="2:4" ht="11.25" customHeight="1">
      <c r="B16" s="26" t="s">
        <v>3040</v>
      </c>
      <c r="D16" s="33"/>
    </row>
    <row r="17" spans="1:2" ht="33.75" customHeight="1">
      <c r="B17" s="27" t="s">
        <v>3041</v>
      </c>
    </row>
    <row r="18" spans="1:2" ht="33.75" customHeight="1">
      <c r="B18" s="27" t="s">
        <v>3042</v>
      </c>
    </row>
    <row r="19" spans="1:2" ht="11.25" customHeight="1">
      <c r="B19" s="27" t="s">
        <v>3043</v>
      </c>
    </row>
    <row r="20" spans="1:2" ht="33.75" customHeight="1">
      <c r="B20" s="27" t="s">
        <v>3044</v>
      </c>
    </row>
    <row r="21" spans="1:2" ht="11.25" customHeight="1">
      <c r="B21" s="26" t="s">
        <v>3045</v>
      </c>
    </row>
    <row r="22" spans="1:2" ht="11.25" customHeight="1">
      <c r="B22" s="27" t="s">
        <v>3046</v>
      </c>
    </row>
    <row r="24" spans="1:2" ht="22.5" customHeight="1">
      <c r="B24" s="83" t="s">
        <v>3047</v>
      </c>
    </row>
    <row r="26" spans="1:2" ht="11.25" customHeight="1">
      <c r="B26" s="26" t="s">
        <v>3048</v>
      </c>
    </row>
    <row r="27" spans="1:2" ht="22.5" customHeight="1">
      <c r="B27" s="82" t="s">
        <v>515</v>
      </c>
    </row>
    <row r="28" spans="1:2" ht="56.25" customHeight="1">
      <c r="B28" s="82" t="s">
        <v>3049</v>
      </c>
    </row>
    <row r="29" spans="1:2" ht="11.25" customHeight="1">
      <c r="B29" s="131" t="s">
        <v>3050</v>
      </c>
    </row>
    <row r="30" spans="1:2" ht="22.5" customHeight="1">
      <c r="B30" s="82" t="s">
        <v>3051</v>
      </c>
    </row>
    <row r="32" spans="1:2" ht="11.25" customHeight="1">
      <c r="A32" s="109"/>
      <c r="B32" s="110" t="s">
        <v>3052</v>
      </c>
    </row>
    <row r="33" spans="1:2" ht="14.25" customHeight="1">
      <c r="A33" s="111">
        <v>1</v>
      </c>
      <c r="B33" s="112" t="s">
        <v>3053</v>
      </c>
    </row>
    <row r="34" spans="1:2" ht="14.25" customHeight="1">
      <c r="A34" s="111">
        <v>2</v>
      </c>
      <c r="B34" s="112" t="s">
        <v>3054</v>
      </c>
    </row>
    <row r="35" spans="1:2" ht="11.25" customHeight="1">
      <c r="B35" s="110" t="s">
        <v>3055</v>
      </c>
    </row>
    <row r="36" spans="1:2" ht="11.25" customHeight="1">
      <c r="B36" s="112" t="s">
        <v>3056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2003</vt:i4>
      </vt:variant>
    </vt:vector>
  </HeadingPairs>
  <TitlesOfParts>
    <vt:vector size="20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pt_cs_31</vt:lpstr>
      <vt:lpstr>pt_cs_32</vt:lpstr>
      <vt:lpstr>pt_cs_33</vt:lpstr>
      <vt:lpstr>pt_cs_34</vt:lpstr>
      <vt:lpstr>pt_cs_35</vt:lpstr>
      <vt:lpstr>pt_cs_36</vt:lpstr>
      <vt:lpstr>pt_cs_37</vt:lpstr>
      <vt:lpstr>pt_cs_38</vt:lpstr>
      <vt:lpstr>pt_cs_4</vt:lpstr>
      <vt:lpstr>pt_cs_41</vt:lpstr>
      <vt:lpstr>pt_cs_43</vt:lpstr>
      <vt:lpstr>pt_cs_44</vt:lpstr>
      <vt:lpstr>pt_cs_45</vt:lpstr>
      <vt:lpstr>pt_cs_46</vt:lpstr>
      <vt:lpstr>pt_cs_47</vt:lpstr>
      <vt:lpstr>pt_cs_49</vt:lpstr>
      <vt:lpstr>pt_cs_4i</vt:lpstr>
      <vt:lpstr>pt_cs_4p</vt:lpstr>
      <vt:lpstr>pt_cs_5</vt:lpstr>
      <vt:lpstr>pt_cs_50</vt:lpstr>
      <vt:lpstr>pt_cs_51</vt:lpstr>
      <vt:lpstr>pt_cs_52</vt:lpstr>
      <vt:lpstr>pt_cs_53</vt:lpstr>
      <vt:lpstr>pt_cs_54</vt:lpstr>
      <vt:lpstr>pt_cs_55</vt:lpstr>
      <vt:lpstr>pt_cs_56</vt:lpstr>
      <vt:lpstr>pt_cs_58</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pt_ist_te_31</vt:lpstr>
      <vt:lpstr>pt_ist_te_32</vt:lpstr>
      <vt:lpstr>pt_ist_te_33</vt:lpstr>
      <vt:lpstr>pt_ist_te_34</vt:lpstr>
      <vt:lpstr>pt_ist_te_35</vt:lpstr>
      <vt:lpstr>pt_ist_te_36</vt:lpstr>
      <vt:lpstr>pt_ist_te_37</vt:lpstr>
      <vt:lpstr>pt_ist_te_38</vt:lpstr>
      <vt:lpstr>pt_ist_te_4</vt:lpstr>
      <vt:lpstr>pt_ist_te_41</vt:lpstr>
      <vt:lpstr>pt_ist_te_43</vt:lpstr>
      <vt:lpstr>pt_ist_te_44</vt:lpstr>
      <vt:lpstr>pt_ist_te_45</vt:lpstr>
      <vt:lpstr>pt_ist_te_46</vt:lpstr>
      <vt:lpstr>pt_ist_te_47</vt:lpstr>
      <vt:lpstr>pt_ist_te_49</vt:lpstr>
      <vt:lpstr>pt_ist_te_4i</vt:lpstr>
      <vt:lpstr>pt_ist_te_4p</vt:lpstr>
      <vt:lpstr>pt_ist_te_5</vt:lpstr>
      <vt:lpstr>pt_ist_te_50</vt:lpstr>
      <vt:lpstr>pt_ist_te_51</vt:lpstr>
      <vt:lpstr>pt_ist_te_52</vt:lpstr>
      <vt:lpstr>pt_ist_te_53</vt:lpstr>
      <vt:lpstr>pt_ist_te_54</vt:lpstr>
      <vt:lpstr>pt_ist_te_55</vt:lpstr>
      <vt:lpstr>pt_ist_te_56</vt:lpstr>
      <vt:lpstr>pt_ist_te_58</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pt_ntar_28</vt:lpstr>
      <vt:lpstr>pt_ntar_29</vt:lpstr>
      <vt:lpstr>pt_ntar_3</vt:lpstr>
      <vt:lpstr>pt_ntar_30</vt:lpstr>
      <vt:lpstr>pt_ntar_31</vt:lpstr>
      <vt:lpstr>pt_ntar_32</vt:lpstr>
      <vt:lpstr>pt_ntar_33</vt:lpstr>
      <vt:lpstr>pt_ntar_36</vt:lpstr>
      <vt:lpstr>pt_ntar_37</vt:lpstr>
      <vt:lpstr>pt_ntar_38</vt:lpstr>
      <vt:lpstr>pt_ntar_39</vt:lpstr>
      <vt:lpstr>pt_ntar_4</vt:lpstr>
      <vt:lpstr>pt_ntar_40</vt:lpstr>
      <vt:lpstr>pt_ntar_41</vt:lpstr>
      <vt:lpstr>pt_ntar_42</vt:lpstr>
      <vt:lpstr>pt_ntar_43</vt:lpstr>
      <vt:lpstr>pt_ntar_44</vt:lpstr>
      <vt:lpstr>pt_ntar_45</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pt_ter_31</vt:lpstr>
      <vt:lpstr>pt_ter_32</vt:lpstr>
      <vt:lpstr>pt_ter_33</vt:lpstr>
      <vt:lpstr>pt_ter_34</vt:lpstr>
      <vt:lpstr>pt_ter_35</vt:lpstr>
      <vt:lpstr>pt_ter_36</vt:lpstr>
      <vt:lpstr>pt_ter_37</vt:lpstr>
      <vt:lpstr>pt_ter_38</vt:lpstr>
      <vt:lpstr>pt_ter_4</vt:lpstr>
      <vt:lpstr>pt_ter_41</vt:lpstr>
      <vt:lpstr>pt_ter_43</vt:lpstr>
      <vt:lpstr>pt_ter_44</vt:lpstr>
      <vt:lpstr>pt_ter_45</vt:lpstr>
      <vt:lpstr>pt_ter_46</vt:lpstr>
      <vt:lpstr>pt_ter_47</vt:lpstr>
      <vt:lpstr>pt_ter_49</vt:lpstr>
      <vt:lpstr>pt_ter_4i</vt:lpstr>
      <vt:lpstr>pt_ter_4p</vt:lpstr>
      <vt:lpstr>pt_ter_5</vt:lpstr>
      <vt:lpstr>pt_ter_50</vt:lpstr>
      <vt:lpstr>pt_ter_51</vt:lpstr>
      <vt:lpstr>pt_ter_52</vt:lpstr>
      <vt:lpstr>pt_ter_53</vt:lpstr>
      <vt:lpstr>pt_ter_54</vt:lpstr>
      <vt:lpstr>pt_ter_55</vt:lpstr>
      <vt:lpstr>pt_ter_56</vt:lpstr>
      <vt:lpstr>pt_ter_58</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2024-12-27T11:14:46Z</dcterms:modified>
</cp:coreProperties>
</file>